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axestruct.sharepoint.com/sites/Axestruct/Shared Documents/5 Marketing/5.2 Website Content/"/>
    </mc:Choice>
  </mc:AlternateContent>
  <xr:revisionPtr revIDLastSave="834" documentId="8_{239CDF9F-96CD-4C22-8526-AB5B6DC4455B}" xr6:coauthVersionLast="47" xr6:coauthVersionMax="47" xr10:uidLastSave="{8C768D0B-B7BD-4713-811D-250F796BD388}"/>
  <workbookProtection workbookAlgorithmName="SHA-512" workbookHashValue="QVgWiap+QBu8Am4J/yH7XjSiZHsiNtL1seDlBFP6V0M2DyD2zCxI2hZpwJG9Ohd02swT6Maekp+vq4wEeR3FJw==" workbookSaltValue="X8k5bCpENpGFU/JVkSB3Uw==" workbookSpinCount="100000" lockStructure="1"/>
  <bookViews>
    <workbookView xWindow="-110" yWindow="-16310" windowWidth="29020" windowHeight="15700" activeTab="2" xr2:uid="{155522AF-6A3C-494A-8140-75FEB35B4E17}"/>
  </bookViews>
  <sheets>
    <sheet name="QU RT WW " sheetId="15" r:id="rId1"/>
    <sheet name="QU RT BL" sheetId="16" r:id="rId2"/>
    <sheet name="QU RT RSD RD " sheetId="17" r:id="rId3"/>
    <sheet name="QU RT TL RD" sheetId="21" r:id="rId4"/>
    <sheet name="QU RT RSD RL " sheetId="18" r:id="rId5"/>
    <sheet name="QU RT TL RL" sheetId="22" r:id="rId6"/>
    <sheet name="QU RT ANG RL " sheetId="20" r:id="rId7"/>
    <sheet name="QU RT ANG RD" sheetId="19" r:id="rId8"/>
    <sheet name="QU RT FL RD" sheetId="23" r:id="rId9"/>
    <sheet name="QU RT FL RL " sheetId="24" r:id="rId10"/>
    <sheet name="PL Copy" sheetId="25" state="hidden" r:id="rId11"/>
    <sheet name="How To Use" sheetId="2" r:id="rId12"/>
    <sheet name="PL" sheetId="26" state="hidden" r:id="rId13"/>
  </sheets>
  <definedNames>
    <definedName name="_xlnm._FilterDatabase" localSheetId="12" hidden="1">PL!$BN$9:$BO$181</definedName>
    <definedName name="_xlnm.Print_Area" localSheetId="11">'How To Use'!$A$1:$BI$543</definedName>
    <definedName name="_xlnm.Print_Area" localSheetId="12">PL!$A$1:$BH$188</definedName>
    <definedName name="_xlnm.Print_Area" localSheetId="10">'PL Copy'!$A$1:$BI$114</definedName>
    <definedName name="_xlnm.Print_Area" localSheetId="7">'QU RT ANG RD'!$A$1:$BI$209</definedName>
    <definedName name="_xlnm.Print_Area" localSheetId="6">'QU RT ANG RL '!$A$1:$BI$181</definedName>
    <definedName name="_xlnm.Print_Area" localSheetId="1">'QU RT BL'!$A$1:$BI$197</definedName>
    <definedName name="_xlnm.Print_Area" localSheetId="8">'QU RT FL RD'!$A$1:$BI$216</definedName>
    <definedName name="_xlnm.Print_Area" localSheetId="9">'QU RT FL RL '!$A$1:$BI$168</definedName>
    <definedName name="_xlnm.Print_Area" localSheetId="2">'QU RT RSD RD '!$A$1:$BI$232</definedName>
    <definedName name="_xlnm.Print_Area" localSheetId="4">'QU RT RSD RL '!$A$1:$BI$209</definedName>
    <definedName name="_xlnm.Print_Area" localSheetId="3">'QU RT TL RD'!$A$1:$BI$213</definedName>
    <definedName name="_xlnm.Print_Area" localSheetId="5">'QU RT TL RL'!$A$1:$BI$189</definedName>
    <definedName name="_xlnm.Print_Area" localSheetId="0">'QU RT WW '!$A$1:$CH$184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5" i="25" l="1"/>
  <c r="B101" i="25"/>
  <c r="B97" i="25"/>
  <c r="B93" i="25"/>
  <c r="B89" i="25"/>
  <c r="B85" i="25"/>
  <c r="B81" i="25"/>
  <c r="B77" i="25"/>
  <c r="B73" i="25"/>
  <c r="B69" i="25"/>
  <c r="B65" i="25"/>
  <c r="B61" i="25"/>
  <c r="B57" i="25"/>
  <c r="B53" i="25"/>
  <c r="B49" i="25"/>
  <c r="B45" i="25"/>
  <c r="B41" i="25"/>
  <c r="B37" i="25"/>
  <c r="B33" i="25"/>
  <c r="B29" i="25"/>
  <c r="AS105" i="25"/>
  <c r="S107" i="25"/>
  <c r="S105" i="25"/>
  <c r="AS101" i="25"/>
  <c r="S101" i="25"/>
  <c r="AS97" i="25"/>
  <c r="S99" i="25"/>
  <c r="S97" i="25"/>
  <c r="S95" i="25"/>
  <c r="AS93" i="25"/>
  <c r="S93" i="25"/>
  <c r="AS89" i="25"/>
  <c r="S91" i="25"/>
  <c r="S89" i="25"/>
  <c r="AS85" i="25"/>
  <c r="S85" i="25"/>
  <c r="AS81" i="25"/>
  <c r="S83" i="25"/>
  <c r="S81" i="25"/>
  <c r="AS77" i="25"/>
  <c r="S79" i="25"/>
  <c r="S77" i="25"/>
  <c r="AS73" i="25"/>
  <c r="S73" i="25"/>
  <c r="S71" i="25"/>
  <c r="AS69" i="25"/>
  <c r="S69" i="25"/>
  <c r="S67" i="25"/>
  <c r="AS65" i="25"/>
  <c r="S65" i="25"/>
  <c r="AS61" i="25"/>
  <c r="S63" i="25"/>
  <c r="S61" i="25"/>
  <c r="AS57" i="25"/>
  <c r="S59" i="25"/>
  <c r="S57" i="25"/>
  <c r="AS53" i="25"/>
  <c r="S53" i="25"/>
  <c r="S51" i="25"/>
  <c r="AS49" i="25"/>
  <c r="S49" i="25"/>
  <c r="S47" i="25"/>
  <c r="AS45" i="25"/>
  <c r="S45" i="25"/>
  <c r="AS41" i="25"/>
  <c r="S41" i="25"/>
  <c r="S39" i="25"/>
  <c r="AS37" i="25"/>
  <c r="S37" i="25"/>
  <c r="S35" i="25"/>
  <c r="AS33" i="25"/>
  <c r="S33" i="25"/>
  <c r="S31" i="25"/>
  <c r="AS29" i="25"/>
  <c r="S29" i="25"/>
  <c r="S27" i="25"/>
  <c r="AS25" i="25"/>
  <c r="S25" i="25"/>
  <c r="G139" i="24"/>
  <c r="G135" i="24"/>
  <c r="G127" i="24"/>
  <c r="G171" i="23"/>
  <c r="G163" i="23"/>
  <c r="G151" i="22"/>
  <c r="G143" i="22"/>
  <c r="G139" i="22"/>
  <c r="G131" i="22"/>
  <c r="G123" i="22"/>
  <c r="G119" i="22"/>
  <c r="G147" i="21"/>
  <c r="G143" i="20"/>
  <c r="G139" i="20"/>
  <c r="G135" i="20"/>
  <c r="G127" i="20"/>
  <c r="G143" i="19"/>
  <c r="G167" i="19"/>
  <c r="G159" i="19"/>
  <c r="G127" i="18"/>
  <c r="G175" i="17"/>
  <c r="G143" i="17"/>
  <c r="G163" i="16"/>
  <c r="G155" i="16"/>
  <c r="G151" i="16"/>
  <c r="AR175" i="22"/>
  <c r="BA167" i="26"/>
  <c r="BB167" i="26"/>
  <c r="BA168" i="26"/>
  <c r="BB168" i="26"/>
  <c r="BA169" i="26"/>
  <c r="BB169" i="26"/>
  <c r="BA170" i="26"/>
  <c r="BB170" i="26"/>
  <c r="BA171" i="26"/>
  <c r="BB171" i="26"/>
  <c r="BK219" i="17"/>
  <c r="AL219" i="17" s="1"/>
  <c r="G219" i="17" s="1"/>
  <c r="C223" i="17"/>
  <c r="C219" i="17"/>
  <c r="C199" i="18"/>
  <c r="BK195" i="18"/>
  <c r="AL195" i="18" s="1"/>
  <c r="G195" i="18" s="1"/>
  <c r="T197" i="18" s="1"/>
  <c r="C195" i="18"/>
  <c r="BK195" i="19"/>
  <c r="C199" i="19"/>
  <c r="AL195" i="19"/>
  <c r="G195" i="19" s="1"/>
  <c r="C195" i="19"/>
  <c r="C171" i="20"/>
  <c r="BK167" i="20"/>
  <c r="AL167" i="20"/>
  <c r="G167" i="20" s="1"/>
  <c r="C167" i="20"/>
  <c r="BK199" i="21"/>
  <c r="AL199" i="21" s="1"/>
  <c r="G199" i="21" s="1"/>
  <c r="C199" i="21"/>
  <c r="C179" i="22"/>
  <c r="C175" i="22"/>
  <c r="S103" i="25" l="1"/>
  <c r="S87" i="25"/>
  <c r="S75" i="25"/>
  <c r="S55" i="25"/>
  <c r="T221" i="17"/>
  <c r="T219" i="17"/>
  <c r="T195" i="18"/>
  <c r="T197" i="19"/>
  <c r="T195" i="19"/>
  <c r="T167" i="20"/>
  <c r="T169" i="20"/>
  <c r="T201" i="21"/>
  <c r="T199" i="21"/>
  <c r="BK175" i="22" l="1"/>
  <c r="AL175" i="22" s="1"/>
  <c r="G175" i="22" s="1"/>
  <c r="T175" i="22" s="1"/>
  <c r="G203" i="23"/>
  <c r="G155" i="24"/>
  <c r="AL203" i="23"/>
  <c r="BK203" i="23"/>
  <c r="C203" i="23"/>
  <c r="C199" i="23"/>
  <c r="AL155" i="24"/>
  <c r="BK155" i="24"/>
  <c r="BK119" i="24"/>
  <c r="T177" i="22" l="1"/>
  <c r="T157" i="24"/>
  <c r="T155" i="24"/>
  <c r="T199" i="18" l="1"/>
  <c r="T187" i="16"/>
  <c r="BB152" i="26"/>
  <c r="BB188" i="26"/>
  <c r="BA188" i="26"/>
  <c r="BB183" i="26"/>
  <c r="BA183" i="26"/>
  <c r="BB182" i="26"/>
  <c r="BA182" i="26"/>
  <c r="BB181" i="26"/>
  <c r="BA181" i="26"/>
  <c r="BB180" i="26"/>
  <c r="BA180" i="26"/>
  <c r="BB179" i="26"/>
  <c r="BA179" i="26"/>
  <c r="BB178" i="26"/>
  <c r="BA178" i="26"/>
  <c r="BB177" i="26"/>
  <c r="BA177" i="26"/>
  <c r="BB176" i="26"/>
  <c r="BA176" i="26"/>
  <c r="BB175" i="26"/>
  <c r="BA175" i="26"/>
  <c r="BB174" i="26"/>
  <c r="BA174" i="26"/>
  <c r="BB173" i="26"/>
  <c r="BA173" i="26"/>
  <c r="BB172" i="26"/>
  <c r="BA172" i="26"/>
  <c r="BB166" i="26"/>
  <c r="BA166" i="26"/>
  <c r="BB165" i="26"/>
  <c r="BA165" i="26"/>
  <c r="BB164" i="26"/>
  <c r="BA164" i="26"/>
  <c r="BB163" i="26"/>
  <c r="BA163" i="26"/>
  <c r="BB162" i="26"/>
  <c r="BA162" i="26"/>
  <c r="AR119" i="22" s="1"/>
  <c r="BB161" i="26"/>
  <c r="BA161" i="26"/>
  <c r="BB160" i="26"/>
  <c r="BA160" i="26"/>
  <c r="BB159" i="26"/>
  <c r="BA159" i="26"/>
  <c r="BB158" i="26"/>
  <c r="BA158" i="26"/>
  <c r="BB157" i="26"/>
  <c r="BA157" i="26"/>
  <c r="BB156" i="26"/>
  <c r="BA156" i="26"/>
  <c r="BB155" i="26"/>
  <c r="BA155" i="26"/>
  <c r="BB154" i="26"/>
  <c r="BA154" i="26"/>
  <c r="BB153" i="26"/>
  <c r="BA153" i="26"/>
  <c r="BA152" i="26"/>
  <c r="BB151" i="26"/>
  <c r="BA151" i="26"/>
  <c r="BB150" i="26"/>
  <c r="BA150" i="26"/>
  <c r="BB149" i="26"/>
  <c r="BA149" i="26"/>
  <c r="BB148" i="26"/>
  <c r="BA148" i="26"/>
  <c r="BB147" i="26"/>
  <c r="BA147" i="26"/>
  <c r="BB146" i="26"/>
  <c r="BA146" i="26"/>
  <c r="BB145" i="26"/>
  <c r="BA145" i="26"/>
  <c r="BB144" i="26"/>
  <c r="BA144" i="26"/>
  <c r="BB143" i="26"/>
  <c r="BA143" i="26"/>
  <c r="BB142" i="26"/>
  <c r="BA142" i="26"/>
  <c r="BB141" i="26"/>
  <c r="BA141" i="26"/>
  <c r="BB140" i="26"/>
  <c r="BA140" i="26"/>
  <c r="BB139" i="26"/>
  <c r="BA139" i="26"/>
  <c r="BB138" i="26"/>
  <c r="BA138" i="26"/>
  <c r="BB137" i="26"/>
  <c r="BA137" i="26"/>
  <c r="BB136" i="26"/>
  <c r="BA136" i="26"/>
  <c r="BB135" i="26"/>
  <c r="BA135" i="26"/>
  <c r="BB134" i="26"/>
  <c r="BA134" i="26"/>
  <c r="BB133" i="26"/>
  <c r="BA133" i="26"/>
  <c r="BB132" i="26"/>
  <c r="BA132" i="26"/>
  <c r="BB131" i="26"/>
  <c r="BA131" i="26"/>
  <c r="BB130" i="26"/>
  <c r="BA130" i="26"/>
  <c r="BB129" i="26"/>
  <c r="BA129" i="26"/>
  <c r="BB128" i="26"/>
  <c r="BA128" i="26"/>
  <c r="BB127" i="26"/>
  <c r="BA127" i="26"/>
  <c r="BB126" i="26"/>
  <c r="BA126" i="26"/>
  <c r="BB125" i="26"/>
  <c r="BA125" i="26"/>
  <c r="BB124" i="26"/>
  <c r="BA124" i="26"/>
  <c r="BB123" i="26"/>
  <c r="BA123" i="26"/>
  <c r="BB122" i="26"/>
  <c r="BA122" i="26"/>
  <c r="BB121" i="26"/>
  <c r="BA121" i="26"/>
  <c r="BB120" i="26"/>
  <c r="BA120" i="26"/>
  <c r="BB119" i="26"/>
  <c r="BA119" i="26"/>
  <c r="BB118" i="26"/>
  <c r="BA118" i="26"/>
  <c r="BB117" i="26"/>
  <c r="BA117" i="26"/>
  <c r="BB116" i="26"/>
  <c r="BA116" i="26"/>
  <c r="BB115" i="26"/>
  <c r="BA115" i="26"/>
  <c r="BB114" i="26"/>
  <c r="BA114" i="26"/>
  <c r="BB113" i="26"/>
  <c r="BA113" i="26"/>
  <c r="BB112" i="26"/>
  <c r="BA112" i="26"/>
  <c r="BB111" i="26"/>
  <c r="BA111" i="26"/>
  <c r="BB110" i="26"/>
  <c r="BA110" i="26"/>
  <c r="BB109" i="26"/>
  <c r="BA109" i="26"/>
  <c r="BB108" i="26"/>
  <c r="BA108" i="26"/>
  <c r="BB107" i="26"/>
  <c r="BA107" i="26"/>
  <c r="BB106" i="26"/>
  <c r="BA106" i="26"/>
  <c r="BB105" i="26"/>
  <c r="BA105" i="26"/>
  <c r="BB104" i="26"/>
  <c r="BA104" i="26"/>
  <c r="BB103" i="26"/>
  <c r="BA103" i="26"/>
  <c r="BB102" i="26"/>
  <c r="BA102" i="26"/>
  <c r="BB101" i="26"/>
  <c r="BA101" i="26"/>
  <c r="BB100" i="26"/>
  <c r="BA100" i="26"/>
  <c r="BB99" i="26"/>
  <c r="BA99" i="26"/>
  <c r="BB98" i="26"/>
  <c r="BA98" i="26"/>
  <c r="BB97" i="26"/>
  <c r="BA97" i="26"/>
  <c r="BB96" i="26"/>
  <c r="BA96" i="26"/>
  <c r="BB95" i="26"/>
  <c r="BA95" i="26"/>
  <c r="BB94" i="26"/>
  <c r="BA94" i="26"/>
  <c r="BB93" i="26"/>
  <c r="BA93" i="26"/>
  <c r="BB92" i="26"/>
  <c r="BA92" i="26"/>
  <c r="BB91" i="26"/>
  <c r="BA91" i="26"/>
  <c r="BB90" i="26"/>
  <c r="BA90" i="26"/>
  <c r="BB89" i="26"/>
  <c r="BA89" i="26"/>
  <c r="BB88" i="26"/>
  <c r="BA88" i="26"/>
  <c r="BB87" i="26"/>
  <c r="BA87" i="26"/>
  <c r="BB86" i="26"/>
  <c r="BA86" i="26"/>
  <c r="BB85" i="26"/>
  <c r="BA85" i="26"/>
  <c r="BB84" i="26"/>
  <c r="BA84" i="26"/>
  <c r="BB83" i="26"/>
  <c r="BA83" i="26"/>
  <c r="BB82" i="26"/>
  <c r="BA82" i="26"/>
  <c r="BB81" i="26"/>
  <c r="BA81" i="26"/>
  <c r="BB80" i="26"/>
  <c r="BA80" i="26"/>
  <c r="BB79" i="26"/>
  <c r="BA79" i="26"/>
  <c r="BB78" i="26"/>
  <c r="BA78" i="26"/>
  <c r="BB77" i="26"/>
  <c r="BA77" i="26"/>
  <c r="BB76" i="26"/>
  <c r="BA76" i="26"/>
  <c r="BB75" i="26"/>
  <c r="BA75" i="26"/>
  <c r="BB74" i="26"/>
  <c r="BA74" i="26"/>
  <c r="BB73" i="26"/>
  <c r="BA73" i="26"/>
  <c r="BB72" i="26"/>
  <c r="BA72" i="26"/>
  <c r="BB71" i="26"/>
  <c r="BA71" i="26"/>
  <c r="BB70" i="26"/>
  <c r="BA70" i="26"/>
  <c r="BB69" i="26"/>
  <c r="BA69" i="26"/>
  <c r="BB68" i="26"/>
  <c r="BA68" i="26"/>
  <c r="BB67" i="26"/>
  <c r="BA67" i="26"/>
  <c r="BB66" i="26"/>
  <c r="BA66" i="26"/>
  <c r="BB65" i="26"/>
  <c r="BA65" i="26"/>
  <c r="BB64" i="26"/>
  <c r="BA64" i="26"/>
  <c r="BB63" i="26"/>
  <c r="BA63" i="26"/>
  <c r="BB62" i="26"/>
  <c r="BA62" i="26"/>
  <c r="BB61" i="26"/>
  <c r="BA61" i="26"/>
  <c r="BB60" i="26"/>
  <c r="BA60" i="26"/>
  <c r="BB59" i="26"/>
  <c r="BA59" i="26"/>
  <c r="BB58" i="26"/>
  <c r="BA58" i="26"/>
  <c r="AR123" i="22" s="1"/>
  <c r="BB57" i="26"/>
  <c r="BA57" i="26"/>
  <c r="BB56" i="26"/>
  <c r="BA56" i="26"/>
  <c r="BB55" i="26"/>
  <c r="BA55" i="26"/>
  <c r="BB54" i="26"/>
  <c r="BA54" i="26"/>
  <c r="BB53" i="26"/>
  <c r="BA53" i="26"/>
  <c r="BB52" i="26"/>
  <c r="BA52" i="26"/>
  <c r="BB51" i="26"/>
  <c r="BA51" i="26"/>
  <c r="BB50" i="26"/>
  <c r="BA50" i="26"/>
  <c r="BB49" i="26"/>
  <c r="BA49" i="26"/>
  <c r="BB48" i="26"/>
  <c r="BA48" i="26"/>
  <c r="BB47" i="26"/>
  <c r="BA47" i="26"/>
  <c r="BB46" i="26"/>
  <c r="BA46" i="26"/>
  <c r="BB45" i="26"/>
  <c r="BA45" i="26"/>
  <c r="BB44" i="26"/>
  <c r="BA44" i="26"/>
  <c r="BB43" i="26"/>
  <c r="BA43" i="26"/>
  <c r="BB42" i="26"/>
  <c r="BA42" i="26"/>
  <c r="BB41" i="26"/>
  <c r="BA41" i="26"/>
  <c r="BB40" i="26"/>
  <c r="BA40" i="26"/>
  <c r="BB39" i="26"/>
  <c r="BA39" i="26"/>
  <c r="BB38" i="26"/>
  <c r="BA38" i="26"/>
  <c r="BB37" i="26"/>
  <c r="BA37" i="26"/>
  <c r="BB36" i="26"/>
  <c r="BA36" i="26"/>
  <c r="BB35" i="26"/>
  <c r="BA35" i="26"/>
  <c r="BB34" i="26"/>
  <c r="BA34" i="26"/>
  <c r="BB33" i="26"/>
  <c r="BA33" i="26"/>
  <c r="BB32" i="26"/>
  <c r="BA32" i="26"/>
  <c r="BB31" i="26"/>
  <c r="BA31" i="26"/>
  <c r="BB30" i="26"/>
  <c r="BA30" i="26"/>
  <c r="AR127" i="24" s="1"/>
  <c r="BB29" i="26"/>
  <c r="BA29" i="26"/>
  <c r="BB28" i="26"/>
  <c r="BA28" i="26"/>
  <c r="BB27" i="26"/>
  <c r="BA27" i="26"/>
  <c r="BB26" i="26"/>
  <c r="BA26" i="26"/>
  <c r="BB25" i="26"/>
  <c r="BA25" i="26"/>
  <c r="BB24" i="26"/>
  <c r="BA24" i="26"/>
  <c r="BB23" i="26"/>
  <c r="BA23" i="26"/>
  <c r="BB22" i="26"/>
  <c r="BA22" i="26"/>
  <c r="BB21" i="26"/>
  <c r="BA21" i="26"/>
  <c r="BB20" i="26"/>
  <c r="BA20" i="26"/>
  <c r="BB19" i="26"/>
  <c r="BA19" i="26"/>
  <c r="BB18" i="26"/>
  <c r="BA18" i="26"/>
  <c r="BB17" i="26"/>
  <c r="BA17" i="26"/>
  <c r="BB16" i="26"/>
  <c r="BA16" i="26"/>
  <c r="BB15" i="26"/>
  <c r="BA15" i="26"/>
  <c r="BB14" i="26"/>
  <c r="BA14" i="26"/>
  <c r="BB13" i="26"/>
  <c r="BA13" i="26"/>
  <c r="BB12" i="26"/>
  <c r="BA12" i="26"/>
  <c r="BN11" i="26"/>
  <c r="BN12" i="26" s="1"/>
  <c r="BN13" i="26" s="1"/>
  <c r="BN14" i="26" s="1"/>
  <c r="BN15" i="26" s="1"/>
  <c r="BN16" i="26" s="1"/>
  <c r="BN17" i="26" s="1"/>
  <c r="BN18" i="26" s="1"/>
  <c r="BN19" i="26" s="1"/>
  <c r="BN20" i="26" s="1"/>
  <c r="BN21" i="26" s="1"/>
  <c r="BN22" i="26" s="1"/>
  <c r="BN23" i="26" s="1"/>
  <c r="BN24" i="26" s="1"/>
  <c r="BN25" i="26" s="1"/>
  <c r="BN26" i="26" s="1"/>
  <c r="BN27" i="26" s="1"/>
  <c r="BN28" i="26" s="1"/>
  <c r="BN29" i="26" s="1"/>
  <c r="BN30" i="26" s="1"/>
  <c r="BN31" i="26" s="1"/>
  <c r="BN32" i="26" s="1"/>
  <c r="BN33" i="26" s="1"/>
  <c r="BN34" i="26" s="1"/>
  <c r="BN35" i="26" s="1"/>
  <c r="BN36" i="26" s="1"/>
  <c r="BN37" i="26" s="1"/>
  <c r="BN38" i="26" s="1"/>
  <c r="BN39" i="26" s="1"/>
  <c r="BN40" i="26" s="1"/>
  <c r="BN41" i="26" s="1"/>
  <c r="BN42" i="26" s="1"/>
  <c r="BN43" i="26" s="1"/>
  <c r="BN44" i="26" s="1"/>
  <c r="BN45" i="26" s="1"/>
  <c r="BN46" i="26" s="1"/>
  <c r="BN47" i="26" s="1"/>
  <c r="BN48" i="26" s="1"/>
  <c r="BN49" i="26" s="1"/>
  <c r="BN50" i="26" s="1"/>
  <c r="BN51" i="26" s="1"/>
  <c r="BN52" i="26" s="1"/>
  <c r="BN53" i="26" s="1"/>
  <c r="BN54" i="26" s="1"/>
  <c r="BN55" i="26" s="1"/>
  <c r="BN56" i="26" s="1"/>
  <c r="BN57" i="26" s="1"/>
  <c r="BN58" i="26" s="1"/>
  <c r="BN59" i="26" s="1"/>
  <c r="BN60" i="26" s="1"/>
  <c r="BN61" i="26" s="1"/>
  <c r="BN62" i="26" s="1"/>
  <c r="BN63" i="26" s="1"/>
  <c r="BN64" i="26" s="1"/>
  <c r="BN65" i="26" s="1"/>
  <c r="BN66" i="26" s="1"/>
  <c r="BN67" i="26" s="1"/>
  <c r="BN68" i="26" s="1"/>
  <c r="BN69" i="26" s="1"/>
  <c r="BN70" i="26" s="1"/>
  <c r="BN71" i="26" s="1"/>
  <c r="BN72" i="26" s="1"/>
  <c r="BN73" i="26" s="1"/>
  <c r="BN74" i="26" s="1"/>
  <c r="BN75" i="26" s="1"/>
  <c r="BN76" i="26" s="1"/>
  <c r="BN77" i="26" s="1"/>
  <c r="BN78" i="26" s="1"/>
  <c r="BN79" i="26" s="1"/>
  <c r="BN80" i="26" s="1"/>
  <c r="BN81" i="26" s="1"/>
  <c r="BN82" i="26" s="1"/>
  <c r="BN83" i="26" s="1"/>
  <c r="BN84" i="26" s="1"/>
  <c r="BN85" i="26" s="1"/>
  <c r="BN86" i="26" s="1"/>
  <c r="BN87" i="26" s="1"/>
  <c r="BN88" i="26" s="1"/>
  <c r="BN89" i="26" s="1"/>
  <c r="BN90" i="26" s="1"/>
  <c r="BN91" i="26" s="1"/>
  <c r="BN92" i="26" s="1"/>
  <c r="BN93" i="26" s="1"/>
  <c r="BN94" i="26" s="1"/>
  <c r="BN95" i="26" s="1"/>
  <c r="BN96" i="26" s="1"/>
  <c r="BN97" i="26" s="1"/>
  <c r="BN98" i="26" s="1"/>
  <c r="BN99" i="26" s="1"/>
  <c r="BN100" i="26" s="1"/>
  <c r="BN101" i="26" s="1"/>
  <c r="BN102" i="26" s="1"/>
  <c r="BN103" i="26" s="1"/>
  <c r="BN104" i="26" s="1"/>
  <c r="BN105" i="26" s="1"/>
  <c r="BN106" i="26" s="1"/>
  <c r="BN107" i="26" s="1"/>
  <c r="BN108" i="26" s="1"/>
  <c r="BN109" i="26" s="1"/>
  <c r="BN110" i="26" s="1"/>
  <c r="BN111" i="26" s="1"/>
  <c r="BN112" i="26" s="1"/>
  <c r="BN113" i="26" s="1"/>
  <c r="BN114" i="26" s="1"/>
  <c r="BN115" i="26" s="1"/>
  <c r="BN116" i="26" s="1"/>
  <c r="BN117" i="26" s="1"/>
  <c r="BN118" i="26" s="1"/>
  <c r="BN119" i="26" s="1"/>
  <c r="BN120" i="26" s="1"/>
  <c r="BN121" i="26" s="1"/>
  <c r="BN122" i="26" s="1"/>
  <c r="BN123" i="26" s="1"/>
  <c r="BN124" i="26" s="1"/>
  <c r="BN125" i="26" s="1"/>
  <c r="BN126" i="26" s="1"/>
  <c r="BN127" i="26" s="1"/>
  <c r="BN128" i="26" s="1"/>
  <c r="BN129" i="26" s="1"/>
  <c r="BN130" i="26" s="1"/>
  <c r="BN131" i="26" s="1"/>
  <c r="BN132" i="26" s="1"/>
  <c r="BN133" i="26" s="1"/>
  <c r="BN134" i="26" s="1"/>
  <c r="BN135" i="26" s="1"/>
  <c r="BN136" i="26" s="1"/>
  <c r="BN137" i="26" s="1"/>
  <c r="BN138" i="26" s="1"/>
  <c r="BN139" i="26" s="1"/>
  <c r="BN140" i="26" s="1"/>
  <c r="BN141" i="26" s="1"/>
  <c r="BN142" i="26" s="1"/>
  <c r="BN143" i="26" s="1"/>
  <c r="BN144" i="26" s="1"/>
  <c r="BN145" i="26" s="1"/>
  <c r="BN146" i="26" s="1"/>
  <c r="BN147" i="26" s="1"/>
  <c r="BN148" i="26" s="1"/>
  <c r="BN149" i="26" s="1"/>
  <c r="BN150" i="26" s="1"/>
  <c r="BN151" i="26" s="1"/>
  <c r="BN152" i="26" s="1"/>
  <c r="BN153" i="26" s="1"/>
  <c r="BN154" i="26" s="1"/>
  <c r="BN155" i="26" s="1"/>
  <c r="BN156" i="26" s="1"/>
  <c r="BN157" i="26" s="1"/>
  <c r="BN158" i="26" s="1"/>
  <c r="BN159" i="26" s="1"/>
  <c r="BN160" i="26" s="1"/>
  <c r="BN161" i="26" s="1"/>
  <c r="BN162" i="26" s="1"/>
  <c r="BN163" i="26" s="1"/>
  <c r="BN164" i="26" s="1"/>
  <c r="BN165" i="26" s="1"/>
  <c r="BN166" i="26" s="1"/>
  <c r="BN168" i="26" s="1"/>
  <c r="BN169" i="26" s="1"/>
  <c r="BN170" i="26" s="1"/>
  <c r="BN171" i="26" s="1"/>
  <c r="BN172" i="26" s="1"/>
  <c r="BN173" i="26" s="1"/>
  <c r="BN174" i="26" s="1"/>
  <c r="BN175" i="26" s="1"/>
  <c r="BN176" i="26" s="1"/>
  <c r="BN177" i="26" s="1"/>
  <c r="BN178" i="26" s="1"/>
  <c r="BN179" i="26" s="1"/>
  <c r="BN180" i="26" s="1"/>
  <c r="BN181" i="26" s="1"/>
  <c r="BN182" i="26" s="1"/>
  <c r="BN183" i="26" s="1"/>
  <c r="BB11" i="26"/>
  <c r="BA11" i="26"/>
  <c r="BB10" i="26"/>
  <c r="BA10" i="26"/>
  <c r="BK115" i="15"/>
  <c r="BK123" i="15"/>
  <c r="BK127" i="15"/>
  <c r="BK151" i="15" s="1"/>
  <c r="BK131" i="15"/>
  <c r="BK135" i="15"/>
  <c r="AR143" i="20" l="1"/>
  <c r="AR147" i="24"/>
  <c r="AR147" i="23"/>
  <c r="AR159" i="21"/>
  <c r="AR131" i="20"/>
  <c r="AR147" i="19"/>
  <c r="AR195" i="19"/>
  <c r="AR155" i="24"/>
  <c r="AR135" i="22"/>
  <c r="AR159" i="24"/>
  <c r="AR155" i="23"/>
  <c r="AR151" i="21"/>
  <c r="AR171" i="20"/>
  <c r="AR155" i="19"/>
  <c r="AR199" i="18"/>
  <c r="AR163" i="23"/>
  <c r="AR167" i="20"/>
  <c r="AR155" i="21"/>
  <c r="AR195" i="18"/>
  <c r="AR151" i="23"/>
  <c r="AR199" i="19"/>
  <c r="AR131" i="24"/>
  <c r="AR183" i="23"/>
  <c r="AR179" i="22"/>
  <c r="AR155" i="20"/>
  <c r="AR167" i="19"/>
  <c r="AR135" i="24"/>
  <c r="AR187" i="23"/>
  <c r="AR203" i="21"/>
  <c r="AR151" i="20"/>
  <c r="AR151" i="19"/>
  <c r="AR139" i="24"/>
  <c r="AR203" i="23"/>
  <c r="AR199" i="21"/>
  <c r="AR179" i="19"/>
  <c r="AR143" i="24"/>
  <c r="AR207" i="23"/>
  <c r="AR139" i="20"/>
  <c r="AR183" i="19"/>
  <c r="AR159" i="19"/>
  <c r="AR171" i="23"/>
  <c r="AR127" i="20"/>
  <c r="AR143" i="19"/>
  <c r="AR135" i="20"/>
  <c r="AR131" i="22"/>
  <c r="AR127" i="18"/>
  <c r="AR147" i="21"/>
  <c r="AR147" i="20"/>
  <c r="AR143" i="17"/>
  <c r="AR223" i="17"/>
  <c r="AR159" i="17"/>
  <c r="AR187" i="16"/>
  <c r="AR219" i="17"/>
  <c r="AR155" i="17"/>
  <c r="AR175" i="17"/>
  <c r="AS175" i="15"/>
  <c r="AR163" i="17"/>
  <c r="BK155" i="15"/>
  <c r="BK171" i="15"/>
  <c r="BK139" i="15"/>
  <c r="BK163" i="15" l="1"/>
  <c r="C123" i="24" l="1"/>
  <c r="C127" i="24" s="1"/>
  <c r="C131" i="24" s="1"/>
  <c r="C135" i="24" s="1"/>
  <c r="C139" i="24" s="1"/>
  <c r="C143" i="24" s="1"/>
  <c r="C147" i="24" s="1"/>
  <c r="C151" i="24" s="1"/>
  <c r="C155" i="24" s="1"/>
  <c r="C159" i="24" s="1"/>
  <c r="C123" i="23"/>
  <c r="C127" i="23" s="1"/>
  <c r="C131" i="23" s="1"/>
  <c r="C135" i="23" s="1"/>
  <c r="C139" i="23" s="1"/>
  <c r="C143" i="23" s="1"/>
  <c r="C147" i="23" s="1"/>
  <c r="C151" i="23" s="1"/>
  <c r="C155" i="23" s="1"/>
  <c r="C159" i="23" s="1"/>
  <c r="C163" i="23" s="1"/>
  <c r="C167" i="23" s="1"/>
  <c r="C171" i="23" s="1"/>
  <c r="C175" i="23" s="1"/>
  <c r="C179" i="23" s="1"/>
  <c r="C183" i="23" s="1"/>
  <c r="C187" i="23" s="1"/>
  <c r="C191" i="23" s="1"/>
  <c r="C195" i="23" s="1"/>
  <c r="C207" i="23" s="1"/>
  <c r="C127" i="22"/>
  <c r="C131" i="22" s="1"/>
  <c r="C135" i="22" s="1"/>
  <c r="C139" i="22" s="1"/>
  <c r="C143" i="22" s="1"/>
  <c r="C147" i="22" s="1"/>
  <c r="C151" i="22" s="1"/>
  <c r="C155" i="22" s="1"/>
  <c r="C159" i="22" s="1"/>
  <c r="C163" i="22" s="1"/>
  <c r="C167" i="22" s="1"/>
  <c r="C171" i="22" s="1"/>
  <c r="C123" i="22"/>
  <c r="C123" i="21"/>
  <c r="C127" i="21" s="1"/>
  <c r="C131" i="21" s="1"/>
  <c r="C135" i="21" s="1"/>
  <c r="C139" i="21" s="1"/>
  <c r="C143" i="21" s="1"/>
  <c r="C147" i="21" s="1"/>
  <c r="C151" i="21" s="1"/>
  <c r="C155" i="21" s="1"/>
  <c r="C159" i="21" s="1"/>
  <c r="C163" i="21" s="1"/>
  <c r="C167" i="21" s="1"/>
  <c r="C171" i="21" s="1"/>
  <c r="C175" i="21" s="1"/>
  <c r="C179" i="21" s="1"/>
  <c r="C183" i="21" s="1"/>
  <c r="C187" i="21" s="1"/>
  <c r="C191" i="21" s="1"/>
  <c r="C195" i="21" s="1"/>
  <c r="C203" i="21" s="1"/>
  <c r="C123" i="20"/>
  <c r="C127" i="20" s="1"/>
  <c r="C131" i="20" s="1"/>
  <c r="C135" i="20" s="1"/>
  <c r="C139" i="20" s="1"/>
  <c r="C143" i="20" s="1"/>
  <c r="C147" i="20" s="1"/>
  <c r="C151" i="20" s="1"/>
  <c r="C155" i="20" s="1"/>
  <c r="C159" i="20" s="1"/>
  <c r="C163" i="20" s="1"/>
  <c r="C127" i="19"/>
  <c r="C131" i="19" s="1"/>
  <c r="C135" i="19" s="1"/>
  <c r="C139" i="19" s="1"/>
  <c r="C143" i="19" s="1"/>
  <c r="C147" i="19" s="1"/>
  <c r="C151" i="19" s="1"/>
  <c r="C155" i="19" s="1"/>
  <c r="C159" i="19" s="1"/>
  <c r="C163" i="19" s="1"/>
  <c r="C167" i="19" s="1"/>
  <c r="C171" i="19" s="1"/>
  <c r="C175" i="19" s="1"/>
  <c r="C179" i="19" s="1"/>
  <c r="C183" i="19" s="1"/>
  <c r="C187" i="19" s="1"/>
  <c r="C191" i="19" s="1"/>
  <c r="C123" i="19"/>
  <c r="C123" i="18"/>
  <c r="C127" i="18" s="1"/>
  <c r="C131" i="18" s="1"/>
  <c r="C135" i="18" s="1"/>
  <c r="C139" i="18" s="1"/>
  <c r="C143" i="18" s="1"/>
  <c r="C147" i="18" s="1"/>
  <c r="C151" i="18" s="1"/>
  <c r="C155" i="18" s="1"/>
  <c r="C159" i="18" s="1"/>
  <c r="C163" i="18" s="1"/>
  <c r="C167" i="18" s="1"/>
  <c r="C171" i="18" s="1"/>
  <c r="C175" i="18" s="1"/>
  <c r="C179" i="18" s="1"/>
  <c r="C183" i="18" s="1"/>
  <c r="C187" i="18" s="1"/>
  <c r="C191" i="18" s="1"/>
  <c r="C123" i="17"/>
  <c r="C127" i="17" s="1"/>
  <c r="C131" i="17" s="1"/>
  <c r="C135" i="17" s="1"/>
  <c r="C139" i="17" s="1"/>
  <c r="C143" i="17" s="1"/>
  <c r="C147" i="17" s="1"/>
  <c r="C151" i="17" s="1"/>
  <c r="C155" i="17" s="1"/>
  <c r="C159" i="17" s="1"/>
  <c r="C163" i="17" s="1"/>
  <c r="C167" i="17" s="1"/>
  <c r="C171" i="17" s="1"/>
  <c r="C175" i="17" s="1"/>
  <c r="C179" i="17" s="1"/>
  <c r="C183" i="17" s="1"/>
  <c r="C187" i="17" s="1"/>
  <c r="C191" i="17" s="1"/>
  <c r="C195" i="17" s="1"/>
  <c r="C199" i="17" s="1"/>
  <c r="C203" i="17" s="1"/>
  <c r="C207" i="17" s="1"/>
  <c r="C211" i="17" s="1"/>
  <c r="C215" i="17" s="1"/>
  <c r="C123" i="16"/>
  <c r="C127" i="16" s="1"/>
  <c r="C131" i="16" s="1"/>
  <c r="C135" i="16" s="1"/>
  <c r="C139" i="16" s="1"/>
  <c r="C143" i="16" s="1"/>
  <c r="C147" i="16" s="1"/>
  <c r="C151" i="16" s="1"/>
  <c r="C155" i="16" s="1"/>
  <c r="C159" i="16" s="1"/>
  <c r="C163" i="16" s="1"/>
  <c r="C167" i="16" s="1"/>
  <c r="C171" i="16" s="1"/>
  <c r="C175" i="16" s="1"/>
  <c r="C179" i="16" s="1"/>
  <c r="C183" i="16" s="1"/>
  <c r="C187" i="16" s="1"/>
  <c r="B119" i="15"/>
  <c r="B123" i="15" s="1"/>
  <c r="B127" i="15" s="1"/>
  <c r="B131" i="15" s="1"/>
  <c r="B135" i="15" s="1"/>
  <c r="B139" i="15" s="1"/>
  <c r="B143" i="15" s="1"/>
  <c r="B147" i="15" s="1"/>
  <c r="B151" i="15" s="1"/>
  <c r="B155" i="15" s="1"/>
  <c r="B159" i="15" s="1"/>
  <c r="B163" i="15" s="1"/>
  <c r="B167" i="15" s="1"/>
  <c r="B171" i="15" s="1"/>
  <c r="B175" i="15" s="1"/>
  <c r="G119" i="24" l="1"/>
  <c r="AR119" i="24" s="1"/>
  <c r="G123" i="24"/>
  <c r="AR123" i="24" s="1"/>
  <c r="AX17" i="25"/>
  <c r="AX11" i="25"/>
  <c r="G135" i="16" l="1"/>
  <c r="AR135" i="16" s="1"/>
  <c r="T159" i="24"/>
  <c r="DA143" i="24"/>
  <c r="DA147" i="24" s="1"/>
  <c r="DD135" i="24"/>
  <c r="DD143" i="24" s="1"/>
  <c r="DD147" i="24" s="1"/>
  <c r="DA135" i="24"/>
  <c r="DA139" i="24" s="1"/>
  <c r="CX135" i="24"/>
  <c r="CX143" i="24" s="1"/>
  <c r="CX147" i="24" s="1"/>
  <c r="CU135" i="24"/>
  <c r="CU139" i="24" s="1"/>
  <c r="CR135" i="24"/>
  <c r="CR139" i="24" s="1"/>
  <c r="CO135" i="24"/>
  <c r="CO139" i="24" s="1"/>
  <c r="CL135" i="24"/>
  <c r="CL143" i="24" s="1"/>
  <c r="CL147" i="24" s="1"/>
  <c r="CI135" i="24"/>
  <c r="CI143" i="24" s="1"/>
  <c r="CI147" i="24" s="1"/>
  <c r="CF135" i="24"/>
  <c r="CF143" i="24" s="1"/>
  <c r="CF147" i="24" s="1"/>
  <c r="CC135" i="24"/>
  <c r="CC143" i="24" s="1"/>
  <c r="CC147" i="24" s="1"/>
  <c r="BZ135" i="24"/>
  <c r="BZ143" i="24" s="1"/>
  <c r="BZ147" i="24" s="1"/>
  <c r="BW135" i="24"/>
  <c r="BW139" i="24" s="1"/>
  <c r="BT135" i="24"/>
  <c r="BT139" i="24" s="1"/>
  <c r="BQ135" i="24"/>
  <c r="BQ139" i="24" s="1"/>
  <c r="BN135" i="24"/>
  <c r="BN143" i="24" s="1"/>
  <c r="BN147" i="24" s="1"/>
  <c r="BK135" i="24"/>
  <c r="DD131" i="24"/>
  <c r="DA131" i="24"/>
  <c r="CX131" i="24"/>
  <c r="CU131" i="24"/>
  <c r="CR131" i="24"/>
  <c r="CO131" i="24"/>
  <c r="CL131" i="24"/>
  <c r="CI131" i="24"/>
  <c r="CF131" i="24"/>
  <c r="CC131" i="24"/>
  <c r="BZ131" i="24"/>
  <c r="BW131" i="24"/>
  <c r="BT131" i="24"/>
  <c r="BQ131" i="24"/>
  <c r="BN131" i="24"/>
  <c r="BK131" i="24"/>
  <c r="DD123" i="24"/>
  <c r="DD119" i="24" s="1"/>
  <c r="DD127" i="24" s="1"/>
  <c r="DA123" i="24"/>
  <c r="DA119" i="24" s="1"/>
  <c r="DA127" i="24" s="1"/>
  <c r="CX123" i="24"/>
  <c r="CX119" i="24" s="1"/>
  <c r="CX127" i="24" s="1"/>
  <c r="CU123" i="24"/>
  <c r="CU119" i="24" s="1"/>
  <c r="CU127" i="24" s="1"/>
  <c r="CR123" i="24"/>
  <c r="CR119" i="24" s="1"/>
  <c r="CR127" i="24" s="1"/>
  <c r="CO123" i="24"/>
  <c r="CO119" i="24" s="1"/>
  <c r="CO127" i="24" s="1"/>
  <c r="CL123" i="24"/>
  <c r="CL119" i="24" s="1"/>
  <c r="CL127" i="24" s="1"/>
  <c r="CI123" i="24"/>
  <c r="CI119" i="24" s="1"/>
  <c r="CI127" i="24" s="1"/>
  <c r="CF123" i="24"/>
  <c r="CF119" i="24" s="1"/>
  <c r="CF127" i="24" s="1"/>
  <c r="CC123" i="24"/>
  <c r="CC119" i="24" s="1"/>
  <c r="CC127" i="24" s="1"/>
  <c r="BZ123" i="24"/>
  <c r="BZ119" i="24" s="1"/>
  <c r="BZ127" i="24" s="1"/>
  <c r="BW123" i="24"/>
  <c r="BW119" i="24" s="1"/>
  <c r="BW127" i="24" s="1"/>
  <c r="BT123" i="24"/>
  <c r="BT119" i="24" s="1"/>
  <c r="BT127" i="24" s="1"/>
  <c r="BQ123" i="24"/>
  <c r="BQ119" i="24" s="1"/>
  <c r="BQ127" i="24" s="1"/>
  <c r="BN123" i="24"/>
  <c r="BN119" i="24" s="1"/>
  <c r="BN127" i="24" s="1"/>
  <c r="BK123" i="24"/>
  <c r="U110" i="24"/>
  <c r="J43" i="24"/>
  <c r="AO28" i="24"/>
  <c r="C58" i="24" s="1"/>
  <c r="U21" i="24"/>
  <c r="AX17" i="24"/>
  <c r="T207" i="23"/>
  <c r="DD171" i="23"/>
  <c r="DA171" i="23"/>
  <c r="CX171" i="23"/>
  <c r="CU171" i="23"/>
  <c r="CR171" i="23"/>
  <c r="CO171" i="23"/>
  <c r="CL171" i="23"/>
  <c r="CI171" i="23"/>
  <c r="CF171" i="23"/>
  <c r="CC171" i="23"/>
  <c r="BZ171" i="23"/>
  <c r="BW171" i="23"/>
  <c r="BT171" i="23"/>
  <c r="BQ171" i="23"/>
  <c r="BN171" i="23"/>
  <c r="BK171" i="23"/>
  <c r="DD163" i="23"/>
  <c r="DA163" i="23"/>
  <c r="CX163" i="23"/>
  <c r="CU163" i="23"/>
  <c r="CR163" i="23"/>
  <c r="CO163" i="23"/>
  <c r="CL163" i="23"/>
  <c r="CI163" i="23"/>
  <c r="CF163" i="23"/>
  <c r="CC163" i="23"/>
  <c r="BZ163" i="23"/>
  <c r="BW163" i="23"/>
  <c r="BT163" i="23"/>
  <c r="BQ163" i="23"/>
  <c r="BN163" i="23"/>
  <c r="BN183" i="23" s="1"/>
  <c r="BN187" i="23" s="1"/>
  <c r="BK163" i="23"/>
  <c r="DD155" i="23"/>
  <c r="DA155" i="23"/>
  <c r="CX155" i="23"/>
  <c r="CU155" i="23"/>
  <c r="CR155" i="23"/>
  <c r="CO155" i="23"/>
  <c r="CL155" i="23"/>
  <c r="CI155" i="23"/>
  <c r="CF155" i="23"/>
  <c r="CC155" i="23"/>
  <c r="BZ155" i="23"/>
  <c r="BW155" i="23"/>
  <c r="BT155" i="23"/>
  <c r="BQ155" i="23"/>
  <c r="BN155" i="23"/>
  <c r="BK155" i="23"/>
  <c r="DD151" i="23"/>
  <c r="DA151" i="23"/>
  <c r="CX151" i="23"/>
  <c r="CU151" i="23"/>
  <c r="CR151" i="23"/>
  <c r="CO151" i="23"/>
  <c r="CL151" i="23"/>
  <c r="CI151" i="23"/>
  <c r="CF151" i="23"/>
  <c r="CC151" i="23"/>
  <c r="BZ151" i="23"/>
  <c r="BW151" i="23"/>
  <c r="BT151" i="23"/>
  <c r="BQ151" i="23"/>
  <c r="BN151" i="23"/>
  <c r="BK151" i="23"/>
  <c r="DD147" i="23"/>
  <c r="DA147" i="23"/>
  <c r="CX147" i="23"/>
  <c r="CU147" i="23"/>
  <c r="CR147" i="23"/>
  <c r="CO147" i="23"/>
  <c r="CL147" i="23"/>
  <c r="CI147" i="23"/>
  <c r="CF147" i="23"/>
  <c r="CC147" i="23"/>
  <c r="BZ147" i="23"/>
  <c r="BW147" i="23"/>
  <c r="BT147" i="23"/>
  <c r="BQ147" i="23"/>
  <c r="BN147" i="23"/>
  <c r="BK147" i="23"/>
  <c r="DD143" i="23"/>
  <c r="DA143" i="23"/>
  <c r="CX143" i="23"/>
  <c r="CU143" i="23"/>
  <c r="CR143" i="23"/>
  <c r="CO143" i="23"/>
  <c r="CL143" i="23"/>
  <c r="CI143" i="23"/>
  <c r="CF143" i="23"/>
  <c r="CC143" i="23"/>
  <c r="BZ143" i="23"/>
  <c r="BW143" i="23"/>
  <c r="BT143" i="23"/>
  <c r="BQ143" i="23"/>
  <c r="BN143" i="23"/>
  <c r="BK143" i="23"/>
  <c r="G139" i="23"/>
  <c r="DD135" i="23"/>
  <c r="DA135" i="23"/>
  <c r="DA131" i="23" s="1"/>
  <c r="CX135" i="23"/>
  <c r="CX131" i="23" s="1"/>
  <c r="CU135" i="23"/>
  <c r="CU131" i="23" s="1"/>
  <c r="CR135" i="23"/>
  <c r="CR131" i="23" s="1"/>
  <c r="CO135" i="23"/>
  <c r="CO131" i="23" s="1"/>
  <c r="CL135" i="23"/>
  <c r="CL131" i="23" s="1"/>
  <c r="CI135" i="23"/>
  <c r="CI131" i="23" s="1"/>
  <c r="CF135" i="23"/>
  <c r="CF131" i="23" s="1"/>
  <c r="CC135" i="23"/>
  <c r="CC131" i="23" s="1"/>
  <c r="BZ135" i="23"/>
  <c r="BZ131" i="23" s="1"/>
  <c r="BW135" i="23"/>
  <c r="BW131" i="23" s="1"/>
  <c r="BT135" i="23"/>
  <c r="BT131" i="23" s="1"/>
  <c r="BQ135" i="23"/>
  <c r="BQ131" i="23" s="1"/>
  <c r="BN135" i="23"/>
  <c r="BN131" i="23" s="1"/>
  <c r="BK135" i="23"/>
  <c r="BK131" i="23" s="1"/>
  <c r="DD131" i="23"/>
  <c r="DD127" i="23"/>
  <c r="DA127" i="23"/>
  <c r="CX127" i="23"/>
  <c r="CU127" i="23"/>
  <c r="CR127" i="23"/>
  <c r="CO127" i="23"/>
  <c r="CL127" i="23"/>
  <c r="CI127" i="23"/>
  <c r="CF127" i="23"/>
  <c r="CC127" i="23"/>
  <c r="BZ127" i="23"/>
  <c r="BW127" i="23"/>
  <c r="BT127" i="23"/>
  <c r="BQ127" i="23"/>
  <c r="BN127" i="23"/>
  <c r="DD123" i="23"/>
  <c r="DA123" i="23"/>
  <c r="CX123" i="23"/>
  <c r="CU123" i="23"/>
  <c r="CR123" i="23"/>
  <c r="CO123" i="23"/>
  <c r="CL123" i="23"/>
  <c r="CI123" i="23"/>
  <c r="CF123" i="23"/>
  <c r="CC123" i="23"/>
  <c r="BZ123" i="23"/>
  <c r="BW123" i="23"/>
  <c r="BT123" i="23"/>
  <c r="BQ123" i="23"/>
  <c r="BN123" i="23"/>
  <c r="DD121" i="23"/>
  <c r="DA121" i="23"/>
  <c r="CX121" i="23"/>
  <c r="CU121" i="23"/>
  <c r="CR121" i="23"/>
  <c r="CO121" i="23"/>
  <c r="CL121" i="23"/>
  <c r="CI121" i="23"/>
  <c r="CF121" i="23"/>
  <c r="CC121" i="23"/>
  <c r="BZ121" i="23"/>
  <c r="BW121" i="23"/>
  <c r="BT121" i="23"/>
  <c r="BQ121" i="23"/>
  <c r="BN121" i="23"/>
  <c r="DD119" i="23"/>
  <c r="DA119" i="23"/>
  <c r="CX119" i="23"/>
  <c r="CU119" i="23"/>
  <c r="CR119" i="23"/>
  <c r="CO119" i="23"/>
  <c r="CL119" i="23"/>
  <c r="CI119" i="23"/>
  <c r="CF119" i="23"/>
  <c r="CC119" i="23"/>
  <c r="BZ119" i="23"/>
  <c r="BW119" i="23"/>
  <c r="BT119" i="23"/>
  <c r="BQ119" i="23"/>
  <c r="BN119" i="23"/>
  <c r="BK119" i="23"/>
  <c r="DD118" i="23"/>
  <c r="DA118" i="23"/>
  <c r="CX118" i="23"/>
  <c r="CU118" i="23"/>
  <c r="CR118" i="23"/>
  <c r="CO118" i="23"/>
  <c r="CL118" i="23"/>
  <c r="CI118" i="23"/>
  <c r="CF118" i="23"/>
  <c r="CC118" i="23"/>
  <c r="BZ118" i="23"/>
  <c r="BW118" i="23"/>
  <c r="BT118" i="23"/>
  <c r="BQ118" i="23"/>
  <c r="BN118" i="23"/>
  <c r="BK118" i="23"/>
  <c r="DW112" i="23"/>
  <c r="DW111" i="23"/>
  <c r="ME110" i="23"/>
  <c r="MD115" i="23" s="1"/>
  <c r="MD110" i="23"/>
  <c r="MC110" i="23"/>
  <c r="MB110" i="23"/>
  <c r="MA110" i="23"/>
  <c r="LZ110" i="23"/>
  <c r="LY110" i="23"/>
  <c r="LX110" i="23"/>
  <c r="LW110" i="23"/>
  <c r="LV110" i="23"/>
  <c r="LU110" i="23"/>
  <c r="LT110" i="23"/>
  <c r="LS110" i="23"/>
  <c r="LR110" i="23"/>
  <c r="LQ110" i="23"/>
  <c r="LP110" i="23"/>
  <c r="LO110" i="23"/>
  <c r="LN110" i="23"/>
  <c r="LM110" i="23"/>
  <c r="LL110" i="23"/>
  <c r="LK110" i="23"/>
  <c r="LJ110" i="23"/>
  <c r="LI110" i="23"/>
  <c r="LH110" i="23"/>
  <c r="LG110" i="23"/>
  <c r="LF115" i="23" s="1"/>
  <c r="LF110" i="23"/>
  <c r="LE110" i="23"/>
  <c r="LD110" i="23"/>
  <c r="LC110" i="23"/>
  <c r="LB110" i="23"/>
  <c r="LA110" i="23"/>
  <c r="KZ110" i="23"/>
  <c r="KY110" i="23"/>
  <c r="KX115" i="23" s="1"/>
  <c r="KX110" i="23"/>
  <c r="KW110" i="23"/>
  <c r="KV110" i="23"/>
  <c r="KU110" i="23"/>
  <c r="KT110" i="23"/>
  <c r="KS110" i="23"/>
  <c r="KR110" i="23"/>
  <c r="KQ110" i="23"/>
  <c r="KP115" i="23" s="1"/>
  <c r="KP110" i="23"/>
  <c r="KO110" i="23"/>
  <c r="KN110" i="23"/>
  <c r="KM110" i="23"/>
  <c r="KL110" i="23"/>
  <c r="KK110" i="23"/>
  <c r="KJ110" i="23"/>
  <c r="KI110" i="23"/>
  <c r="KH115" i="23" s="1"/>
  <c r="KH110" i="23"/>
  <c r="KG110" i="23"/>
  <c r="KF110" i="23"/>
  <c r="KE110" i="23"/>
  <c r="KD110" i="23"/>
  <c r="KC110" i="23"/>
  <c r="KB110" i="23"/>
  <c r="KA110" i="23"/>
  <c r="JZ115" i="23" s="1"/>
  <c r="JZ110" i="23"/>
  <c r="JY110" i="23"/>
  <c r="JX110" i="23"/>
  <c r="JW110" i="23"/>
  <c r="JV110" i="23"/>
  <c r="JU110" i="23"/>
  <c r="JT110" i="23"/>
  <c r="JS110" i="23"/>
  <c r="JR115" i="23" s="1"/>
  <c r="JR110" i="23"/>
  <c r="JQ110" i="23"/>
  <c r="JP110" i="23"/>
  <c r="JO110" i="23"/>
  <c r="JN110" i="23"/>
  <c r="JM110" i="23"/>
  <c r="JL110" i="23"/>
  <c r="JK110" i="23"/>
  <c r="JJ115" i="23" s="1"/>
  <c r="JJ110" i="23"/>
  <c r="JI115" i="23" s="1"/>
  <c r="JI110" i="23"/>
  <c r="JH110" i="23"/>
  <c r="JG110" i="23"/>
  <c r="JF110" i="23"/>
  <c r="JE110" i="23"/>
  <c r="JD110" i="23"/>
  <c r="JC110" i="23"/>
  <c r="JB115" i="23" s="1"/>
  <c r="JB110" i="23"/>
  <c r="JA110" i="23"/>
  <c r="IZ110" i="23"/>
  <c r="IY110" i="23"/>
  <c r="IX110" i="23"/>
  <c r="IW110" i="23"/>
  <c r="IV110" i="23"/>
  <c r="IU110" i="23"/>
  <c r="IT115" i="23" s="1"/>
  <c r="IT110" i="23"/>
  <c r="IS110" i="23"/>
  <c r="IR110" i="23"/>
  <c r="IQ110" i="23"/>
  <c r="IP110" i="23"/>
  <c r="IO110" i="23"/>
  <c r="IN110" i="23"/>
  <c r="IM110" i="23"/>
  <c r="IL115" i="23" s="1"/>
  <c r="IL110" i="23"/>
  <c r="IK110" i="23"/>
  <c r="IJ110" i="23"/>
  <c r="II110" i="23"/>
  <c r="IH110" i="23"/>
  <c r="IG110" i="23"/>
  <c r="IF110" i="23"/>
  <c r="IE110" i="23"/>
  <c r="ID115" i="23" s="1"/>
  <c r="ID110" i="23"/>
  <c r="IC110" i="23"/>
  <c r="IB110" i="23"/>
  <c r="IA110" i="23"/>
  <c r="HZ110" i="23"/>
  <c r="HY110" i="23"/>
  <c r="HX110" i="23"/>
  <c r="HW110" i="23"/>
  <c r="HV115" i="23" s="1"/>
  <c r="HV110" i="23"/>
  <c r="HU110" i="23"/>
  <c r="HT110" i="23"/>
  <c r="HS110" i="23"/>
  <c r="HR110" i="23"/>
  <c r="HQ110" i="23"/>
  <c r="HP115" i="23" s="1"/>
  <c r="HP110" i="23"/>
  <c r="HO110" i="23"/>
  <c r="HN115" i="23" s="1"/>
  <c r="HN110" i="23"/>
  <c r="HM110" i="23"/>
  <c r="HL110" i="23"/>
  <c r="HK110" i="23"/>
  <c r="HJ110" i="23"/>
  <c r="HI110" i="23"/>
  <c r="HH115" i="23" s="1"/>
  <c r="HH110" i="23"/>
  <c r="HG110" i="23"/>
  <c r="HF115" i="23" s="1"/>
  <c r="HF110" i="23"/>
  <c r="HE110" i="23"/>
  <c r="HD110" i="23"/>
  <c r="HC110" i="23"/>
  <c r="HB110" i="23"/>
  <c r="HA110" i="23"/>
  <c r="GZ115" i="23" s="1"/>
  <c r="GZ110" i="23"/>
  <c r="GY110" i="23"/>
  <c r="GX115" i="23" s="1"/>
  <c r="GX110" i="23"/>
  <c r="GW110" i="23"/>
  <c r="GV110" i="23"/>
  <c r="GU110" i="23"/>
  <c r="GT110" i="23"/>
  <c r="GS110" i="23"/>
  <c r="GR115" i="23" s="1"/>
  <c r="GR110" i="23"/>
  <c r="GQ110" i="23"/>
  <c r="GP115" i="23" s="1"/>
  <c r="GP110" i="23"/>
  <c r="GO110" i="23"/>
  <c r="GN110" i="23"/>
  <c r="GM110" i="23"/>
  <c r="GL110" i="23"/>
  <c r="GK110" i="23"/>
  <c r="GJ115" i="23" s="1"/>
  <c r="GJ110" i="23"/>
  <c r="GI110" i="23"/>
  <c r="GH115" i="23" s="1"/>
  <c r="GH110" i="23"/>
  <c r="GG110" i="23"/>
  <c r="GF110" i="23"/>
  <c r="GE110" i="23"/>
  <c r="GD110" i="23"/>
  <c r="GC110" i="23"/>
  <c r="GB115" i="23" s="1"/>
  <c r="GB110" i="23"/>
  <c r="GA110" i="23"/>
  <c r="FZ115" i="23" s="1"/>
  <c r="FZ110" i="23"/>
  <c r="FY110" i="23"/>
  <c r="FX110" i="23"/>
  <c r="FW110" i="23"/>
  <c r="FV110" i="23"/>
  <c r="FU110" i="23"/>
  <c r="FT115" i="23" s="1"/>
  <c r="FT110" i="23"/>
  <c r="FS110" i="23"/>
  <c r="FR115" i="23" s="1"/>
  <c r="FR110" i="23"/>
  <c r="FQ110" i="23"/>
  <c r="FP110" i="23"/>
  <c r="FO110" i="23"/>
  <c r="FN110" i="23"/>
  <c r="FM110" i="23"/>
  <c r="FL115" i="23" s="1"/>
  <c r="FL110" i="23"/>
  <c r="FK110" i="23"/>
  <c r="FJ115" i="23" s="1"/>
  <c r="FJ110" i="23"/>
  <c r="FI110" i="23"/>
  <c r="FH110" i="23"/>
  <c r="FG110" i="23"/>
  <c r="FF110" i="23"/>
  <c r="FE110" i="23"/>
  <c r="FD115" i="23" s="1"/>
  <c r="FD110" i="23"/>
  <c r="FC110" i="23"/>
  <c r="FB115" i="23" s="1"/>
  <c r="FB110" i="23"/>
  <c r="FA110" i="23"/>
  <c r="EZ110" i="23"/>
  <c r="EY110" i="23"/>
  <c r="EX110" i="23"/>
  <c r="EW110" i="23"/>
  <c r="EV115" i="23" s="1"/>
  <c r="EV110" i="23"/>
  <c r="EU110" i="23"/>
  <c r="ET115" i="23" s="1"/>
  <c r="ET110" i="23"/>
  <c r="ES110" i="23"/>
  <c r="ER110" i="23"/>
  <c r="EQ110" i="23"/>
  <c r="EP110" i="23"/>
  <c r="EO110" i="23"/>
  <c r="EN115" i="23" s="1"/>
  <c r="EN110" i="23"/>
  <c r="EM110" i="23"/>
  <c r="EL115" i="23" s="1"/>
  <c r="EL110" i="23"/>
  <c r="EK110" i="23"/>
  <c r="EJ110" i="23"/>
  <c r="EI110" i="23"/>
  <c r="EH110" i="23"/>
  <c r="EG110" i="23"/>
  <c r="EF115" i="23" s="1"/>
  <c r="EF110" i="23"/>
  <c r="EE110" i="23"/>
  <c r="ED115" i="23" s="1"/>
  <c r="ED110" i="23"/>
  <c r="EC110" i="23"/>
  <c r="EB110" i="23"/>
  <c r="EA110" i="23"/>
  <c r="DZ110" i="23"/>
  <c r="DY110" i="23"/>
  <c r="T110" i="23"/>
  <c r="DD91" i="23"/>
  <c r="DA91" i="23"/>
  <c r="CX91" i="23"/>
  <c r="CU91" i="23"/>
  <c r="CR91" i="23"/>
  <c r="CO91" i="23"/>
  <c r="CL91" i="23"/>
  <c r="CI91" i="23"/>
  <c r="CF91" i="23"/>
  <c r="CC91" i="23"/>
  <c r="BZ91" i="23"/>
  <c r="BW91" i="23"/>
  <c r="BT91" i="23"/>
  <c r="BQ91" i="23"/>
  <c r="BN91" i="23"/>
  <c r="BK91" i="23"/>
  <c r="DD89" i="23"/>
  <c r="DA89" i="23"/>
  <c r="CX89" i="23"/>
  <c r="CU89" i="23"/>
  <c r="CR89" i="23"/>
  <c r="CO89" i="23"/>
  <c r="CL89" i="23"/>
  <c r="CI89" i="23"/>
  <c r="CF89" i="23"/>
  <c r="CC89" i="23"/>
  <c r="BZ89" i="23"/>
  <c r="BW89" i="23"/>
  <c r="BT89" i="23"/>
  <c r="BQ89" i="23"/>
  <c r="BN89" i="23"/>
  <c r="BK89" i="23"/>
  <c r="DD87" i="23"/>
  <c r="DA87" i="23"/>
  <c r="CX87" i="23"/>
  <c r="CU87" i="23"/>
  <c r="CR87" i="23"/>
  <c r="CO87" i="23"/>
  <c r="CL87" i="23"/>
  <c r="CI87" i="23"/>
  <c r="CF87" i="23"/>
  <c r="CC87" i="23"/>
  <c r="BZ87" i="23"/>
  <c r="BW87" i="23"/>
  <c r="BT87" i="23"/>
  <c r="BQ87" i="23"/>
  <c r="BN87" i="23"/>
  <c r="DH85" i="23"/>
  <c r="DD85" i="23"/>
  <c r="DA85" i="23"/>
  <c r="CX85" i="23"/>
  <c r="CU85" i="23"/>
  <c r="CR85" i="23"/>
  <c r="CO85" i="23"/>
  <c r="CL85" i="23"/>
  <c r="CI85" i="23"/>
  <c r="CF85" i="23"/>
  <c r="CC85" i="23"/>
  <c r="BZ85" i="23"/>
  <c r="BW85" i="23"/>
  <c r="BT85" i="23"/>
  <c r="BQ85" i="23"/>
  <c r="BN85" i="23"/>
  <c r="DH83" i="23"/>
  <c r="DD83" i="23"/>
  <c r="DA83" i="23"/>
  <c r="CX83" i="23"/>
  <c r="CU83" i="23"/>
  <c r="CR83" i="23"/>
  <c r="CO83" i="23"/>
  <c r="CL83" i="23"/>
  <c r="CI83" i="23"/>
  <c r="CF83" i="23"/>
  <c r="CC83" i="23"/>
  <c r="BZ83" i="23"/>
  <c r="BW83" i="23"/>
  <c r="BT83" i="23"/>
  <c r="BQ83" i="23"/>
  <c r="BN83" i="23"/>
  <c r="DD81" i="23" a="1"/>
  <c r="DD81" i="23" s="1"/>
  <c r="DA81" i="23" a="1"/>
  <c r="DA81" i="23" s="1"/>
  <c r="CX81" i="23" a="1"/>
  <c r="CX81" i="23" s="1"/>
  <c r="CU81" i="23" a="1"/>
  <c r="CU81" i="23" s="1"/>
  <c r="CR81" i="23" a="1"/>
  <c r="CR81" i="23" s="1"/>
  <c r="CO81" i="23" a="1"/>
  <c r="CO81" i="23" s="1"/>
  <c r="CL81" i="23" a="1"/>
  <c r="CL81" i="23" s="1"/>
  <c r="CI81" i="23" a="1"/>
  <c r="CI81" i="23" s="1"/>
  <c r="CF81" i="23" a="1"/>
  <c r="CF81" i="23" s="1"/>
  <c r="CC81" i="23" a="1"/>
  <c r="CC81" i="23" s="1"/>
  <c r="CC93" i="23" s="1"/>
  <c r="BZ81" i="23" a="1"/>
  <c r="BZ81" i="23" s="1"/>
  <c r="BW81" i="23" a="1"/>
  <c r="BW81" i="23" s="1"/>
  <c r="BT81" i="23" a="1"/>
  <c r="BT81" i="23" s="1"/>
  <c r="BQ81" i="23" a="1"/>
  <c r="BQ81" i="23" s="1"/>
  <c r="BN81" i="23" a="1"/>
  <c r="BN81" i="23" s="1"/>
  <c r="BL66" i="23"/>
  <c r="BF66" i="23"/>
  <c r="BC66" i="23"/>
  <c r="AZ66" i="23"/>
  <c r="AW66" i="23"/>
  <c r="AT66" i="23"/>
  <c r="AQ66" i="23"/>
  <c r="AN66" i="23"/>
  <c r="AK66" i="23"/>
  <c r="AH66" i="23"/>
  <c r="AE66" i="23"/>
  <c r="AB66" i="23"/>
  <c r="Y66" i="23"/>
  <c r="V66" i="23"/>
  <c r="S66" i="23"/>
  <c r="P66" i="23"/>
  <c r="BF62" i="23"/>
  <c r="BC62" i="23"/>
  <c r="AZ62" i="23"/>
  <c r="AW62" i="23"/>
  <c r="AT62" i="23"/>
  <c r="AQ62" i="23"/>
  <c r="AN62" i="23"/>
  <c r="AK62" i="23"/>
  <c r="AH62" i="23"/>
  <c r="AE62" i="23"/>
  <c r="AB62" i="23"/>
  <c r="Y62" i="23"/>
  <c r="V62" i="23"/>
  <c r="S62" i="23"/>
  <c r="P62" i="23"/>
  <c r="C58" i="23"/>
  <c r="C54" i="23"/>
  <c r="BT43" i="23"/>
  <c r="J43" i="23"/>
  <c r="AX35" i="23"/>
  <c r="T21" i="23"/>
  <c r="AX17" i="23"/>
  <c r="T179" i="22"/>
  <c r="DD135" i="22"/>
  <c r="DA135" i="22"/>
  <c r="CX135" i="22"/>
  <c r="CU135" i="22"/>
  <c r="CR135" i="22"/>
  <c r="CO135" i="22"/>
  <c r="CL135" i="22"/>
  <c r="CI135" i="22"/>
  <c r="CF135" i="22"/>
  <c r="CC135" i="22"/>
  <c r="BZ135" i="22"/>
  <c r="BW135" i="22"/>
  <c r="BT135" i="22"/>
  <c r="BQ135" i="22"/>
  <c r="BN135" i="22"/>
  <c r="BK135" i="22"/>
  <c r="DD131" i="22"/>
  <c r="DA131" i="22"/>
  <c r="CX131" i="22"/>
  <c r="CU131" i="22"/>
  <c r="CR131" i="22"/>
  <c r="CO131" i="22"/>
  <c r="CL131" i="22"/>
  <c r="CI131" i="22"/>
  <c r="CF131" i="22"/>
  <c r="CC131" i="22"/>
  <c r="BZ131" i="22"/>
  <c r="BW131" i="22"/>
  <c r="BT131" i="22"/>
  <c r="BQ131" i="22"/>
  <c r="BN131" i="22"/>
  <c r="BK131" i="22"/>
  <c r="DD127" i="22"/>
  <c r="DD147" i="22" s="1"/>
  <c r="DA127" i="22"/>
  <c r="DA147" i="22" s="1"/>
  <c r="CX127" i="22"/>
  <c r="CX147" i="22" s="1"/>
  <c r="CU127" i="22"/>
  <c r="CU147" i="22" s="1"/>
  <c r="CR127" i="22"/>
  <c r="CR147" i="22" s="1"/>
  <c r="CO127" i="22"/>
  <c r="CO147" i="22" s="1"/>
  <c r="CL127" i="22"/>
  <c r="CL147" i="22" s="1"/>
  <c r="CI127" i="22"/>
  <c r="CI147" i="22" s="1"/>
  <c r="CF127" i="22"/>
  <c r="CF147" i="22" s="1"/>
  <c r="CC127" i="22"/>
  <c r="CC147" i="22" s="1"/>
  <c r="BZ127" i="22"/>
  <c r="BZ147" i="22" s="1"/>
  <c r="BW127" i="22"/>
  <c r="BW147" i="22" s="1"/>
  <c r="BT127" i="22"/>
  <c r="BT147" i="22" s="1"/>
  <c r="BQ127" i="22"/>
  <c r="BQ147" i="22" s="1"/>
  <c r="BN127" i="22"/>
  <c r="BN147" i="22" s="1"/>
  <c r="BK127" i="22"/>
  <c r="CL123" i="22"/>
  <c r="DD119" i="22"/>
  <c r="DD123" i="22" s="1"/>
  <c r="DA119" i="22"/>
  <c r="DA123" i="22" s="1"/>
  <c r="CX119" i="22"/>
  <c r="CX123" i="22" s="1"/>
  <c r="CU119" i="22"/>
  <c r="CU123" i="22" s="1"/>
  <c r="CR119" i="22"/>
  <c r="CR123" i="22" s="1"/>
  <c r="CO119" i="22"/>
  <c r="CO123" i="22" s="1"/>
  <c r="CL119" i="22"/>
  <c r="CI119" i="22"/>
  <c r="CI123" i="22" s="1"/>
  <c r="CF119" i="22"/>
  <c r="CF123" i="22" s="1"/>
  <c r="CC119" i="22"/>
  <c r="CC123" i="22" s="1"/>
  <c r="BZ119" i="22"/>
  <c r="BZ123" i="22" s="1"/>
  <c r="BW119" i="22"/>
  <c r="BW123" i="22" s="1"/>
  <c r="BT119" i="22"/>
  <c r="BT123" i="22" s="1"/>
  <c r="BQ119" i="22"/>
  <c r="BQ123" i="22" s="1"/>
  <c r="BN119" i="22"/>
  <c r="BN123" i="22" s="1"/>
  <c r="BK119" i="22"/>
  <c r="BK123" i="22" s="1"/>
  <c r="T110" i="22"/>
  <c r="AX31" i="22"/>
  <c r="J43" i="22"/>
  <c r="T21" i="22"/>
  <c r="AX17" i="22"/>
  <c r="T203" i="21"/>
  <c r="DD171" i="21"/>
  <c r="DA171" i="21"/>
  <c r="CX171" i="21"/>
  <c r="CU171" i="21"/>
  <c r="CR171" i="21"/>
  <c r="CO171" i="21"/>
  <c r="CL171" i="21"/>
  <c r="CI171" i="21"/>
  <c r="CF171" i="21"/>
  <c r="CC171" i="21"/>
  <c r="BZ171" i="21"/>
  <c r="BW171" i="21"/>
  <c r="BT171" i="21"/>
  <c r="BQ171" i="21"/>
  <c r="BN171" i="21"/>
  <c r="BK171" i="21"/>
  <c r="DD159" i="21"/>
  <c r="DA159" i="21"/>
  <c r="CX159" i="21"/>
  <c r="CU159" i="21"/>
  <c r="CR159" i="21"/>
  <c r="CO159" i="21"/>
  <c r="CL159" i="21"/>
  <c r="CI159" i="21"/>
  <c r="CF159" i="21"/>
  <c r="CC159" i="21"/>
  <c r="BZ159" i="21"/>
  <c r="BW159" i="21"/>
  <c r="BT159" i="21"/>
  <c r="BQ159" i="21"/>
  <c r="BN159" i="21"/>
  <c r="BK159" i="21"/>
  <c r="DD155" i="21"/>
  <c r="DA155" i="21"/>
  <c r="CX155" i="21"/>
  <c r="CU155" i="21"/>
  <c r="CR155" i="21"/>
  <c r="CO155" i="21"/>
  <c r="CL155" i="21"/>
  <c r="CI155" i="21"/>
  <c r="CF155" i="21"/>
  <c r="CC155" i="21"/>
  <c r="BZ155" i="21"/>
  <c r="BW155" i="21"/>
  <c r="BT155" i="21"/>
  <c r="BQ155" i="21"/>
  <c r="BN155" i="21"/>
  <c r="BK155" i="21"/>
  <c r="DD151" i="21"/>
  <c r="DA151" i="21"/>
  <c r="CX151" i="21"/>
  <c r="CU151" i="21"/>
  <c r="CR151" i="21"/>
  <c r="CO151" i="21"/>
  <c r="CL151" i="21"/>
  <c r="CI151" i="21"/>
  <c r="CF151" i="21"/>
  <c r="CC151" i="21"/>
  <c r="BZ151" i="21"/>
  <c r="BW151" i="21"/>
  <c r="BT151" i="21"/>
  <c r="BQ151" i="21"/>
  <c r="BN151" i="21"/>
  <c r="BK151" i="21"/>
  <c r="DD143" i="21"/>
  <c r="DA143" i="21"/>
  <c r="CX143" i="21"/>
  <c r="CX139" i="21" s="1"/>
  <c r="CU143" i="21"/>
  <c r="CU139" i="21" s="1"/>
  <c r="CR143" i="21"/>
  <c r="CR139" i="21" s="1"/>
  <c r="CO143" i="21"/>
  <c r="CO139" i="21" s="1"/>
  <c r="CL143" i="21"/>
  <c r="CL139" i="21" s="1"/>
  <c r="CI143" i="21"/>
  <c r="CI139" i="21" s="1"/>
  <c r="CF143" i="21"/>
  <c r="CF139" i="21" s="1"/>
  <c r="CC143" i="21"/>
  <c r="BZ143" i="21"/>
  <c r="BZ139" i="21" s="1"/>
  <c r="BW143" i="21"/>
  <c r="BW139" i="21" s="1"/>
  <c r="BT143" i="21"/>
  <c r="BT139" i="21" s="1"/>
  <c r="BQ143" i="21"/>
  <c r="BQ139" i="21" s="1"/>
  <c r="BN143" i="21"/>
  <c r="BN139" i="21" s="1"/>
  <c r="BK143" i="21"/>
  <c r="BK139" i="21" s="1"/>
  <c r="DD139" i="21"/>
  <c r="DA139" i="21"/>
  <c r="CC139" i="21"/>
  <c r="DD127" i="21"/>
  <c r="DA127" i="21"/>
  <c r="CX127" i="21"/>
  <c r="CU127" i="21"/>
  <c r="CR127" i="21"/>
  <c r="CO127" i="21"/>
  <c r="CL127" i="21"/>
  <c r="CI127" i="21"/>
  <c r="CF127" i="21"/>
  <c r="CC127" i="21"/>
  <c r="BZ127" i="21"/>
  <c r="BW127" i="21"/>
  <c r="BT127" i="21"/>
  <c r="BQ127" i="21"/>
  <c r="BN127" i="21"/>
  <c r="DD123" i="21"/>
  <c r="DA123" i="21"/>
  <c r="CX123" i="21"/>
  <c r="CU123" i="21"/>
  <c r="CR123" i="21"/>
  <c r="CO123" i="21"/>
  <c r="CL123" i="21"/>
  <c r="CI123" i="21"/>
  <c r="CF123" i="21"/>
  <c r="CC123" i="21"/>
  <c r="BZ123" i="21"/>
  <c r="BW123" i="21"/>
  <c r="BT123" i="21"/>
  <c r="BQ123" i="21"/>
  <c r="BN123" i="21"/>
  <c r="DD121" i="21"/>
  <c r="DA121" i="21"/>
  <c r="CX121" i="21"/>
  <c r="CU121" i="21"/>
  <c r="CR121" i="21"/>
  <c r="CO121" i="21"/>
  <c r="CL121" i="21"/>
  <c r="CI121" i="21"/>
  <c r="CF121" i="21"/>
  <c r="CC121" i="21"/>
  <c r="BZ121" i="21"/>
  <c r="BW121" i="21"/>
  <c r="BT121" i="21"/>
  <c r="BQ121" i="21"/>
  <c r="BN121" i="21"/>
  <c r="DD119" i="21"/>
  <c r="DA119" i="21"/>
  <c r="CX119" i="21"/>
  <c r="CU119" i="21"/>
  <c r="CR119" i="21"/>
  <c r="CO119" i="21"/>
  <c r="CL119" i="21"/>
  <c r="CI119" i="21"/>
  <c r="CF119" i="21"/>
  <c r="CC119" i="21"/>
  <c r="BZ119" i="21"/>
  <c r="BW119" i="21"/>
  <c r="BT119" i="21"/>
  <c r="BQ119" i="21"/>
  <c r="BN119" i="21"/>
  <c r="BK119" i="21"/>
  <c r="DD118" i="21"/>
  <c r="DA118" i="21"/>
  <c r="CX118" i="21"/>
  <c r="CU118" i="21"/>
  <c r="CR118" i="21"/>
  <c r="CO118" i="21"/>
  <c r="CL118" i="21"/>
  <c r="CI118" i="21"/>
  <c r="CF118" i="21"/>
  <c r="CC118" i="21"/>
  <c r="BZ118" i="21"/>
  <c r="BW118" i="21"/>
  <c r="BT118" i="21"/>
  <c r="BQ118" i="21"/>
  <c r="BN118" i="21"/>
  <c r="BK118" i="21"/>
  <c r="DW112" i="21"/>
  <c r="DW111" i="21"/>
  <c r="ME110" i="21"/>
  <c r="MD115" i="21" s="1"/>
  <c r="MD110" i="21"/>
  <c r="MC110" i="21"/>
  <c r="MB110" i="21"/>
  <c r="MA110" i="21"/>
  <c r="LZ110" i="21"/>
  <c r="LY115" i="21" s="1"/>
  <c r="LY110" i="21"/>
  <c r="LX115" i="21" s="1"/>
  <c r="LX110" i="21"/>
  <c r="LW110" i="21"/>
  <c r="LV115" i="21" s="1"/>
  <c r="LV110" i="21"/>
  <c r="LU110" i="21"/>
  <c r="LT110" i="21"/>
  <c r="LS110" i="21"/>
  <c r="LR110" i="21"/>
  <c r="LQ115" i="21" s="1"/>
  <c r="LQ110" i="21"/>
  <c r="LP110" i="21"/>
  <c r="LO110" i="21"/>
  <c r="LN115" i="21" s="1"/>
  <c r="LN110" i="21"/>
  <c r="LM110" i="21"/>
  <c r="LL110" i="21"/>
  <c r="LK110" i="21"/>
  <c r="LJ110" i="21"/>
  <c r="LI115" i="21" s="1"/>
  <c r="LI110" i="21"/>
  <c r="LH110" i="21"/>
  <c r="LG110" i="21"/>
  <c r="LF115" i="21" s="1"/>
  <c r="LF110" i="21"/>
  <c r="LE110" i="21"/>
  <c r="LD110" i="21"/>
  <c r="LC110" i="21"/>
  <c r="LB110" i="21"/>
  <c r="LA115" i="21" s="1"/>
  <c r="LA110" i="21"/>
  <c r="KZ115" i="21" s="1"/>
  <c r="KZ110" i="21"/>
  <c r="KY110" i="21"/>
  <c r="KX115" i="21" s="1"/>
  <c r="KX110" i="21"/>
  <c r="KW110" i="21"/>
  <c r="KV110" i="21"/>
  <c r="KU110" i="21"/>
  <c r="KT110" i="21"/>
  <c r="KS115" i="21" s="1"/>
  <c r="KS110" i="21"/>
  <c r="KR110" i="21"/>
  <c r="KQ110" i="21"/>
  <c r="KP115" i="21" s="1"/>
  <c r="KP110" i="21"/>
  <c r="KO110" i="21"/>
  <c r="KN110" i="21"/>
  <c r="KM110" i="21"/>
  <c r="KL110" i="21"/>
  <c r="KK115" i="21" s="1"/>
  <c r="KK110" i="21"/>
  <c r="KJ110" i="21"/>
  <c r="KI110" i="21"/>
  <c r="KH115" i="21" s="1"/>
  <c r="KH110" i="21"/>
  <c r="KG110" i="21"/>
  <c r="KF110" i="21"/>
  <c r="KE110" i="21"/>
  <c r="KD110" i="21"/>
  <c r="KC115" i="21" s="1"/>
  <c r="KC110" i="21"/>
  <c r="KB110" i="21"/>
  <c r="KB115" i="21" s="1"/>
  <c r="KA110" i="21"/>
  <c r="JZ110" i="21"/>
  <c r="JY110" i="21"/>
  <c r="JX110" i="21"/>
  <c r="JW110" i="21"/>
  <c r="JV110" i="21"/>
  <c r="JU115" i="21" s="1"/>
  <c r="JU110" i="21"/>
  <c r="JT110" i="21"/>
  <c r="JT115" i="21" s="1"/>
  <c r="JS110" i="21"/>
  <c r="JR115" i="21" s="1"/>
  <c r="JR110" i="21"/>
  <c r="JQ110" i="21"/>
  <c r="JP110" i="21"/>
  <c r="JO110" i="21"/>
  <c r="JN110" i="21"/>
  <c r="JM115" i="21" s="1"/>
  <c r="JM110" i="21"/>
  <c r="JL110" i="21"/>
  <c r="JK110" i="21"/>
  <c r="JJ115" i="21" s="1"/>
  <c r="JJ110" i="21"/>
  <c r="JI110" i="21"/>
  <c r="JH110" i="21"/>
  <c r="JG110" i="21"/>
  <c r="JF110" i="21"/>
  <c r="JE115" i="21" s="1"/>
  <c r="JE110" i="21"/>
  <c r="JD110" i="21"/>
  <c r="JC110" i="21"/>
  <c r="JB115" i="21" s="1"/>
  <c r="JB110" i="21"/>
  <c r="JA110" i="21"/>
  <c r="IZ110" i="21"/>
  <c r="IY110" i="21"/>
  <c r="IX110" i="21"/>
  <c r="IW115" i="21" s="1"/>
  <c r="IW110" i="21"/>
  <c r="IV110" i="21"/>
  <c r="IV115" i="21" s="1"/>
  <c r="IU110" i="21"/>
  <c r="IT115" i="21" s="1"/>
  <c r="IT110" i="21"/>
  <c r="IS115" i="21" s="1"/>
  <c r="IS110" i="21"/>
  <c r="IR110" i="21"/>
  <c r="IQ110" i="21"/>
  <c r="IP110" i="21"/>
  <c r="IO115" i="21" s="1"/>
  <c r="IO110" i="21"/>
  <c r="IN110" i="21"/>
  <c r="IM110" i="21"/>
  <c r="IL115" i="21" s="1"/>
  <c r="IL110" i="21"/>
  <c r="IK115" i="21" s="1"/>
  <c r="IK110" i="21"/>
  <c r="IJ110" i="21"/>
  <c r="II110" i="21"/>
  <c r="IH110" i="21"/>
  <c r="IG115" i="21" s="1"/>
  <c r="IG110" i="21"/>
  <c r="IF110" i="21"/>
  <c r="IE110" i="21"/>
  <c r="ID115" i="21" s="1"/>
  <c r="ID110" i="21"/>
  <c r="IC115" i="21" s="1"/>
  <c r="IC110" i="21"/>
  <c r="IB110" i="21"/>
  <c r="IA110" i="21"/>
  <c r="HZ110" i="21"/>
  <c r="HY115" i="21" s="1"/>
  <c r="HY110" i="21"/>
  <c r="HX110" i="21"/>
  <c r="HX115" i="21" s="1"/>
  <c r="HW110" i="21"/>
  <c r="HV115" i="21" s="1"/>
  <c r="HV110" i="21"/>
  <c r="HU115" i="21" s="1"/>
  <c r="HU110" i="21"/>
  <c r="HT110" i="21"/>
  <c r="HS110" i="21"/>
  <c r="HR110" i="21"/>
  <c r="HQ115" i="21" s="1"/>
  <c r="HQ110" i="21"/>
  <c r="HP110" i="21"/>
  <c r="HO110" i="21"/>
  <c r="HN115" i="21" s="1"/>
  <c r="HN110" i="21"/>
  <c r="HM115" i="21" s="1"/>
  <c r="HM110" i="21"/>
  <c r="HL110" i="21"/>
  <c r="HK110" i="21"/>
  <c r="HJ110" i="21"/>
  <c r="HI115" i="21" s="1"/>
  <c r="HI110" i="21"/>
  <c r="HH110" i="21"/>
  <c r="HH115" i="21" s="1"/>
  <c r="HG110" i="21"/>
  <c r="HF115" i="21" s="1"/>
  <c r="HF110" i="21"/>
  <c r="HE115" i="21" s="1"/>
  <c r="HE110" i="21"/>
  <c r="HD110" i="21"/>
  <c r="HC110" i="21"/>
  <c r="HB110" i="21"/>
  <c r="HA115" i="21" s="1"/>
  <c r="HA110" i="21"/>
  <c r="GZ110" i="21"/>
  <c r="GY110" i="21"/>
  <c r="GX115" i="21" s="1"/>
  <c r="GX110" i="21"/>
  <c r="GW115" i="21" s="1"/>
  <c r="GW110" i="21"/>
  <c r="GV110" i="21"/>
  <c r="GU110" i="21"/>
  <c r="GT110" i="21"/>
  <c r="GS115" i="21" s="1"/>
  <c r="GS110" i="21"/>
  <c r="GR110" i="21"/>
  <c r="GQ110" i="21"/>
  <c r="GP115" i="21" s="1"/>
  <c r="GP110" i="21"/>
  <c r="GO115" i="21" s="1"/>
  <c r="GO110" i="21"/>
  <c r="GN110" i="21"/>
  <c r="GM110" i="21"/>
  <c r="GL110" i="21"/>
  <c r="GK115" i="21" s="1"/>
  <c r="GK110" i="21"/>
  <c r="GJ110" i="21"/>
  <c r="GI110" i="21"/>
  <c r="GH115" i="21" s="1"/>
  <c r="GH110" i="21"/>
  <c r="GG115" i="21" s="1"/>
  <c r="GG110" i="21"/>
  <c r="GF110" i="21"/>
  <c r="GE110" i="21"/>
  <c r="GD110" i="21"/>
  <c r="GC115" i="21" s="1"/>
  <c r="GC110" i="21"/>
  <c r="GB110" i="21"/>
  <c r="GA110" i="21"/>
  <c r="FZ115" i="21" s="1"/>
  <c r="FZ110" i="21"/>
  <c r="FY115" i="21" s="1"/>
  <c r="FY110" i="21"/>
  <c r="FX110" i="21"/>
  <c r="FW110" i="21"/>
  <c r="FV110" i="21"/>
  <c r="FU115" i="21" s="1"/>
  <c r="FU110" i="21"/>
  <c r="FT110" i="21"/>
  <c r="FS110" i="21"/>
  <c r="FR115" i="21" s="1"/>
  <c r="FR110" i="21"/>
  <c r="FQ115" i="21" s="1"/>
  <c r="FQ110" i="21"/>
  <c r="FP110" i="21"/>
  <c r="FO110" i="21"/>
  <c r="FN110" i="21"/>
  <c r="FM115" i="21" s="1"/>
  <c r="FM110" i="21"/>
  <c r="FL110" i="21"/>
  <c r="FK110" i="21"/>
  <c r="FJ115" i="21" s="1"/>
  <c r="FJ110" i="21"/>
  <c r="FI115" i="21" s="1"/>
  <c r="FI110" i="21"/>
  <c r="FH110" i="21"/>
  <c r="FG110" i="21"/>
  <c r="FF110" i="21"/>
  <c r="FE115" i="21" s="1"/>
  <c r="FE110" i="21"/>
  <c r="FD110" i="21"/>
  <c r="FC110" i="21"/>
  <c r="FB115" i="21" s="1"/>
  <c r="FB110" i="21"/>
  <c r="FA115" i="21" s="1"/>
  <c r="FA110" i="21"/>
  <c r="EZ110" i="21"/>
  <c r="EY110" i="21"/>
  <c r="EX110" i="21"/>
  <c r="EW115" i="21" s="1"/>
  <c r="EW110" i="21"/>
  <c r="EV110" i="21"/>
  <c r="EU110" i="21"/>
  <c r="ET115" i="21" s="1"/>
  <c r="ET110" i="21"/>
  <c r="ES115" i="21" s="1"/>
  <c r="ES110" i="21"/>
  <c r="ER110" i="21"/>
  <c r="EQ110" i="21"/>
  <c r="EP110" i="21"/>
  <c r="EO115" i="21" s="1"/>
  <c r="EO110" i="21"/>
  <c r="EN110" i="21"/>
  <c r="EN115" i="21" s="1"/>
  <c r="EM110" i="21"/>
  <c r="EL115" i="21" s="1"/>
  <c r="EL110" i="21"/>
  <c r="EK115" i="21" s="1"/>
  <c r="EK110" i="21"/>
  <c r="EJ110" i="21"/>
  <c r="EI110" i="21"/>
  <c r="EH110" i="21"/>
  <c r="EG115" i="21" s="1"/>
  <c r="EG110" i="21"/>
  <c r="EF110" i="21"/>
  <c r="EE110" i="21"/>
  <c r="ED115" i="21" s="1"/>
  <c r="ED110" i="21"/>
  <c r="EC110" i="21"/>
  <c r="EB110" i="21"/>
  <c r="EA110" i="21"/>
  <c r="DZ110" i="21"/>
  <c r="DY115" i="21" s="1"/>
  <c r="DY110" i="21"/>
  <c r="T110" i="21"/>
  <c r="DD91" i="21"/>
  <c r="DA91" i="21"/>
  <c r="CX91" i="21"/>
  <c r="CU91" i="21"/>
  <c r="CR91" i="21"/>
  <c r="CO91" i="21"/>
  <c r="CL91" i="21"/>
  <c r="CI91" i="21"/>
  <c r="CF91" i="21"/>
  <c r="CC91" i="21"/>
  <c r="BZ91" i="21"/>
  <c r="BW91" i="21"/>
  <c r="BT91" i="21"/>
  <c r="BQ91" i="21"/>
  <c r="BN91" i="21"/>
  <c r="BK91" i="21"/>
  <c r="DD89" i="21"/>
  <c r="DA89" i="21"/>
  <c r="CX89" i="21"/>
  <c r="CU89" i="21"/>
  <c r="CR89" i="21"/>
  <c r="CO89" i="21"/>
  <c r="CL89" i="21"/>
  <c r="CI89" i="21"/>
  <c r="CF89" i="21"/>
  <c r="CC89" i="21"/>
  <c r="BZ89" i="21"/>
  <c r="BW89" i="21"/>
  <c r="BT89" i="21"/>
  <c r="BQ89" i="21"/>
  <c r="BN89" i="21"/>
  <c r="BK89" i="21"/>
  <c r="DD87" i="21"/>
  <c r="DA87" i="21"/>
  <c r="CX87" i="21"/>
  <c r="CU87" i="21"/>
  <c r="CR87" i="21"/>
  <c r="CO87" i="21"/>
  <c r="CL87" i="21"/>
  <c r="CI87" i="21"/>
  <c r="CF87" i="21"/>
  <c r="CC87" i="21"/>
  <c r="BZ87" i="21"/>
  <c r="BW87" i="21"/>
  <c r="BT87" i="21"/>
  <c r="BQ87" i="21"/>
  <c r="BN87" i="21"/>
  <c r="DH85" i="21"/>
  <c r="DD85" i="21"/>
  <c r="DA85" i="21"/>
  <c r="CX85" i="21"/>
  <c r="CU85" i="21"/>
  <c r="CR85" i="21"/>
  <c r="CO85" i="21"/>
  <c r="CL85" i="21"/>
  <c r="CI85" i="21"/>
  <c r="CF85" i="21"/>
  <c r="CC85" i="21"/>
  <c r="BZ85" i="21"/>
  <c r="BW85" i="21"/>
  <c r="BT85" i="21"/>
  <c r="BQ85" i="21"/>
  <c r="BN85" i="21"/>
  <c r="DH83" i="21"/>
  <c r="DD83" i="21"/>
  <c r="DA83" i="21"/>
  <c r="CX83" i="21"/>
  <c r="CU83" i="21"/>
  <c r="CR83" i="21"/>
  <c r="CO83" i="21"/>
  <c r="CL83" i="21"/>
  <c r="CI83" i="21"/>
  <c r="CF83" i="21"/>
  <c r="CC83" i="21"/>
  <c r="BZ83" i="21"/>
  <c r="BW83" i="21"/>
  <c r="BT83" i="21"/>
  <c r="BQ83" i="21"/>
  <c r="BN83" i="21"/>
  <c r="DD81" i="21" a="1"/>
  <c r="DD81" i="21" s="1"/>
  <c r="DA81" i="21" a="1"/>
  <c r="DA81" i="21" s="1"/>
  <c r="CX81" i="21" a="1"/>
  <c r="CX81" i="21" s="1"/>
  <c r="CU81" i="21" a="1"/>
  <c r="CU81" i="21" s="1"/>
  <c r="CR81" i="21" a="1"/>
  <c r="CR81" i="21" s="1"/>
  <c r="CR93" i="21" s="1"/>
  <c r="CO81" i="21" a="1"/>
  <c r="CO81" i="21" s="1"/>
  <c r="CL81" i="21" a="1"/>
  <c r="CL81" i="21" s="1"/>
  <c r="CI81" i="21" a="1"/>
  <c r="CI81" i="21" s="1"/>
  <c r="CF81" i="21" a="1"/>
  <c r="CF81" i="21" s="1"/>
  <c r="CC81" i="21" a="1"/>
  <c r="CC81" i="21" s="1"/>
  <c r="BZ81" i="21" a="1"/>
  <c r="BZ81" i="21" s="1"/>
  <c r="BW81" i="21" a="1"/>
  <c r="BW81" i="21" s="1"/>
  <c r="BT81" i="21" a="1"/>
  <c r="BT81" i="21" s="1"/>
  <c r="BQ81" i="21" a="1"/>
  <c r="BQ81" i="21" s="1"/>
  <c r="BN81" i="21" a="1"/>
  <c r="BN81" i="21" s="1"/>
  <c r="BL66" i="21"/>
  <c r="BF66" i="21"/>
  <c r="BC66" i="21"/>
  <c r="AZ66" i="21"/>
  <c r="AW66" i="21"/>
  <c r="AT66" i="21"/>
  <c r="AQ66" i="21"/>
  <c r="AN66" i="21"/>
  <c r="AK66" i="21"/>
  <c r="AH66" i="21"/>
  <c r="AE66" i="21"/>
  <c r="AB66" i="21"/>
  <c r="Y66" i="21"/>
  <c r="V66" i="21"/>
  <c r="S66" i="21"/>
  <c r="P66" i="21"/>
  <c r="BF62" i="21"/>
  <c r="BC62" i="21"/>
  <c r="AZ62" i="21"/>
  <c r="AW62" i="21"/>
  <c r="AT62" i="21"/>
  <c r="AQ62" i="21"/>
  <c r="AN62" i="21"/>
  <c r="AK62" i="21"/>
  <c r="AH62" i="21"/>
  <c r="AE62" i="21"/>
  <c r="AB62" i="21"/>
  <c r="Y62" i="21"/>
  <c r="V62" i="21"/>
  <c r="S62" i="21"/>
  <c r="P62" i="21"/>
  <c r="CI147" i="21"/>
  <c r="AX31" i="21"/>
  <c r="J43" i="21"/>
  <c r="T21" i="21"/>
  <c r="AX17" i="21"/>
  <c r="T171" i="20"/>
  <c r="DD139" i="20"/>
  <c r="DA139" i="20"/>
  <c r="DA151" i="20" s="1"/>
  <c r="DA155" i="20" s="1"/>
  <c r="CX139" i="20"/>
  <c r="CX151" i="20" s="1"/>
  <c r="CX155" i="20" s="1"/>
  <c r="CU139" i="20"/>
  <c r="CU151" i="20" s="1"/>
  <c r="CU155" i="20" s="1"/>
  <c r="CR139" i="20"/>
  <c r="CO139" i="20"/>
  <c r="CO151" i="20" s="1"/>
  <c r="CO155" i="20" s="1"/>
  <c r="CL139" i="20"/>
  <c r="CL151" i="20" s="1"/>
  <c r="CL155" i="20" s="1"/>
  <c r="CI139" i="20"/>
  <c r="CI151" i="20" s="1"/>
  <c r="CI155" i="20" s="1"/>
  <c r="CF139" i="20"/>
  <c r="CC139" i="20"/>
  <c r="CC151" i="20" s="1"/>
  <c r="CC155" i="20" s="1"/>
  <c r="BZ139" i="20"/>
  <c r="BZ151" i="20" s="1"/>
  <c r="BZ155" i="20" s="1"/>
  <c r="BW139" i="20"/>
  <c r="BW151" i="20" s="1"/>
  <c r="BW155" i="20" s="1"/>
  <c r="BT139" i="20"/>
  <c r="BQ139" i="20"/>
  <c r="BQ151" i="20" s="1"/>
  <c r="BQ155" i="20" s="1"/>
  <c r="BN139" i="20"/>
  <c r="BN151" i="20" s="1"/>
  <c r="BN155" i="20" s="1"/>
  <c r="BK139" i="20"/>
  <c r="BK151" i="20" s="1"/>
  <c r="DD131" i="20"/>
  <c r="DA131" i="20"/>
  <c r="CX131" i="20"/>
  <c r="CU131" i="20"/>
  <c r="CR131" i="20"/>
  <c r="CO131" i="20"/>
  <c r="CL131" i="20"/>
  <c r="CI131" i="20"/>
  <c r="CF131" i="20"/>
  <c r="CC131" i="20"/>
  <c r="BZ131" i="20"/>
  <c r="BW131" i="20"/>
  <c r="BT131" i="20"/>
  <c r="BQ131" i="20"/>
  <c r="BN131" i="20"/>
  <c r="BK131" i="20"/>
  <c r="DD127" i="20"/>
  <c r="DA127" i="20"/>
  <c r="CX127" i="20"/>
  <c r="CU127" i="20"/>
  <c r="CR127" i="20"/>
  <c r="CR135" i="20" s="1"/>
  <c r="CR147" i="20" s="1"/>
  <c r="CO127" i="20"/>
  <c r="CO135" i="20" s="1"/>
  <c r="CO143" i="20" s="1"/>
  <c r="CL127" i="20"/>
  <c r="CL135" i="20" s="1"/>
  <c r="CI127" i="20"/>
  <c r="CI135" i="20" s="1"/>
  <c r="CF127" i="20"/>
  <c r="CC127" i="20"/>
  <c r="BZ127" i="20"/>
  <c r="BW127" i="20"/>
  <c r="BT127" i="20"/>
  <c r="BT135" i="20" s="1"/>
  <c r="BT147" i="20" s="1"/>
  <c r="BQ127" i="20"/>
  <c r="BQ135" i="20" s="1"/>
  <c r="BQ143" i="20" s="1"/>
  <c r="BN127" i="20"/>
  <c r="BN135" i="20" s="1"/>
  <c r="BK127" i="20"/>
  <c r="BK135" i="20" s="1"/>
  <c r="DD123" i="20"/>
  <c r="DA123" i="20"/>
  <c r="CX123" i="20"/>
  <c r="CU123" i="20"/>
  <c r="CR123" i="20"/>
  <c r="CO123" i="20"/>
  <c r="CL123" i="20"/>
  <c r="CI123" i="20"/>
  <c r="CF123" i="20"/>
  <c r="CC123" i="20"/>
  <c r="BZ123" i="20"/>
  <c r="BW123" i="20"/>
  <c r="BT123" i="20"/>
  <c r="BQ123" i="20"/>
  <c r="BN123" i="20"/>
  <c r="BK123" i="20"/>
  <c r="DD119" i="20"/>
  <c r="DA119" i="20"/>
  <c r="CX119" i="20"/>
  <c r="CU119" i="20"/>
  <c r="CR119" i="20"/>
  <c r="CO119" i="20"/>
  <c r="CL119" i="20"/>
  <c r="CI119" i="20"/>
  <c r="CF119" i="20"/>
  <c r="CC119" i="20"/>
  <c r="BZ119" i="20"/>
  <c r="BW119" i="20"/>
  <c r="BT119" i="20"/>
  <c r="BQ119" i="20"/>
  <c r="BN119" i="20"/>
  <c r="BK119" i="20"/>
  <c r="T110" i="20"/>
  <c r="G123" i="20"/>
  <c r="AR123" i="20" s="1"/>
  <c r="G119" i="20"/>
  <c r="AR119" i="20" s="1"/>
  <c r="J43" i="20"/>
  <c r="T21" i="20"/>
  <c r="AX17" i="20"/>
  <c r="T199" i="19"/>
  <c r="DD167" i="19"/>
  <c r="DA167" i="19"/>
  <c r="CX167" i="19"/>
  <c r="CX179" i="19" s="1"/>
  <c r="CX183" i="19" s="1"/>
  <c r="CU167" i="19"/>
  <c r="CR167" i="19"/>
  <c r="CO167" i="19"/>
  <c r="CL167" i="19"/>
  <c r="CI167" i="19"/>
  <c r="CF167" i="19"/>
  <c r="CC167" i="19"/>
  <c r="BZ167" i="19"/>
  <c r="BW167" i="19"/>
  <c r="BT167" i="19"/>
  <c r="BQ167" i="19"/>
  <c r="BN167" i="19"/>
  <c r="BK167" i="19"/>
  <c r="DD159" i="19"/>
  <c r="DA159" i="19"/>
  <c r="DA179" i="19" s="1"/>
  <c r="DA183" i="19" s="1"/>
  <c r="CX159" i="19"/>
  <c r="CU159" i="19"/>
  <c r="CR159" i="19"/>
  <c r="CR179" i="19" s="1"/>
  <c r="CR183" i="19" s="1"/>
  <c r="CO159" i="19"/>
  <c r="CL159" i="19"/>
  <c r="CI159" i="19"/>
  <c r="CF159" i="19"/>
  <c r="CC159" i="19"/>
  <c r="CC179" i="19" s="1"/>
  <c r="CC183" i="19" s="1"/>
  <c r="BZ159" i="19"/>
  <c r="BW159" i="19"/>
  <c r="BT159" i="19"/>
  <c r="BT179" i="19" s="1"/>
  <c r="BT183" i="19" s="1"/>
  <c r="BQ159" i="19"/>
  <c r="BN159" i="19"/>
  <c r="BK159" i="19"/>
  <c r="DD155" i="19"/>
  <c r="DA155" i="19"/>
  <c r="CX155" i="19"/>
  <c r="CU155" i="19"/>
  <c r="CR155" i="19"/>
  <c r="CO155" i="19"/>
  <c r="CL155" i="19"/>
  <c r="CI155" i="19"/>
  <c r="CF155" i="19"/>
  <c r="CC155" i="19"/>
  <c r="BZ155" i="19"/>
  <c r="BW155" i="19"/>
  <c r="BT155" i="19"/>
  <c r="BQ155" i="19"/>
  <c r="BN155" i="19"/>
  <c r="BK155" i="19"/>
  <c r="DD151" i="19"/>
  <c r="DA151" i="19"/>
  <c r="CX151" i="19"/>
  <c r="CU151" i="19"/>
  <c r="CR151" i="19"/>
  <c r="CO151" i="19"/>
  <c r="CL151" i="19"/>
  <c r="CI151" i="19"/>
  <c r="CF151" i="19"/>
  <c r="CC151" i="19"/>
  <c r="BZ151" i="19"/>
  <c r="BW151" i="19"/>
  <c r="BT151" i="19"/>
  <c r="BQ151" i="19"/>
  <c r="BN151" i="19"/>
  <c r="BK151" i="19"/>
  <c r="DD147" i="19"/>
  <c r="DA147" i="19"/>
  <c r="CX147" i="19"/>
  <c r="CU147" i="19"/>
  <c r="CR147" i="19"/>
  <c r="CO147" i="19"/>
  <c r="CL147" i="19"/>
  <c r="CI147" i="19"/>
  <c r="CF147" i="19"/>
  <c r="CC147" i="19"/>
  <c r="BZ147" i="19"/>
  <c r="BW147" i="19"/>
  <c r="BT147" i="19"/>
  <c r="BQ147" i="19"/>
  <c r="BN147" i="19"/>
  <c r="BK147" i="19"/>
  <c r="DD139" i="19"/>
  <c r="DA139" i="19"/>
  <c r="DA135" i="19" s="1"/>
  <c r="CX139" i="19"/>
  <c r="CU139" i="19"/>
  <c r="CU135" i="19" s="1"/>
  <c r="CR139" i="19"/>
  <c r="CR135" i="19" s="1"/>
  <c r="CO139" i="19"/>
  <c r="CO135" i="19" s="1"/>
  <c r="CL139" i="19"/>
  <c r="CL135" i="19" s="1"/>
  <c r="CI139" i="19"/>
  <c r="CI135" i="19" s="1"/>
  <c r="CF139" i="19"/>
  <c r="CC139" i="19"/>
  <c r="CC135" i="19" s="1"/>
  <c r="BZ139" i="19"/>
  <c r="BW139" i="19"/>
  <c r="BW135" i="19" s="1"/>
  <c r="BT139" i="19"/>
  <c r="BT135" i="19" s="1"/>
  <c r="BQ139" i="19"/>
  <c r="BN139" i="19"/>
  <c r="BK139" i="19"/>
  <c r="BK135" i="19" s="1"/>
  <c r="DD135" i="19"/>
  <c r="CX135" i="19"/>
  <c r="CF135" i="19"/>
  <c r="BZ135" i="19"/>
  <c r="BQ135" i="19"/>
  <c r="DD127" i="19"/>
  <c r="DA127" i="19"/>
  <c r="CX127" i="19"/>
  <c r="CU127" i="19"/>
  <c r="CR127" i="19"/>
  <c r="CO127" i="19"/>
  <c r="CL127" i="19"/>
  <c r="CI127" i="19"/>
  <c r="CF127" i="19"/>
  <c r="CC127" i="19"/>
  <c r="BZ127" i="19"/>
  <c r="BW127" i="19"/>
  <c r="BT127" i="19"/>
  <c r="BQ127" i="19"/>
  <c r="BN127" i="19"/>
  <c r="DD123" i="19"/>
  <c r="DA123" i="19"/>
  <c r="CX123" i="19"/>
  <c r="CU123" i="19"/>
  <c r="CR123" i="19"/>
  <c r="CO123" i="19"/>
  <c r="CL123" i="19"/>
  <c r="CI123" i="19"/>
  <c r="CF123" i="19"/>
  <c r="CC123" i="19"/>
  <c r="BZ123" i="19"/>
  <c r="BW123" i="19"/>
  <c r="BT123" i="19"/>
  <c r="BQ123" i="19"/>
  <c r="BN123" i="19"/>
  <c r="DD121" i="19"/>
  <c r="DA121" i="19"/>
  <c r="CX121" i="19"/>
  <c r="CU121" i="19"/>
  <c r="CR121" i="19"/>
  <c r="CO121" i="19"/>
  <c r="CL121" i="19"/>
  <c r="CI121" i="19"/>
  <c r="CF121" i="19"/>
  <c r="CC121" i="19"/>
  <c r="BZ121" i="19"/>
  <c r="BW121" i="19"/>
  <c r="BT121" i="19"/>
  <c r="BQ121" i="19"/>
  <c r="BN121" i="19"/>
  <c r="DD119" i="19"/>
  <c r="DA119" i="19"/>
  <c r="CX119" i="19"/>
  <c r="CU119" i="19"/>
  <c r="CR119" i="19"/>
  <c r="CO119" i="19"/>
  <c r="CL119" i="19"/>
  <c r="CI119" i="19"/>
  <c r="CF119" i="19"/>
  <c r="CC119" i="19"/>
  <c r="BZ119" i="19"/>
  <c r="BW119" i="19"/>
  <c r="BT119" i="19"/>
  <c r="BQ119" i="19"/>
  <c r="BN119" i="19"/>
  <c r="BK119" i="19"/>
  <c r="DD118" i="19"/>
  <c r="DA118" i="19"/>
  <c r="CX118" i="19"/>
  <c r="CU118" i="19"/>
  <c r="CR118" i="19"/>
  <c r="CO118" i="19"/>
  <c r="CL118" i="19"/>
  <c r="CI118" i="19"/>
  <c r="CF118" i="19"/>
  <c r="CC118" i="19"/>
  <c r="BZ118" i="19"/>
  <c r="BW118" i="19"/>
  <c r="BT118" i="19"/>
  <c r="BQ118" i="19"/>
  <c r="BN118" i="19"/>
  <c r="BK118" i="19"/>
  <c r="JH115" i="19"/>
  <c r="DW112" i="19"/>
  <c r="DW111" i="19"/>
  <c r="ME110" i="19"/>
  <c r="MD110" i="19"/>
  <c r="MC115" i="19" s="1"/>
  <c r="MC110" i="19"/>
  <c r="MB110" i="19"/>
  <c r="MA110" i="19"/>
  <c r="LZ110" i="19"/>
  <c r="LY110" i="19"/>
  <c r="LX110" i="19"/>
  <c r="LW110" i="19"/>
  <c r="LV110" i="19"/>
  <c r="LU115" i="19" s="1"/>
  <c r="LU110" i="19"/>
  <c r="LT110" i="19"/>
  <c r="LS110" i="19"/>
  <c r="LR110" i="19"/>
  <c r="LQ110" i="19"/>
  <c r="LP110" i="19"/>
  <c r="LO110" i="19"/>
  <c r="LN110" i="19"/>
  <c r="LM110" i="19"/>
  <c r="LL110" i="19"/>
  <c r="LL115" i="19" s="1"/>
  <c r="LK110" i="19"/>
  <c r="LJ110" i="19"/>
  <c r="LI110" i="19"/>
  <c r="LH110" i="19"/>
  <c r="LG110" i="19"/>
  <c r="LF110" i="19"/>
  <c r="LE115" i="19" s="1"/>
  <c r="LE110" i="19"/>
  <c r="LD110" i="19"/>
  <c r="LC110" i="19"/>
  <c r="LB110" i="19"/>
  <c r="LA110" i="19"/>
  <c r="KZ110" i="19"/>
  <c r="KY110" i="19"/>
  <c r="KX110" i="19"/>
  <c r="KW115" i="19" s="1"/>
  <c r="KW110" i="19"/>
  <c r="KV110" i="19"/>
  <c r="KU115" i="19" s="1"/>
  <c r="KU110" i="19"/>
  <c r="KT110" i="19"/>
  <c r="KS110" i="19"/>
  <c r="KR110" i="19"/>
  <c r="KQ110" i="19"/>
  <c r="KP110" i="19"/>
  <c r="KO115" i="19" s="1"/>
  <c r="KO110" i="19"/>
  <c r="KN110" i="19"/>
  <c r="KM110" i="19"/>
  <c r="KL110" i="19"/>
  <c r="KK110" i="19"/>
  <c r="KJ110" i="19"/>
  <c r="KI110" i="19"/>
  <c r="KH110" i="19"/>
  <c r="KG110" i="19"/>
  <c r="KF110" i="19"/>
  <c r="KF115" i="19" s="1"/>
  <c r="KE110" i="19"/>
  <c r="KD110" i="19"/>
  <c r="KC110" i="19"/>
  <c r="KB110" i="19"/>
  <c r="KA110" i="19"/>
  <c r="JZ110" i="19"/>
  <c r="JY115" i="19" s="1"/>
  <c r="JY110" i="19"/>
  <c r="JX110" i="19"/>
  <c r="JW110" i="19"/>
  <c r="JV110" i="19"/>
  <c r="JU110" i="19"/>
  <c r="JT110" i="19"/>
  <c r="JS110" i="19"/>
  <c r="JR110" i="19"/>
  <c r="JQ115" i="19" s="1"/>
  <c r="JQ110" i="19"/>
  <c r="JP110" i="19"/>
  <c r="JO110" i="19"/>
  <c r="JN110" i="19"/>
  <c r="JM110" i="19"/>
  <c r="JL110" i="19"/>
  <c r="JK110" i="19"/>
  <c r="JJ110" i="19"/>
  <c r="JI115" i="19" s="1"/>
  <c r="JI110" i="19"/>
  <c r="JH110" i="19"/>
  <c r="JG110" i="19"/>
  <c r="JF110" i="19"/>
  <c r="JE110" i="19"/>
  <c r="JD110" i="19"/>
  <c r="JC110" i="19"/>
  <c r="JB110" i="19"/>
  <c r="JA110" i="19"/>
  <c r="IZ110" i="19"/>
  <c r="IZ115" i="19" s="1"/>
  <c r="IY110" i="19"/>
  <c r="IX110" i="19"/>
  <c r="IW110" i="19"/>
  <c r="IV110" i="19"/>
  <c r="IU110" i="19"/>
  <c r="IT110" i="19"/>
  <c r="IS115" i="19" s="1"/>
  <c r="IS110" i="19"/>
  <c r="IR110" i="19"/>
  <c r="IQ110" i="19"/>
  <c r="IP110" i="19"/>
  <c r="IO110" i="19"/>
  <c r="IN110" i="19"/>
  <c r="IM110" i="19"/>
  <c r="IL110" i="19"/>
  <c r="IK115" i="19" s="1"/>
  <c r="IK110" i="19"/>
  <c r="IJ110" i="19"/>
  <c r="II110" i="19"/>
  <c r="IH110" i="19"/>
  <c r="IG110" i="19"/>
  <c r="IF110" i="19"/>
  <c r="IE110" i="19"/>
  <c r="IE115" i="19" s="1"/>
  <c r="ID110" i="19"/>
  <c r="IC115" i="19" s="1"/>
  <c r="IC110" i="19"/>
  <c r="IB110" i="19"/>
  <c r="IA110" i="19"/>
  <c r="HZ110" i="19"/>
  <c r="HY110" i="19"/>
  <c r="HX110" i="19"/>
  <c r="HW110" i="19"/>
  <c r="HV110" i="19"/>
  <c r="HU110" i="19"/>
  <c r="HT110" i="19"/>
  <c r="HT115" i="19" s="1"/>
  <c r="HS110" i="19"/>
  <c r="HR110" i="19"/>
  <c r="HQ110" i="19"/>
  <c r="HP110" i="19"/>
  <c r="HO110" i="19"/>
  <c r="HN110" i="19"/>
  <c r="HM115" i="19" s="1"/>
  <c r="HM110" i="19"/>
  <c r="HL110" i="19"/>
  <c r="HK110" i="19"/>
  <c r="HJ110" i="19"/>
  <c r="HI110" i="19"/>
  <c r="HH110" i="19"/>
  <c r="HG110" i="19"/>
  <c r="HF110" i="19"/>
  <c r="HE115" i="19" s="1"/>
  <c r="HE110" i="19"/>
  <c r="HD110" i="19"/>
  <c r="HC110" i="19"/>
  <c r="HB110" i="19"/>
  <c r="HA110" i="19"/>
  <c r="GZ110" i="19"/>
  <c r="GY110" i="19"/>
  <c r="GY115" i="19" s="1"/>
  <c r="GX110" i="19"/>
  <c r="GW115" i="19" s="1"/>
  <c r="GW110" i="19"/>
  <c r="GV110" i="19"/>
  <c r="GU110" i="19"/>
  <c r="GT110" i="19"/>
  <c r="GS110" i="19"/>
  <c r="GR110" i="19"/>
  <c r="GQ110" i="19"/>
  <c r="GP110" i="19"/>
  <c r="GO110" i="19"/>
  <c r="GN110" i="19"/>
  <c r="GN115" i="19" s="1"/>
  <c r="GM110" i="19"/>
  <c r="GL110" i="19"/>
  <c r="GK110" i="19"/>
  <c r="GJ110" i="19"/>
  <c r="GI110" i="19"/>
  <c r="GH110" i="19"/>
  <c r="GG115" i="19" s="1"/>
  <c r="GG110" i="19"/>
  <c r="GF110" i="19"/>
  <c r="GE110" i="19"/>
  <c r="GD110" i="19"/>
  <c r="GC110" i="19"/>
  <c r="GB110" i="19"/>
  <c r="GA110" i="19"/>
  <c r="FZ110" i="19"/>
  <c r="FY115" i="19" s="1"/>
  <c r="FY110" i="19"/>
  <c r="FX110" i="19"/>
  <c r="FW115" i="19" s="1"/>
  <c r="FW110" i="19"/>
  <c r="FV110" i="19"/>
  <c r="FU110" i="19"/>
  <c r="FT110" i="19"/>
  <c r="FS110" i="19"/>
  <c r="FS115" i="19" s="1"/>
  <c r="FR110" i="19"/>
  <c r="FQ115" i="19" s="1"/>
  <c r="FQ110" i="19"/>
  <c r="FP110" i="19"/>
  <c r="FO110" i="19"/>
  <c r="FN110" i="19"/>
  <c r="FM110" i="19"/>
  <c r="FL110" i="19"/>
  <c r="FK110" i="19"/>
  <c r="FJ110" i="19"/>
  <c r="FI110" i="19"/>
  <c r="FH110" i="19"/>
  <c r="FH115" i="19" s="1"/>
  <c r="FG110" i="19"/>
  <c r="FF110" i="19"/>
  <c r="FE110" i="19"/>
  <c r="FD110" i="19"/>
  <c r="FC110" i="19"/>
  <c r="FB110" i="19"/>
  <c r="FA115" i="19" s="1"/>
  <c r="FA110" i="19"/>
  <c r="EZ110" i="19"/>
  <c r="EY110" i="19"/>
  <c r="EX110" i="19"/>
  <c r="EW110" i="19"/>
  <c r="EV110" i="19"/>
  <c r="EU110" i="19"/>
  <c r="ET110" i="19"/>
  <c r="ES115" i="19" s="1"/>
  <c r="ES110" i="19"/>
  <c r="ER110" i="19"/>
  <c r="EQ110" i="19"/>
  <c r="EP110" i="19"/>
  <c r="EO110" i="19"/>
  <c r="EN110" i="19"/>
  <c r="EM110" i="19"/>
  <c r="EM115" i="19" s="1"/>
  <c r="EL110" i="19"/>
  <c r="EK115" i="19" s="1"/>
  <c r="EK110" i="19"/>
  <c r="EJ110" i="19"/>
  <c r="EI110" i="19"/>
  <c r="EH110" i="19"/>
  <c r="EG110" i="19"/>
  <c r="EF110" i="19"/>
  <c r="EE110" i="19"/>
  <c r="ED110" i="19"/>
  <c r="EC110" i="19"/>
  <c r="EB110" i="19"/>
  <c r="EB115" i="19" s="1"/>
  <c r="EA110" i="19"/>
  <c r="DZ110" i="19"/>
  <c r="DY110" i="19"/>
  <c r="T110" i="19"/>
  <c r="DD91" i="19"/>
  <c r="DA91" i="19"/>
  <c r="CX91" i="19"/>
  <c r="CU91" i="19"/>
  <c r="CR91" i="19"/>
  <c r="CO91" i="19"/>
  <c r="CL91" i="19"/>
  <c r="CI91" i="19"/>
  <c r="CF91" i="19"/>
  <c r="CC91" i="19"/>
  <c r="BZ91" i="19"/>
  <c r="BW91" i="19"/>
  <c r="BT91" i="19"/>
  <c r="BQ91" i="19"/>
  <c r="BN91" i="19"/>
  <c r="BK91" i="19"/>
  <c r="DD89" i="19"/>
  <c r="DA89" i="19"/>
  <c r="CX89" i="19"/>
  <c r="CU89" i="19"/>
  <c r="CR89" i="19"/>
  <c r="CO89" i="19"/>
  <c r="CL89" i="19"/>
  <c r="CI89" i="19"/>
  <c r="CF89" i="19"/>
  <c r="CC89" i="19"/>
  <c r="BZ89" i="19"/>
  <c r="BW89" i="19"/>
  <c r="BT89" i="19"/>
  <c r="BQ89" i="19"/>
  <c r="BN89" i="19"/>
  <c r="BK89" i="19"/>
  <c r="DD87" i="19"/>
  <c r="DA87" i="19"/>
  <c r="CX87" i="19"/>
  <c r="CU87" i="19"/>
  <c r="CR87" i="19"/>
  <c r="CO87" i="19"/>
  <c r="CL87" i="19"/>
  <c r="CI87" i="19"/>
  <c r="CF87" i="19"/>
  <c r="CC87" i="19"/>
  <c r="BZ87" i="19"/>
  <c r="BW87" i="19"/>
  <c r="BT87" i="19"/>
  <c r="BQ87" i="19"/>
  <c r="BN87" i="19"/>
  <c r="DH85" i="19"/>
  <c r="DD85" i="19"/>
  <c r="DA85" i="19"/>
  <c r="CX85" i="19"/>
  <c r="CU85" i="19"/>
  <c r="CR85" i="19"/>
  <c r="CO85" i="19"/>
  <c r="CL85" i="19"/>
  <c r="CI85" i="19"/>
  <c r="CF85" i="19"/>
  <c r="CC85" i="19"/>
  <c r="BZ85" i="19"/>
  <c r="BW85" i="19"/>
  <c r="BT85" i="19"/>
  <c r="BQ85" i="19"/>
  <c r="BN85" i="19"/>
  <c r="DH83" i="19"/>
  <c r="DD83" i="19"/>
  <c r="DA83" i="19"/>
  <c r="CX83" i="19"/>
  <c r="CU83" i="19"/>
  <c r="CR83" i="19"/>
  <c r="CO83" i="19"/>
  <c r="CL83" i="19"/>
  <c r="CI83" i="19"/>
  <c r="CF83" i="19"/>
  <c r="CC83" i="19"/>
  <c r="BZ83" i="19"/>
  <c r="BW83" i="19"/>
  <c r="BT83" i="19"/>
  <c r="BQ83" i="19"/>
  <c r="BN83" i="19"/>
  <c r="DD81" i="19" a="1"/>
  <c r="DD81" i="19" s="1"/>
  <c r="DA81" i="19" a="1"/>
  <c r="DA81" i="19" s="1"/>
  <c r="CX81" i="19" a="1"/>
  <c r="CX81" i="19" s="1"/>
  <c r="CU81" i="19" a="1"/>
  <c r="CU81" i="19" s="1"/>
  <c r="CR81" i="19" a="1"/>
  <c r="CR81" i="19" s="1"/>
  <c r="CO81" i="19" a="1"/>
  <c r="CO81" i="19" s="1"/>
  <c r="CL81" i="19" a="1"/>
  <c r="CL81" i="19" s="1"/>
  <c r="CI81" i="19" a="1"/>
  <c r="CI81" i="19" s="1"/>
  <c r="CF81" i="19" a="1"/>
  <c r="CF81" i="19" s="1"/>
  <c r="CC81" i="19" a="1"/>
  <c r="CC81" i="19" s="1"/>
  <c r="BZ81" i="19" a="1"/>
  <c r="BZ81" i="19" s="1"/>
  <c r="BW81" i="19" a="1"/>
  <c r="BW81" i="19" s="1"/>
  <c r="BT81" i="19" a="1"/>
  <c r="BT81" i="19" s="1"/>
  <c r="BQ81" i="19" a="1"/>
  <c r="BQ81" i="19" s="1"/>
  <c r="BN81" i="19" a="1"/>
  <c r="BN81" i="19" s="1"/>
  <c r="BL66" i="19"/>
  <c r="BF66" i="19"/>
  <c r="BC66" i="19"/>
  <c r="AZ66" i="19"/>
  <c r="AW66" i="19"/>
  <c r="AT66" i="19"/>
  <c r="AQ66" i="19"/>
  <c r="AN66" i="19"/>
  <c r="AK66" i="19"/>
  <c r="AH66" i="19"/>
  <c r="AE66" i="19"/>
  <c r="AB66" i="19"/>
  <c r="Y66" i="19"/>
  <c r="V66" i="19"/>
  <c r="S66" i="19"/>
  <c r="P66" i="19"/>
  <c r="BF62" i="19"/>
  <c r="BC62" i="19"/>
  <c r="AZ62" i="19"/>
  <c r="AW62" i="19"/>
  <c r="AT62" i="19"/>
  <c r="AQ62" i="19"/>
  <c r="AN62" i="19"/>
  <c r="AK62" i="19"/>
  <c r="AH62" i="19"/>
  <c r="AE62" i="19"/>
  <c r="AB62" i="19"/>
  <c r="Y62" i="19"/>
  <c r="V62" i="19"/>
  <c r="S62" i="19"/>
  <c r="P62" i="19"/>
  <c r="CX143" i="19"/>
  <c r="CX163" i="19" s="1"/>
  <c r="CX175" i="19" s="1"/>
  <c r="G131" i="19"/>
  <c r="AR131" i="19" s="1"/>
  <c r="J43" i="19"/>
  <c r="T21" i="19"/>
  <c r="AX17" i="19"/>
  <c r="BK191" i="18"/>
  <c r="AL191" i="18" s="1"/>
  <c r="DD179" i="18"/>
  <c r="DD175" i="18" s="1"/>
  <c r="DA179" i="18"/>
  <c r="DA175" i="18" s="1"/>
  <c r="CX179" i="18"/>
  <c r="CX175" i="18" s="1"/>
  <c r="CU179" i="18"/>
  <c r="CU175" i="18" s="1"/>
  <c r="CR179" i="18"/>
  <c r="CR175" i="18" s="1"/>
  <c r="CO179" i="18"/>
  <c r="CL179" i="18"/>
  <c r="CL175" i="18" s="1"/>
  <c r="CI179" i="18"/>
  <c r="CI175" i="18" s="1"/>
  <c r="CF179" i="18"/>
  <c r="CF175" i="18" s="1"/>
  <c r="CC179" i="18"/>
  <c r="CC175" i="18" s="1"/>
  <c r="BZ179" i="18"/>
  <c r="BZ175" i="18" s="1"/>
  <c r="BW179" i="18"/>
  <c r="BW175" i="18" s="1"/>
  <c r="BT179" i="18"/>
  <c r="BT175" i="18" s="1"/>
  <c r="BQ179" i="18"/>
  <c r="BN179" i="18"/>
  <c r="BN175" i="18" s="1"/>
  <c r="BK179" i="18"/>
  <c r="BK175" i="18" s="1"/>
  <c r="CO175" i="18"/>
  <c r="BQ175" i="18"/>
  <c r="DD171" i="18"/>
  <c r="DA171" i="18"/>
  <c r="CX171" i="18"/>
  <c r="CU171" i="18"/>
  <c r="CR171" i="18"/>
  <c r="CO171" i="18"/>
  <c r="CL171" i="18"/>
  <c r="CI171" i="18"/>
  <c r="CF171" i="18"/>
  <c r="CC171" i="18"/>
  <c r="BZ171" i="18"/>
  <c r="BW171" i="18"/>
  <c r="BT171" i="18"/>
  <c r="BQ171" i="18"/>
  <c r="BN171" i="18"/>
  <c r="BK171" i="18"/>
  <c r="DD151" i="18"/>
  <c r="DA151" i="18"/>
  <c r="CX151" i="18"/>
  <c r="CU151" i="18"/>
  <c r="CR151" i="18"/>
  <c r="CO151" i="18"/>
  <c r="CL151" i="18"/>
  <c r="CI151" i="18"/>
  <c r="CF151" i="18"/>
  <c r="CC151" i="18"/>
  <c r="BZ151" i="18"/>
  <c r="BW151" i="18"/>
  <c r="BT151" i="18"/>
  <c r="BQ151" i="18"/>
  <c r="BN151" i="18"/>
  <c r="BK151" i="18"/>
  <c r="DD139" i="18"/>
  <c r="DA139" i="18"/>
  <c r="CX139" i="18"/>
  <c r="CU139" i="18"/>
  <c r="CR139" i="18"/>
  <c r="CO139" i="18"/>
  <c r="CL139" i="18"/>
  <c r="CI139" i="18"/>
  <c r="CF139" i="18"/>
  <c r="CC139" i="18"/>
  <c r="BZ139" i="18"/>
  <c r="BW139" i="18"/>
  <c r="BT139" i="18"/>
  <c r="BQ139" i="18"/>
  <c r="BN139" i="18"/>
  <c r="BK139" i="18"/>
  <c r="DD135" i="18"/>
  <c r="DA135" i="18"/>
  <c r="CX135" i="18"/>
  <c r="CU135" i="18"/>
  <c r="CR135" i="18"/>
  <c r="CO135" i="18"/>
  <c r="CL135" i="18"/>
  <c r="CI135" i="18"/>
  <c r="CF135" i="18"/>
  <c r="CC135" i="18"/>
  <c r="BZ135" i="18"/>
  <c r="BW135" i="18"/>
  <c r="BT135" i="18"/>
  <c r="BQ135" i="18"/>
  <c r="BN135" i="18"/>
  <c r="BK135" i="18"/>
  <c r="DD127" i="18"/>
  <c r="DA127" i="18"/>
  <c r="CX127" i="18"/>
  <c r="CU127" i="18"/>
  <c r="CR127" i="18"/>
  <c r="CO127" i="18"/>
  <c r="CL127" i="18"/>
  <c r="CI127" i="18"/>
  <c r="CF127" i="18"/>
  <c r="CC127" i="18"/>
  <c r="BZ127" i="18"/>
  <c r="BW127" i="18"/>
  <c r="BT127" i="18"/>
  <c r="BQ127" i="18"/>
  <c r="BN127" i="18"/>
  <c r="BK127" i="18"/>
  <c r="DD123" i="18"/>
  <c r="DA123" i="18"/>
  <c r="CX123" i="18"/>
  <c r="CU123" i="18"/>
  <c r="CR123" i="18"/>
  <c r="CO123" i="18"/>
  <c r="CL123" i="18"/>
  <c r="CI123" i="18"/>
  <c r="CF123" i="18"/>
  <c r="CC123" i="18"/>
  <c r="BZ123" i="18"/>
  <c r="BW123" i="18"/>
  <c r="BT123" i="18"/>
  <c r="BQ123" i="18"/>
  <c r="BN123" i="18"/>
  <c r="BK123" i="18"/>
  <c r="DD119" i="18"/>
  <c r="DA119" i="18"/>
  <c r="CX119" i="18"/>
  <c r="CU119" i="18"/>
  <c r="CR119" i="18"/>
  <c r="CO119" i="18"/>
  <c r="CL119" i="18"/>
  <c r="CI119" i="18"/>
  <c r="CF119" i="18"/>
  <c r="CC119" i="18"/>
  <c r="BZ119" i="18"/>
  <c r="BW119" i="18"/>
  <c r="BT119" i="18"/>
  <c r="BQ119" i="18"/>
  <c r="BN119" i="18"/>
  <c r="BK119" i="18"/>
  <c r="T110" i="18"/>
  <c r="G123" i="18"/>
  <c r="AR123" i="18" s="1"/>
  <c r="AX31" i="18"/>
  <c r="J43" i="18"/>
  <c r="T21" i="18"/>
  <c r="AX17" i="18"/>
  <c r="T223" i="17"/>
  <c r="BK215" i="17"/>
  <c r="DD203" i="17"/>
  <c r="DD199" i="17" s="1"/>
  <c r="DA203" i="17"/>
  <c r="DA199" i="17" s="1"/>
  <c r="CX203" i="17"/>
  <c r="CX199" i="17" s="1"/>
  <c r="CU203" i="17"/>
  <c r="CU199" i="17" s="1"/>
  <c r="CR203" i="17"/>
  <c r="CR199" i="17" s="1"/>
  <c r="CO203" i="17"/>
  <c r="CO199" i="17" s="1"/>
  <c r="CL203" i="17"/>
  <c r="CL199" i="17" s="1"/>
  <c r="CI203" i="17"/>
  <c r="CI199" i="17" s="1"/>
  <c r="CF203" i="17"/>
  <c r="CF199" i="17" s="1"/>
  <c r="CC203" i="17"/>
  <c r="CC199" i="17" s="1"/>
  <c r="BZ203" i="17"/>
  <c r="BZ199" i="17" s="1"/>
  <c r="BW203" i="17"/>
  <c r="BW199" i="17" s="1"/>
  <c r="BT203" i="17"/>
  <c r="BT199" i="17" s="1"/>
  <c r="BQ203" i="17"/>
  <c r="BQ199" i="17" s="1"/>
  <c r="BN203" i="17"/>
  <c r="BN199" i="17" s="1"/>
  <c r="BK203" i="17"/>
  <c r="DD195" i="17"/>
  <c r="DA195" i="17"/>
  <c r="CX195" i="17"/>
  <c r="CU195" i="17"/>
  <c r="CR195" i="17"/>
  <c r="CO195" i="17"/>
  <c r="CL195" i="17"/>
  <c r="CI195" i="17"/>
  <c r="CF195" i="17"/>
  <c r="CC195" i="17"/>
  <c r="BZ195" i="17"/>
  <c r="BW195" i="17"/>
  <c r="BT195" i="17"/>
  <c r="BQ195" i="17"/>
  <c r="BN195" i="17"/>
  <c r="BK195" i="17"/>
  <c r="DD175" i="17"/>
  <c r="DA175" i="17"/>
  <c r="CX175" i="17"/>
  <c r="CU175" i="17"/>
  <c r="CR175" i="17"/>
  <c r="CO175" i="17"/>
  <c r="CL175" i="17"/>
  <c r="CI175" i="17"/>
  <c r="CF175" i="17"/>
  <c r="CC175" i="17"/>
  <c r="BZ175" i="17"/>
  <c r="BW175" i="17"/>
  <c r="BT175" i="17"/>
  <c r="BQ175" i="17"/>
  <c r="BN175" i="17"/>
  <c r="BK175" i="17"/>
  <c r="DD163" i="17"/>
  <c r="DA163" i="17"/>
  <c r="CX163" i="17"/>
  <c r="CU163" i="17"/>
  <c r="CR163" i="17"/>
  <c r="CO163" i="17"/>
  <c r="CL163" i="17"/>
  <c r="CI163" i="17"/>
  <c r="CF163" i="17"/>
  <c r="CC163" i="17"/>
  <c r="BZ163" i="17"/>
  <c r="BW163" i="17"/>
  <c r="BT163" i="17"/>
  <c r="BQ163" i="17"/>
  <c r="BN163" i="17"/>
  <c r="BK163" i="17"/>
  <c r="DD159" i="17"/>
  <c r="DA159" i="17"/>
  <c r="CX159" i="17"/>
  <c r="CU159" i="17"/>
  <c r="CR159" i="17"/>
  <c r="CO159" i="17"/>
  <c r="CL159" i="17"/>
  <c r="CI159" i="17"/>
  <c r="CF159" i="17"/>
  <c r="CC159" i="17"/>
  <c r="BZ159" i="17"/>
  <c r="BW159" i="17"/>
  <c r="BT159" i="17"/>
  <c r="BQ159" i="17"/>
  <c r="BN159" i="17"/>
  <c r="BK159" i="17"/>
  <c r="DD155" i="17"/>
  <c r="DA155" i="17"/>
  <c r="CX155" i="17"/>
  <c r="CU155" i="17"/>
  <c r="CR155" i="17"/>
  <c r="CO155" i="17"/>
  <c r="CL155" i="17"/>
  <c r="CI155" i="17"/>
  <c r="CF155" i="17"/>
  <c r="CC155" i="17"/>
  <c r="BZ155" i="17"/>
  <c r="BW155" i="17"/>
  <c r="BT155" i="17"/>
  <c r="BQ155" i="17"/>
  <c r="BN155" i="17"/>
  <c r="BK155" i="17"/>
  <c r="DD139" i="17"/>
  <c r="DA139" i="17"/>
  <c r="DA135" i="17" s="1"/>
  <c r="CX139" i="17"/>
  <c r="CU139" i="17"/>
  <c r="CU135" i="17" s="1"/>
  <c r="CR139" i="17"/>
  <c r="CR135" i="17" s="1"/>
  <c r="CO139" i="17"/>
  <c r="CO135" i="17" s="1"/>
  <c r="CL139" i="17"/>
  <c r="CL135" i="17" s="1"/>
  <c r="CI139" i="17"/>
  <c r="CI135" i="17" s="1"/>
  <c r="CF139" i="17"/>
  <c r="CF135" i="17" s="1"/>
  <c r="CC139" i="17"/>
  <c r="CC135" i="17" s="1"/>
  <c r="BZ139" i="17"/>
  <c r="BW139" i="17"/>
  <c r="BW135" i="17" s="1"/>
  <c r="BT139" i="17"/>
  <c r="BQ139" i="17"/>
  <c r="BQ135" i="17" s="1"/>
  <c r="BN139" i="17"/>
  <c r="BK139" i="17"/>
  <c r="DD135" i="17"/>
  <c r="CX135" i="17"/>
  <c r="BZ135" i="17"/>
  <c r="BT135" i="17"/>
  <c r="BN135" i="17"/>
  <c r="DD127" i="17"/>
  <c r="DA127" i="17"/>
  <c r="CX127" i="17"/>
  <c r="CU127" i="17"/>
  <c r="CR127" i="17"/>
  <c r="CO127" i="17"/>
  <c r="CL127" i="17"/>
  <c r="CI127" i="17"/>
  <c r="CF127" i="17"/>
  <c r="CC127" i="17"/>
  <c r="BZ127" i="17"/>
  <c r="BW127" i="17"/>
  <c r="BT127" i="17"/>
  <c r="BQ127" i="17"/>
  <c r="BN127" i="17"/>
  <c r="DD123" i="17"/>
  <c r="DA123" i="17"/>
  <c r="CX123" i="17"/>
  <c r="CU123" i="17"/>
  <c r="CR123" i="17"/>
  <c r="CO123" i="17"/>
  <c r="CL123" i="17"/>
  <c r="CI123" i="17"/>
  <c r="CF123" i="17"/>
  <c r="CC123" i="17"/>
  <c r="BZ123" i="17"/>
  <c r="BW123" i="17"/>
  <c r="BT123" i="17"/>
  <c r="BQ123" i="17"/>
  <c r="BN123" i="17"/>
  <c r="DD121" i="17"/>
  <c r="DA121" i="17"/>
  <c r="CX121" i="17"/>
  <c r="CU121" i="17"/>
  <c r="CR121" i="17"/>
  <c r="CO121" i="17"/>
  <c r="CL121" i="17"/>
  <c r="CI121" i="17"/>
  <c r="CF121" i="17"/>
  <c r="CC121" i="17"/>
  <c r="BZ121" i="17"/>
  <c r="BW121" i="17"/>
  <c r="BT121" i="17"/>
  <c r="BQ121" i="17"/>
  <c r="BN121" i="17"/>
  <c r="DD119" i="17"/>
  <c r="DA119" i="17"/>
  <c r="CX119" i="17"/>
  <c r="CU119" i="17"/>
  <c r="CR119" i="17"/>
  <c r="CO119" i="17"/>
  <c r="CL119" i="17"/>
  <c r="CI119" i="17"/>
  <c r="CF119" i="17"/>
  <c r="CC119" i="17"/>
  <c r="BZ119" i="17"/>
  <c r="BW119" i="17"/>
  <c r="BT119" i="17"/>
  <c r="BQ119" i="17"/>
  <c r="BN119" i="17"/>
  <c r="BK119" i="17"/>
  <c r="DD118" i="17"/>
  <c r="DA118" i="17"/>
  <c r="CX118" i="17"/>
  <c r="CU118" i="17"/>
  <c r="CR118" i="17"/>
  <c r="CO118" i="17"/>
  <c r="CL118" i="17"/>
  <c r="CI118" i="17"/>
  <c r="CF118" i="17"/>
  <c r="CC118" i="17"/>
  <c r="BZ118" i="17"/>
  <c r="BW118" i="17"/>
  <c r="BT118" i="17"/>
  <c r="BQ118" i="17"/>
  <c r="BN118" i="17"/>
  <c r="BK118" i="17"/>
  <c r="DW112" i="17"/>
  <c r="DW111" i="17"/>
  <c r="ME110" i="17"/>
  <c r="MD110" i="17"/>
  <c r="MC110" i="17"/>
  <c r="MB110" i="17"/>
  <c r="MA110" i="17"/>
  <c r="LZ110" i="17"/>
  <c r="LY110" i="17"/>
  <c r="LX115" i="17" s="1"/>
  <c r="LX110" i="17"/>
  <c r="LW110" i="17"/>
  <c r="LV110" i="17"/>
  <c r="LU110" i="17"/>
  <c r="LT110" i="17"/>
  <c r="LS110" i="17"/>
  <c r="LR115" i="17" s="1"/>
  <c r="LR110" i="17"/>
  <c r="LQ110" i="17"/>
  <c r="LP115" i="17" s="1"/>
  <c r="LP110" i="17"/>
  <c r="LO110" i="17"/>
  <c r="LN110" i="17"/>
  <c r="LM110" i="17"/>
  <c r="LL110" i="17"/>
  <c r="LK110" i="17"/>
  <c r="LJ110" i="17"/>
  <c r="LI110" i="17"/>
  <c r="LH115" i="17" s="1"/>
  <c r="LH110" i="17"/>
  <c r="LG110" i="17"/>
  <c r="LF110" i="17"/>
  <c r="LE110" i="17"/>
  <c r="LD110" i="17"/>
  <c r="LC110" i="17"/>
  <c r="LB115" i="17" s="1"/>
  <c r="LB110" i="17"/>
  <c r="LA110" i="17"/>
  <c r="KZ115" i="17" s="1"/>
  <c r="KZ110" i="17"/>
  <c r="KY110" i="17"/>
  <c r="KX110" i="17"/>
  <c r="KW110" i="17"/>
  <c r="KV110" i="17"/>
  <c r="KU110" i="17"/>
  <c r="KT115" i="17" s="1"/>
  <c r="KT110" i="17"/>
  <c r="KS110" i="17"/>
  <c r="KR115" i="17" s="1"/>
  <c r="KR110" i="17"/>
  <c r="KQ110" i="17"/>
  <c r="KP110" i="17"/>
  <c r="KO110" i="17"/>
  <c r="KN110" i="17"/>
  <c r="KM110" i="17"/>
  <c r="KL115" i="17" s="1"/>
  <c r="KL110" i="17"/>
  <c r="KK110" i="17"/>
  <c r="KJ115" i="17" s="1"/>
  <c r="KJ110" i="17"/>
  <c r="KI110" i="17"/>
  <c r="KH110" i="17"/>
  <c r="KG110" i="17"/>
  <c r="KF110" i="17"/>
  <c r="KE110" i="17"/>
  <c r="KD110" i="17"/>
  <c r="KC110" i="17"/>
  <c r="KB115" i="17" s="1"/>
  <c r="KB110" i="17"/>
  <c r="KA110" i="17"/>
  <c r="JZ110" i="17"/>
  <c r="JY110" i="17"/>
  <c r="JX110" i="17"/>
  <c r="JW110" i="17"/>
  <c r="JV115" i="17" s="1"/>
  <c r="JV110" i="17"/>
  <c r="JU115" i="17" s="1"/>
  <c r="JU110" i="17"/>
  <c r="JT115" i="17" s="1"/>
  <c r="JT110" i="17"/>
  <c r="JS110" i="17"/>
  <c r="JR110" i="17"/>
  <c r="JQ110" i="17"/>
  <c r="JP110" i="17"/>
  <c r="JO110" i="17"/>
  <c r="JN115" i="17" s="1"/>
  <c r="JN110" i="17"/>
  <c r="JM110" i="17"/>
  <c r="JL115" i="17" s="1"/>
  <c r="JL110" i="17"/>
  <c r="JK110" i="17"/>
  <c r="JJ110" i="17"/>
  <c r="JI110" i="17"/>
  <c r="JH110" i="17"/>
  <c r="JG110" i="17"/>
  <c r="JF115" i="17" s="1"/>
  <c r="JF110" i="17"/>
  <c r="JE110" i="17"/>
  <c r="JD115" i="17" s="1"/>
  <c r="JD110" i="17"/>
  <c r="JC110" i="17"/>
  <c r="JB110" i="17"/>
  <c r="JA110" i="17"/>
  <c r="IZ110" i="17"/>
  <c r="IY110" i="17"/>
  <c r="IX115" i="17" s="1"/>
  <c r="IX110" i="17"/>
  <c r="IW110" i="17"/>
  <c r="IV115" i="17" s="1"/>
  <c r="IV110" i="17"/>
  <c r="IU110" i="17"/>
  <c r="IT110" i="17"/>
  <c r="IS110" i="17"/>
  <c r="IR110" i="17"/>
  <c r="IQ110" i="17"/>
  <c r="IP115" i="17" s="1"/>
  <c r="IP110" i="17"/>
  <c r="IO110" i="17"/>
  <c r="IN115" i="17" s="1"/>
  <c r="IN110" i="17"/>
  <c r="IM110" i="17"/>
  <c r="IL110" i="17"/>
  <c r="IK110" i="17"/>
  <c r="IJ110" i="17"/>
  <c r="II110" i="17"/>
  <c r="IH115" i="17" s="1"/>
  <c r="IH110" i="17"/>
  <c r="IG110" i="17"/>
  <c r="IF115" i="17" s="1"/>
  <c r="IF110" i="17"/>
  <c r="IE110" i="17"/>
  <c r="ID110" i="17"/>
  <c r="IC110" i="17"/>
  <c r="IB110" i="17"/>
  <c r="IA110" i="17"/>
  <c r="HZ115" i="17" s="1"/>
  <c r="HZ110" i="17"/>
  <c r="HY110" i="17"/>
  <c r="HX115" i="17" s="1"/>
  <c r="HX110" i="17"/>
  <c r="HW110" i="17"/>
  <c r="HV110" i="17"/>
  <c r="HU110" i="17"/>
  <c r="HT110" i="17"/>
  <c r="HS110" i="17"/>
  <c r="HR110" i="17"/>
  <c r="HQ110" i="17"/>
  <c r="HP115" i="17" s="1"/>
  <c r="HP110" i="17"/>
  <c r="HO110" i="17"/>
  <c r="HN110" i="17"/>
  <c r="HM110" i="17"/>
  <c r="HL110" i="17"/>
  <c r="HK110" i="17"/>
  <c r="HJ115" i="17" s="1"/>
  <c r="HJ110" i="17"/>
  <c r="HI110" i="17"/>
  <c r="HH115" i="17" s="1"/>
  <c r="HH110" i="17"/>
  <c r="HG110" i="17"/>
  <c r="HF110" i="17"/>
  <c r="HE110" i="17"/>
  <c r="HD110" i="17"/>
  <c r="HC110" i="17"/>
  <c r="HB115" i="17" s="1"/>
  <c r="HB110" i="17"/>
  <c r="HA110" i="17"/>
  <c r="GZ115" i="17" s="1"/>
  <c r="GZ110" i="17"/>
  <c r="GY110" i="17"/>
  <c r="GX110" i="17"/>
  <c r="GW110" i="17"/>
  <c r="GV110" i="17"/>
  <c r="GU110" i="17"/>
  <c r="GT115" i="17" s="1"/>
  <c r="GT110" i="17"/>
  <c r="GS110" i="17"/>
  <c r="GR110" i="17"/>
  <c r="GQ110" i="17"/>
  <c r="GP110" i="17"/>
  <c r="GO110" i="17"/>
  <c r="GN110" i="17"/>
  <c r="GM110" i="17"/>
  <c r="GL110" i="17"/>
  <c r="GK110" i="17"/>
  <c r="GJ115" i="17" s="1"/>
  <c r="GJ110" i="17"/>
  <c r="GI110" i="17"/>
  <c r="GH110" i="17"/>
  <c r="GG110" i="17"/>
  <c r="GF110" i="17"/>
  <c r="GE110" i="17"/>
  <c r="GD115" i="17" s="1"/>
  <c r="GD110" i="17"/>
  <c r="GC110" i="17"/>
  <c r="GB115" i="17" s="1"/>
  <c r="GB110" i="17"/>
  <c r="GA110" i="17"/>
  <c r="FZ110" i="17"/>
  <c r="FY110" i="17"/>
  <c r="FX110" i="17"/>
  <c r="FW110" i="17"/>
  <c r="FV115" i="17" s="1"/>
  <c r="FV110" i="17"/>
  <c r="FU110" i="17"/>
  <c r="FT115" i="17" s="1"/>
  <c r="FT110" i="17"/>
  <c r="FS110" i="17"/>
  <c r="FR110" i="17"/>
  <c r="FQ110" i="17"/>
  <c r="FP110" i="17"/>
  <c r="FO110" i="17"/>
  <c r="FN115" i="17" s="1"/>
  <c r="FN110" i="17"/>
  <c r="FM110" i="17"/>
  <c r="FM115" i="17" s="1"/>
  <c r="FL110" i="17"/>
  <c r="FK110" i="17"/>
  <c r="FJ110" i="17"/>
  <c r="FI110" i="17"/>
  <c r="FH110" i="17"/>
  <c r="FG110" i="17"/>
  <c r="FF110" i="17"/>
  <c r="FE110" i="17"/>
  <c r="FD115" i="17" s="1"/>
  <c r="FD110" i="17"/>
  <c r="FC110" i="17"/>
  <c r="FB110" i="17"/>
  <c r="FA110" i="17"/>
  <c r="EZ110" i="17"/>
  <c r="EY110" i="17"/>
  <c r="EX115" i="17" s="1"/>
  <c r="EX110" i="17"/>
  <c r="EW115" i="17" s="1"/>
  <c r="EW110" i="17"/>
  <c r="EV115" i="17" s="1"/>
  <c r="EV110" i="17"/>
  <c r="EU110" i="17"/>
  <c r="ET110" i="17"/>
  <c r="ES115" i="17" s="1"/>
  <c r="ES110" i="17"/>
  <c r="ER110" i="17"/>
  <c r="EQ110" i="17"/>
  <c r="EP110" i="17"/>
  <c r="EO110" i="17"/>
  <c r="EN110" i="17"/>
  <c r="EM110" i="17"/>
  <c r="EL110" i="17"/>
  <c r="EK110" i="17"/>
  <c r="EJ110" i="17"/>
  <c r="EI110" i="17"/>
  <c r="EH115" i="17" s="1"/>
  <c r="EH110" i="17"/>
  <c r="EG110" i="17"/>
  <c r="EF115" i="17" s="1"/>
  <c r="EF110" i="17"/>
  <c r="EE110" i="17"/>
  <c r="ED110" i="17"/>
  <c r="EC115" i="17" s="1"/>
  <c r="EC110" i="17"/>
  <c r="EB110" i="17"/>
  <c r="EA110" i="17"/>
  <c r="DZ115" i="17" s="1"/>
  <c r="DZ110" i="17"/>
  <c r="DY110" i="17"/>
  <c r="T110" i="17"/>
  <c r="DD98" i="17"/>
  <c r="DA98" i="17"/>
  <c r="CX98" i="17"/>
  <c r="CU98" i="17"/>
  <c r="CR98" i="17"/>
  <c r="CO98" i="17"/>
  <c r="CL98" i="17"/>
  <c r="CI98" i="17"/>
  <c r="CF98" i="17"/>
  <c r="CC98" i="17"/>
  <c r="BZ98" i="17"/>
  <c r="BW98" i="17"/>
  <c r="BT98" i="17"/>
  <c r="BQ98" i="17"/>
  <c r="BN98" i="17"/>
  <c r="BK98" i="17"/>
  <c r="DD96" i="17"/>
  <c r="DA96" i="17"/>
  <c r="CX96" i="17"/>
  <c r="CU96" i="17"/>
  <c r="CR96" i="17"/>
  <c r="CO96" i="17"/>
  <c r="CL96" i="17"/>
  <c r="CI96" i="17"/>
  <c r="CF96" i="17"/>
  <c r="CC96" i="17"/>
  <c r="BZ96" i="17"/>
  <c r="BW96" i="17"/>
  <c r="BT96" i="17"/>
  <c r="BQ96" i="17"/>
  <c r="BN96" i="17"/>
  <c r="BK96" i="17"/>
  <c r="DD94" i="17"/>
  <c r="DA94" i="17"/>
  <c r="CX94" i="17"/>
  <c r="CU94" i="17"/>
  <c r="CR94" i="17"/>
  <c r="CO94" i="17"/>
  <c r="CL94" i="17"/>
  <c r="CI94" i="17"/>
  <c r="CF94" i="17"/>
  <c r="CC94" i="17"/>
  <c r="BZ94" i="17"/>
  <c r="BW94" i="17"/>
  <c r="BT94" i="17"/>
  <c r="BQ94" i="17"/>
  <c r="BN94" i="17"/>
  <c r="DH92" i="17"/>
  <c r="DD92" i="17"/>
  <c r="DA92" i="17"/>
  <c r="CX92" i="17"/>
  <c r="CU92" i="17"/>
  <c r="CR92" i="17"/>
  <c r="CO92" i="17"/>
  <c r="CL92" i="17"/>
  <c r="CI92" i="17"/>
  <c r="CF92" i="17"/>
  <c r="CC92" i="17"/>
  <c r="BZ92" i="17"/>
  <c r="BW92" i="17"/>
  <c r="BT92" i="17"/>
  <c r="BQ92" i="17"/>
  <c r="BN92" i="17"/>
  <c r="DH90" i="17"/>
  <c r="DD90" i="17"/>
  <c r="DA90" i="17"/>
  <c r="CX90" i="17"/>
  <c r="CU90" i="17"/>
  <c r="CR90" i="17"/>
  <c r="CO90" i="17"/>
  <c r="CL90" i="17"/>
  <c r="CI90" i="17"/>
  <c r="CF90" i="17"/>
  <c r="CC90" i="17"/>
  <c r="BZ90" i="17"/>
  <c r="BW90" i="17"/>
  <c r="BT90" i="17"/>
  <c r="BQ90" i="17"/>
  <c r="BN90" i="17"/>
  <c r="DD88" i="17" a="1"/>
  <c r="DD88" i="17" s="1"/>
  <c r="DA88" i="17" a="1"/>
  <c r="DA88" i="17" s="1"/>
  <c r="CX88" i="17" a="1"/>
  <c r="CX88" i="17" s="1"/>
  <c r="CU88" i="17" a="1"/>
  <c r="CU88" i="17" s="1"/>
  <c r="CR88" i="17" a="1"/>
  <c r="CR88" i="17" s="1"/>
  <c r="CO88" i="17" a="1"/>
  <c r="CO88" i="17" s="1"/>
  <c r="CL88" i="17" a="1"/>
  <c r="CL88" i="17" s="1"/>
  <c r="CI88" i="17" a="1"/>
  <c r="CI88" i="17" s="1"/>
  <c r="CF88" i="17" a="1"/>
  <c r="CF88" i="17" s="1"/>
  <c r="CC88" i="17" a="1"/>
  <c r="CC88" i="17" s="1"/>
  <c r="BZ88" i="17" a="1"/>
  <c r="BZ88" i="17" s="1"/>
  <c r="BW88" i="17" a="1"/>
  <c r="BW88" i="17" s="1"/>
  <c r="BT88" i="17" a="1"/>
  <c r="BT88" i="17" s="1"/>
  <c r="BQ88" i="17" a="1"/>
  <c r="BQ88" i="17" s="1"/>
  <c r="BN88" i="17" a="1"/>
  <c r="BN88" i="17" s="1"/>
  <c r="BL66" i="17"/>
  <c r="BF66" i="17"/>
  <c r="BC66" i="17"/>
  <c r="AZ66" i="17"/>
  <c r="AW66" i="17"/>
  <c r="AT66" i="17"/>
  <c r="AQ66" i="17"/>
  <c r="AN66" i="17"/>
  <c r="AK66" i="17"/>
  <c r="AH66" i="17"/>
  <c r="AE66" i="17"/>
  <c r="AB66" i="17"/>
  <c r="Y66" i="17"/>
  <c r="V66" i="17"/>
  <c r="S66" i="17"/>
  <c r="P66" i="17"/>
  <c r="BF62" i="17"/>
  <c r="DD151" i="17" s="1"/>
  <c r="BC62" i="17"/>
  <c r="DA151" i="17" s="1"/>
  <c r="AZ62" i="17"/>
  <c r="CX151" i="17" s="1"/>
  <c r="AW62" i="17"/>
  <c r="CU151" i="17" s="1"/>
  <c r="AT62" i="17"/>
  <c r="CR151" i="17" s="1"/>
  <c r="AQ62" i="17"/>
  <c r="CO151" i="17" s="1"/>
  <c r="AN62" i="17"/>
  <c r="CL151" i="17" s="1"/>
  <c r="AK62" i="17"/>
  <c r="CI151" i="17" s="1"/>
  <c r="AH62" i="17"/>
  <c r="CF151" i="17" s="1"/>
  <c r="AE62" i="17"/>
  <c r="CC151" i="17" s="1"/>
  <c r="AB62" i="17"/>
  <c r="BZ151" i="17" s="1"/>
  <c r="Y62" i="17"/>
  <c r="BW151" i="17" s="1"/>
  <c r="V62" i="17"/>
  <c r="BT151" i="17" s="1"/>
  <c r="S62" i="17"/>
  <c r="BQ151" i="17" s="1"/>
  <c r="P62" i="17"/>
  <c r="BN151" i="17" s="1"/>
  <c r="DD131" i="17"/>
  <c r="G131" i="17"/>
  <c r="AR131" i="17" s="1"/>
  <c r="J43" i="17"/>
  <c r="T21" i="17"/>
  <c r="AX17" i="17"/>
  <c r="DD147" i="16"/>
  <c r="DA147" i="16"/>
  <c r="CX147" i="16"/>
  <c r="CU147" i="16"/>
  <c r="CR147" i="16"/>
  <c r="CO147" i="16"/>
  <c r="CL147" i="16"/>
  <c r="CI147" i="16"/>
  <c r="CF147" i="16"/>
  <c r="CC147" i="16"/>
  <c r="BZ147" i="16"/>
  <c r="BW147" i="16"/>
  <c r="BT147" i="16"/>
  <c r="BQ147" i="16"/>
  <c r="BN147" i="16"/>
  <c r="BK147" i="16"/>
  <c r="DD143" i="16"/>
  <c r="DD179" i="16" s="1"/>
  <c r="DA143" i="16"/>
  <c r="DA179" i="16" s="1"/>
  <c r="CX143" i="16"/>
  <c r="CX179" i="16" s="1"/>
  <c r="CU143" i="16"/>
  <c r="CU179" i="16" s="1"/>
  <c r="CR143" i="16"/>
  <c r="CR179" i="16" s="1"/>
  <c r="CO143" i="16"/>
  <c r="CO179" i="16" s="1"/>
  <c r="CL143" i="16"/>
  <c r="CL179" i="16" s="1"/>
  <c r="CI143" i="16"/>
  <c r="CI179" i="16" s="1"/>
  <c r="CF143" i="16"/>
  <c r="CF179" i="16" s="1"/>
  <c r="CC143" i="16"/>
  <c r="CC179" i="16" s="1"/>
  <c r="BZ143" i="16"/>
  <c r="BZ179" i="16" s="1"/>
  <c r="BW143" i="16"/>
  <c r="BW179" i="16" s="1"/>
  <c r="BT143" i="16"/>
  <c r="BT179" i="16" s="1"/>
  <c r="BQ143" i="16"/>
  <c r="BQ179" i="16" s="1"/>
  <c r="BN143" i="16"/>
  <c r="BN179" i="16" s="1"/>
  <c r="BK143" i="16"/>
  <c r="DD139" i="16"/>
  <c r="DD159" i="16" s="1"/>
  <c r="DD167" i="16" s="1"/>
  <c r="DA139" i="16"/>
  <c r="DA159" i="16" s="1"/>
  <c r="DA167" i="16" s="1"/>
  <c r="CX139" i="16"/>
  <c r="CX159" i="16" s="1"/>
  <c r="CX167" i="16" s="1"/>
  <c r="CU139" i="16"/>
  <c r="CU159" i="16" s="1"/>
  <c r="CU167" i="16" s="1"/>
  <c r="CR139" i="16"/>
  <c r="CR159" i="16" s="1"/>
  <c r="CR167" i="16" s="1"/>
  <c r="CO139" i="16"/>
  <c r="CO159" i="16" s="1"/>
  <c r="CO167" i="16" s="1"/>
  <c r="CL139" i="16"/>
  <c r="CL159" i="16" s="1"/>
  <c r="CL167" i="16" s="1"/>
  <c r="CI139" i="16"/>
  <c r="CI159" i="16" s="1"/>
  <c r="CI167" i="16" s="1"/>
  <c r="CF139" i="16"/>
  <c r="CF159" i="16" s="1"/>
  <c r="CF167" i="16" s="1"/>
  <c r="CC139" i="16"/>
  <c r="CC159" i="16" s="1"/>
  <c r="CC167" i="16" s="1"/>
  <c r="BZ139" i="16"/>
  <c r="BZ159" i="16" s="1"/>
  <c r="BZ167" i="16" s="1"/>
  <c r="BW139" i="16"/>
  <c r="BW159" i="16" s="1"/>
  <c r="BW167" i="16" s="1"/>
  <c r="BT139" i="16"/>
  <c r="BT159" i="16" s="1"/>
  <c r="BT167" i="16" s="1"/>
  <c r="BQ139" i="16"/>
  <c r="BQ159" i="16" s="1"/>
  <c r="BQ167" i="16" s="1"/>
  <c r="BN139" i="16"/>
  <c r="BN159" i="16" s="1"/>
  <c r="BN167" i="16" s="1"/>
  <c r="BK139" i="16"/>
  <c r="DD131" i="16"/>
  <c r="DD155" i="16" s="1"/>
  <c r="DA131" i="16"/>
  <c r="DA155" i="16" s="1"/>
  <c r="CX131" i="16"/>
  <c r="CX135" i="16" s="1"/>
  <c r="CX151" i="16" s="1"/>
  <c r="CU131" i="16"/>
  <c r="CU135" i="16" s="1"/>
  <c r="CU171" i="16" s="1"/>
  <c r="CU175" i="16" s="1"/>
  <c r="CR131" i="16"/>
  <c r="CO131" i="16"/>
  <c r="CL131" i="16"/>
  <c r="CL135" i="16" s="1"/>
  <c r="CI131" i="16"/>
  <c r="CI155" i="16" s="1"/>
  <c r="CI163" i="16" s="1"/>
  <c r="CF131" i="16"/>
  <c r="CF135" i="16" s="1"/>
  <c r="CC131" i="16"/>
  <c r="CC155" i="16" s="1"/>
  <c r="BZ131" i="16"/>
  <c r="BZ135" i="16" s="1"/>
  <c r="BW131" i="16"/>
  <c r="BW135" i="16" s="1"/>
  <c r="BW151" i="16" s="1"/>
  <c r="BT131" i="16"/>
  <c r="BQ131" i="16"/>
  <c r="BN131" i="16"/>
  <c r="BN135" i="16" s="1"/>
  <c r="BK131" i="16"/>
  <c r="BK155" i="16" s="1"/>
  <c r="G131" i="16"/>
  <c r="AR131" i="16" s="1"/>
  <c r="DD127" i="16"/>
  <c r="DA127" i="16"/>
  <c r="CX127" i="16"/>
  <c r="CU127" i="16"/>
  <c r="CR127" i="16"/>
  <c r="CO127" i="16"/>
  <c r="CL127" i="16"/>
  <c r="CI127" i="16"/>
  <c r="CF127" i="16"/>
  <c r="CC127" i="16"/>
  <c r="BZ127" i="16"/>
  <c r="BW127" i="16"/>
  <c r="BT127" i="16"/>
  <c r="BQ127" i="16"/>
  <c r="BN127" i="16"/>
  <c r="DD123" i="16"/>
  <c r="DA123" i="16"/>
  <c r="CX123" i="16"/>
  <c r="CU123" i="16"/>
  <c r="CR123" i="16"/>
  <c r="CO123" i="16"/>
  <c r="CL123" i="16"/>
  <c r="CI123" i="16"/>
  <c r="CF123" i="16"/>
  <c r="CC123" i="16"/>
  <c r="BZ123" i="16"/>
  <c r="BW123" i="16"/>
  <c r="BT123" i="16"/>
  <c r="BQ123" i="16"/>
  <c r="BN123" i="16"/>
  <c r="DD121" i="16"/>
  <c r="DA121" i="16"/>
  <c r="CX121" i="16"/>
  <c r="CU121" i="16"/>
  <c r="CR121" i="16"/>
  <c r="CO121" i="16"/>
  <c r="CL121" i="16"/>
  <c r="CI121" i="16"/>
  <c r="CF121" i="16"/>
  <c r="CC121" i="16"/>
  <c r="BZ121" i="16"/>
  <c r="BW121" i="16"/>
  <c r="BT121" i="16"/>
  <c r="BQ121" i="16"/>
  <c r="BN121" i="16"/>
  <c r="DD119" i="16"/>
  <c r="DA119" i="16"/>
  <c r="CX119" i="16"/>
  <c r="CU119" i="16"/>
  <c r="CR119" i="16"/>
  <c r="CO119" i="16"/>
  <c r="CL119" i="16"/>
  <c r="CI119" i="16"/>
  <c r="CF119" i="16"/>
  <c r="CC119" i="16"/>
  <c r="BZ119" i="16"/>
  <c r="BW119" i="16"/>
  <c r="BT119" i="16"/>
  <c r="BQ119" i="16"/>
  <c r="BN119" i="16"/>
  <c r="BK119" i="16"/>
  <c r="DD118" i="16"/>
  <c r="DA118" i="16"/>
  <c r="CX118" i="16"/>
  <c r="CU118" i="16"/>
  <c r="CR118" i="16"/>
  <c r="CO118" i="16"/>
  <c r="CL118" i="16"/>
  <c r="CI118" i="16"/>
  <c r="CF118" i="16"/>
  <c r="CC118" i="16"/>
  <c r="BZ118" i="16"/>
  <c r="BW118" i="16"/>
  <c r="BT118" i="16"/>
  <c r="BQ118" i="16"/>
  <c r="BN118" i="16"/>
  <c r="BK118" i="16"/>
  <c r="DW112" i="16"/>
  <c r="DW111" i="16"/>
  <c r="ME110" i="16"/>
  <c r="MD115" i="16" s="1"/>
  <c r="MD110" i="16"/>
  <c r="MC110" i="16"/>
  <c r="MB110" i="16"/>
  <c r="MA115" i="16" s="1"/>
  <c r="MA110" i="16"/>
  <c r="LZ110" i="16"/>
  <c r="LY110" i="16"/>
  <c r="LX110" i="16"/>
  <c r="LW110" i="16"/>
  <c r="LV115" i="16" s="1"/>
  <c r="LV110" i="16"/>
  <c r="LU110" i="16"/>
  <c r="LT110" i="16"/>
  <c r="LS115" i="16" s="1"/>
  <c r="LS110" i="16"/>
  <c r="LR110" i="16"/>
  <c r="LQ110" i="16"/>
  <c r="LP110" i="16"/>
  <c r="LO110" i="16"/>
  <c r="LN115" i="16" s="1"/>
  <c r="LN110" i="16"/>
  <c r="LM110" i="16"/>
  <c r="LL110" i="16"/>
  <c r="LK115" i="16" s="1"/>
  <c r="LK110" i="16"/>
  <c r="LJ110" i="16"/>
  <c r="LI110" i="16"/>
  <c r="LH110" i="16"/>
  <c r="LG110" i="16"/>
  <c r="LF115" i="16" s="1"/>
  <c r="LF110" i="16"/>
  <c r="LE110" i="16"/>
  <c r="LD110" i="16"/>
  <c r="LC115" i="16" s="1"/>
  <c r="LC110" i="16"/>
  <c r="LB110" i="16"/>
  <c r="LA110" i="16"/>
  <c r="KZ110" i="16"/>
  <c r="KY110" i="16"/>
  <c r="KX115" i="16" s="1"/>
  <c r="KX110" i="16"/>
  <c r="KW110" i="16"/>
  <c r="KV110" i="16"/>
  <c r="KU110" i="16"/>
  <c r="KT115" i="16" s="1"/>
  <c r="KT110" i="16"/>
  <c r="KS110" i="16"/>
  <c r="KR110" i="16"/>
  <c r="KQ110" i="16"/>
  <c r="KP115" i="16" s="1"/>
  <c r="KP110" i="16"/>
  <c r="KO110" i="16"/>
  <c r="KN110" i="16"/>
  <c r="KM110" i="16"/>
  <c r="KL115" i="16" s="1"/>
  <c r="KL110" i="16"/>
  <c r="KK110" i="16"/>
  <c r="KJ110" i="16"/>
  <c r="KI110" i="16"/>
  <c r="KH115" i="16" s="1"/>
  <c r="KH110" i="16"/>
  <c r="KG110" i="16"/>
  <c r="KF110" i="16"/>
  <c r="KE110" i="16"/>
  <c r="KD115" i="16" s="1"/>
  <c r="KD110" i="16"/>
  <c r="KC110" i="16"/>
  <c r="KB110" i="16"/>
  <c r="KA110" i="16"/>
  <c r="JZ115" i="16" s="1"/>
  <c r="JZ110" i="16"/>
  <c r="JY110" i="16"/>
  <c r="JX110" i="16"/>
  <c r="JW110" i="16"/>
  <c r="JV115" i="16" s="1"/>
  <c r="JV110" i="16"/>
  <c r="JU110" i="16"/>
  <c r="JT110" i="16"/>
  <c r="JS110" i="16"/>
  <c r="JR115" i="16" s="1"/>
  <c r="JR110" i="16"/>
  <c r="JQ110" i="16"/>
  <c r="JP110" i="16"/>
  <c r="JO110" i="16"/>
  <c r="JN115" i="16" s="1"/>
  <c r="JN110" i="16"/>
  <c r="JM110" i="16"/>
  <c r="JL110" i="16"/>
  <c r="JK110" i="16"/>
  <c r="JJ115" i="16" s="1"/>
  <c r="JJ110" i="16"/>
  <c r="JI110" i="16"/>
  <c r="JH110" i="16"/>
  <c r="JG110" i="16"/>
  <c r="JF115" i="16" s="1"/>
  <c r="JF110" i="16"/>
  <c r="JE110" i="16"/>
  <c r="JD110" i="16"/>
  <c r="JC110" i="16"/>
  <c r="JB115" i="16" s="1"/>
  <c r="JB110" i="16"/>
  <c r="JA110" i="16"/>
  <c r="IZ110" i="16"/>
  <c r="IY110" i="16"/>
  <c r="IX115" i="16" s="1"/>
  <c r="IX110" i="16"/>
  <c r="IW110" i="16"/>
  <c r="IV110" i="16"/>
  <c r="IU110" i="16"/>
  <c r="IT115" i="16" s="1"/>
  <c r="IT110" i="16"/>
  <c r="IS110" i="16"/>
  <c r="IR110" i="16"/>
  <c r="IQ110" i="16"/>
  <c r="IP115" i="16" s="1"/>
  <c r="IP110" i="16"/>
  <c r="IO110" i="16"/>
  <c r="IN110" i="16"/>
  <c r="IM110" i="16"/>
  <c r="IL115" i="16" s="1"/>
  <c r="IL110" i="16"/>
  <c r="IK110" i="16"/>
  <c r="IJ110" i="16"/>
  <c r="II110" i="16"/>
  <c r="IH115" i="16" s="1"/>
  <c r="IH110" i="16"/>
  <c r="IG110" i="16"/>
  <c r="IF110" i="16"/>
  <c r="IE110" i="16"/>
  <c r="ID115" i="16" s="1"/>
  <c r="ID110" i="16"/>
  <c r="IC110" i="16"/>
  <c r="IB110" i="16"/>
  <c r="IA110" i="16"/>
  <c r="HZ115" i="16" s="1"/>
  <c r="HZ110" i="16"/>
  <c r="HY110" i="16"/>
  <c r="HX110" i="16"/>
  <c r="HW110" i="16"/>
  <c r="HV115" i="16" s="1"/>
  <c r="HV110" i="16"/>
  <c r="HU110" i="16"/>
  <c r="HU115" i="16" s="1"/>
  <c r="HT110" i="16"/>
  <c r="HS110" i="16"/>
  <c r="HR110" i="16"/>
  <c r="HQ110" i="16"/>
  <c r="HP110" i="16"/>
  <c r="HO110" i="16"/>
  <c r="HN115" i="16" s="1"/>
  <c r="HN110" i="16"/>
  <c r="HM110" i="16"/>
  <c r="HL110" i="16"/>
  <c r="HK110" i="16"/>
  <c r="HJ110" i="16"/>
  <c r="HI110" i="16"/>
  <c r="HH110" i="16"/>
  <c r="HG110" i="16"/>
  <c r="HF115" i="16" s="1"/>
  <c r="HF110" i="16"/>
  <c r="HE110" i="16"/>
  <c r="HD110" i="16"/>
  <c r="HC110" i="16"/>
  <c r="HB115" i="16" s="1"/>
  <c r="HB110" i="16"/>
  <c r="HA110" i="16"/>
  <c r="GZ110" i="16"/>
  <c r="GY110" i="16"/>
  <c r="GX115" i="16" s="1"/>
  <c r="GX110" i="16"/>
  <c r="GW110" i="16"/>
  <c r="GV110" i="16"/>
  <c r="GU110" i="16"/>
  <c r="GT110" i="16"/>
  <c r="GS110" i="16"/>
  <c r="GR110" i="16"/>
  <c r="GQ110" i="16"/>
  <c r="GP115" i="16" s="1"/>
  <c r="GP110" i="16"/>
  <c r="GO110" i="16"/>
  <c r="GN110" i="16"/>
  <c r="GM110" i="16"/>
  <c r="GL115" i="16" s="1"/>
  <c r="GL110" i="16"/>
  <c r="GK110" i="16"/>
  <c r="GJ110" i="16"/>
  <c r="GI110" i="16"/>
  <c r="GH115" i="16" s="1"/>
  <c r="GH110" i="16"/>
  <c r="GG110" i="16"/>
  <c r="GF110" i="16"/>
  <c r="GE110" i="16"/>
  <c r="GD115" i="16" s="1"/>
  <c r="GD110" i="16"/>
  <c r="GC110" i="16"/>
  <c r="GB110" i="16"/>
  <c r="GA110" i="16"/>
  <c r="FZ115" i="16" s="1"/>
  <c r="FZ110" i="16"/>
  <c r="FY110" i="16"/>
  <c r="FX110" i="16"/>
  <c r="FW110" i="16"/>
  <c r="FV115" i="16" s="1"/>
  <c r="FV110" i="16"/>
  <c r="FU110" i="16"/>
  <c r="FT110" i="16"/>
  <c r="FS110" i="16"/>
  <c r="FR115" i="16" s="1"/>
  <c r="FR110" i="16"/>
  <c r="FQ110" i="16"/>
  <c r="FP110" i="16"/>
  <c r="FO110" i="16"/>
  <c r="FN115" i="16" s="1"/>
  <c r="FN110" i="16"/>
  <c r="FM110" i="16"/>
  <c r="FL110" i="16"/>
  <c r="FK110" i="16"/>
  <c r="FJ115" i="16" s="1"/>
  <c r="FJ110" i="16"/>
  <c r="FI110" i="16"/>
  <c r="FH110" i="16"/>
  <c r="FG110" i="16"/>
  <c r="FF115" i="16" s="1"/>
  <c r="FF110" i="16"/>
  <c r="FE110" i="16"/>
  <c r="FD110" i="16"/>
  <c r="FC110" i="16"/>
  <c r="FB115" i="16" s="1"/>
  <c r="FB110" i="16"/>
  <c r="FA110" i="16"/>
  <c r="EZ110" i="16"/>
  <c r="EY110" i="16"/>
  <c r="EX115" i="16" s="1"/>
  <c r="EX110" i="16"/>
  <c r="EW110" i="16"/>
  <c r="EV110" i="16"/>
  <c r="EU110" i="16"/>
  <c r="ET115" i="16" s="1"/>
  <c r="ET110" i="16"/>
  <c r="ES110" i="16"/>
  <c r="ES115" i="16" s="1"/>
  <c r="ER110" i="16"/>
  <c r="EQ110" i="16"/>
  <c r="EP115" i="16" s="1"/>
  <c r="EP110" i="16"/>
  <c r="EO110" i="16"/>
  <c r="EN110" i="16"/>
  <c r="EM110" i="16"/>
  <c r="EL115" i="16" s="1"/>
  <c r="EL110" i="16"/>
  <c r="EK110" i="16"/>
  <c r="EJ110" i="16"/>
  <c r="EI110" i="16"/>
  <c r="EH115" i="16" s="1"/>
  <c r="EH110" i="16"/>
  <c r="EG110" i="16"/>
  <c r="EF110" i="16"/>
  <c r="EE110" i="16"/>
  <c r="ED115" i="16" s="1"/>
  <c r="ED110" i="16"/>
  <c r="EC110" i="16"/>
  <c r="EB110" i="16"/>
  <c r="EA110" i="16"/>
  <c r="DZ115" i="16" s="1"/>
  <c r="DZ110" i="16"/>
  <c r="DY110" i="16"/>
  <c r="T110" i="16"/>
  <c r="DD91" i="16"/>
  <c r="DA91" i="16"/>
  <c r="CX91" i="16"/>
  <c r="CU91" i="16"/>
  <c r="CR91" i="16"/>
  <c r="CO91" i="16"/>
  <c r="CL91" i="16"/>
  <c r="CI91" i="16"/>
  <c r="CF91" i="16"/>
  <c r="CC91" i="16"/>
  <c r="BZ91" i="16"/>
  <c r="BW91" i="16"/>
  <c r="BT91" i="16"/>
  <c r="BQ91" i="16"/>
  <c r="BN91" i="16"/>
  <c r="BK91" i="16"/>
  <c r="DD89" i="16"/>
  <c r="DA89" i="16"/>
  <c r="CX89" i="16"/>
  <c r="CU89" i="16"/>
  <c r="CR89" i="16"/>
  <c r="CO89" i="16"/>
  <c r="CL89" i="16"/>
  <c r="CI89" i="16"/>
  <c r="CF89" i="16"/>
  <c r="CC89" i="16"/>
  <c r="BZ89" i="16"/>
  <c r="BW89" i="16"/>
  <c r="BT89" i="16"/>
  <c r="BQ89" i="16"/>
  <c r="BN89" i="16"/>
  <c r="BK89" i="16"/>
  <c r="DD87" i="16"/>
  <c r="DA87" i="16"/>
  <c r="CX87" i="16"/>
  <c r="CU87" i="16"/>
  <c r="CR87" i="16"/>
  <c r="CO87" i="16"/>
  <c r="CL87" i="16"/>
  <c r="CI87" i="16"/>
  <c r="CF87" i="16"/>
  <c r="CC87" i="16"/>
  <c r="BZ87" i="16"/>
  <c r="BW87" i="16"/>
  <c r="BT87" i="16"/>
  <c r="BQ87" i="16"/>
  <c r="BN87" i="16"/>
  <c r="DH85" i="16"/>
  <c r="DD85" i="16"/>
  <c r="DA85" i="16"/>
  <c r="CX85" i="16"/>
  <c r="CU85" i="16"/>
  <c r="CR85" i="16"/>
  <c r="CO85" i="16"/>
  <c r="CL85" i="16"/>
  <c r="CI85" i="16"/>
  <c r="CF85" i="16"/>
  <c r="CC85" i="16"/>
  <c r="BZ85" i="16"/>
  <c r="BW85" i="16"/>
  <c r="BT85" i="16"/>
  <c r="BQ85" i="16"/>
  <c r="BN85" i="16"/>
  <c r="DH83" i="16"/>
  <c r="DD83" i="16"/>
  <c r="DA83" i="16"/>
  <c r="CX83" i="16"/>
  <c r="CU83" i="16"/>
  <c r="CR83" i="16"/>
  <c r="CO83" i="16"/>
  <c r="CL83" i="16"/>
  <c r="CI83" i="16"/>
  <c r="CF83" i="16"/>
  <c r="CC83" i="16"/>
  <c r="BZ83" i="16"/>
  <c r="BW83" i="16"/>
  <c r="BT83" i="16"/>
  <c r="BQ83" i="16"/>
  <c r="BN83" i="16"/>
  <c r="DD81" i="16" a="1"/>
  <c r="DD81" i="16" s="1"/>
  <c r="DA81" i="16" a="1"/>
  <c r="DA81" i="16" s="1"/>
  <c r="CX81" i="16" a="1"/>
  <c r="CX81" i="16" s="1"/>
  <c r="CU81" i="16" a="1"/>
  <c r="CU81" i="16" s="1"/>
  <c r="CR81" i="16" a="1"/>
  <c r="CR81" i="16" s="1"/>
  <c r="CO81" i="16" a="1"/>
  <c r="CO81" i="16" s="1"/>
  <c r="CL81" i="16" a="1"/>
  <c r="CL81" i="16" s="1"/>
  <c r="CI81" i="16" a="1"/>
  <c r="CI81" i="16" s="1"/>
  <c r="CF81" i="16" a="1"/>
  <c r="CF81" i="16" s="1"/>
  <c r="CC81" i="16" a="1"/>
  <c r="CC81" i="16" s="1"/>
  <c r="BZ81" i="16" a="1"/>
  <c r="BZ81" i="16" s="1"/>
  <c r="BW81" i="16" a="1"/>
  <c r="BW81" i="16" s="1"/>
  <c r="BT81" i="16" a="1"/>
  <c r="BT81" i="16" s="1"/>
  <c r="BQ81" i="16" a="1"/>
  <c r="BQ81" i="16" s="1"/>
  <c r="BN81" i="16" a="1"/>
  <c r="BN81" i="16" s="1"/>
  <c r="BL65" i="16"/>
  <c r="C58" i="16"/>
  <c r="C54" i="16"/>
  <c r="AJ70" i="16"/>
  <c r="BK87" i="16" s="1"/>
  <c r="J43" i="16"/>
  <c r="T21" i="16"/>
  <c r="AX17" i="16"/>
  <c r="S175" i="15"/>
  <c r="F171" i="15"/>
  <c r="F135" i="15"/>
  <c r="AL131" i="15"/>
  <c r="AL123" i="15"/>
  <c r="F123" i="15" s="1"/>
  <c r="F115" i="15"/>
  <c r="AL37" i="15"/>
  <c r="BK36" i="15"/>
  <c r="AX17" i="15"/>
  <c r="S43" i="25" l="1"/>
  <c r="G135" i="19"/>
  <c r="AR135" i="19" s="1"/>
  <c r="G139" i="19"/>
  <c r="AR139" i="19" s="1"/>
  <c r="CF100" i="17"/>
  <c r="G147" i="22"/>
  <c r="AR147" i="22" s="1"/>
  <c r="G127" i="22"/>
  <c r="AR127" i="22" s="1"/>
  <c r="G139" i="17"/>
  <c r="AR139" i="17" s="1"/>
  <c r="G135" i="17"/>
  <c r="AR135" i="17" s="1"/>
  <c r="G143" i="21"/>
  <c r="AR143" i="21" s="1"/>
  <c r="G139" i="21"/>
  <c r="AR139" i="21" s="1"/>
  <c r="BW93" i="21"/>
  <c r="G135" i="23"/>
  <c r="AR135" i="23" s="1"/>
  <c r="G131" i="23"/>
  <c r="AR131" i="23" s="1"/>
  <c r="G139" i="16"/>
  <c r="AR139" i="16" s="1"/>
  <c r="G159" i="16"/>
  <c r="CC93" i="16"/>
  <c r="BZ93" i="19"/>
  <c r="CX93" i="19"/>
  <c r="AR139" i="23"/>
  <c r="DD199" i="23"/>
  <c r="CF199" i="23"/>
  <c r="DA199" i="23"/>
  <c r="CC199" i="23"/>
  <c r="CX199" i="23"/>
  <c r="BZ199" i="23"/>
  <c r="CU199" i="23"/>
  <c r="BW199" i="23"/>
  <c r="CR199" i="23"/>
  <c r="BT199" i="23"/>
  <c r="BK199" i="23"/>
  <c r="CO199" i="23"/>
  <c r="BQ199" i="23"/>
  <c r="CL199" i="23"/>
  <c r="BN199" i="23"/>
  <c r="CI199" i="23"/>
  <c r="LB115" i="16"/>
  <c r="LJ115" i="16"/>
  <c r="LR115" i="16"/>
  <c r="EA115" i="16"/>
  <c r="EI115" i="16"/>
  <c r="EQ115" i="16"/>
  <c r="EY115" i="16"/>
  <c r="FG115" i="16"/>
  <c r="FO115" i="16"/>
  <c r="FW115" i="16"/>
  <c r="GE115" i="16"/>
  <c r="GM115" i="16"/>
  <c r="GU115" i="16"/>
  <c r="HC115" i="16"/>
  <c r="HK115" i="16"/>
  <c r="HS115" i="16"/>
  <c r="IA115" i="16"/>
  <c r="II115" i="16"/>
  <c r="IQ115" i="16"/>
  <c r="IY115" i="16"/>
  <c r="JG115" i="16"/>
  <c r="JO115" i="16"/>
  <c r="JW115" i="16"/>
  <c r="KE115" i="16"/>
  <c r="KM115" i="16"/>
  <c r="KU115" i="16"/>
  <c r="BK183" i="16"/>
  <c r="AL183" i="16" s="1"/>
  <c r="G183" i="16" s="1"/>
  <c r="AS115" i="15"/>
  <c r="S117" i="15"/>
  <c r="S115" i="15"/>
  <c r="S137" i="15"/>
  <c r="S135" i="15"/>
  <c r="AS135" i="15"/>
  <c r="S173" i="15"/>
  <c r="S171" i="15"/>
  <c r="AS171" i="15"/>
  <c r="S125" i="15"/>
  <c r="S123" i="15"/>
  <c r="AS123" i="15"/>
  <c r="EC115" i="16"/>
  <c r="FY115" i="16"/>
  <c r="GO115" i="16"/>
  <c r="HE115" i="16"/>
  <c r="JA115" i="16"/>
  <c r="KW115" i="16"/>
  <c r="LM115" i="16"/>
  <c r="T137" i="16"/>
  <c r="T135" i="16"/>
  <c r="EO115" i="17"/>
  <c r="GS115" i="17"/>
  <c r="LZ115" i="17"/>
  <c r="EA115" i="17"/>
  <c r="EI115" i="17"/>
  <c r="EQ115" i="17"/>
  <c r="EY115" i="17"/>
  <c r="FG115" i="17"/>
  <c r="FO115" i="17"/>
  <c r="FW115" i="17"/>
  <c r="GE115" i="17"/>
  <c r="GM115" i="17"/>
  <c r="GU115" i="17"/>
  <c r="HC115" i="17"/>
  <c r="HK115" i="17"/>
  <c r="HS115" i="17"/>
  <c r="IA115" i="17"/>
  <c r="II115" i="17"/>
  <c r="IQ115" i="17"/>
  <c r="IY115" i="17"/>
  <c r="JG115" i="17"/>
  <c r="JO115" i="17"/>
  <c r="JW115" i="17"/>
  <c r="KE115" i="17"/>
  <c r="T145" i="17"/>
  <c r="T143" i="17"/>
  <c r="T127" i="18"/>
  <c r="T129" i="18"/>
  <c r="DZ115" i="19"/>
  <c r="EX115" i="19"/>
  <c r="FF115" i="19"/>
  <c r="GD115" i="19"/>
  <c r="GL115" i="19"/>
  <c r="HJ115" i="19"/>
  <c r="HR115" i="19"/>
  <c r="IP115" i="19"/>
  <c r="IX115" i="19"/>
  <c r="JV115" i="19"/>
  <c r="KD115" i="19"/>
  <c r="LB115" i="19"/>
  <c r="LJ115" i="19"/>
  <c r="LZ115" i="19"/>
  <c r="EI115" i="19"/>
  <c r="EQ115" i="19"/>
  <c r="EY115" i="19"/>
  <c r="FO115" i="19"/>
  <c r="GE115" i="19"/>
  <c r="GU115" i="19"/>
  <c r="HC115" i="19"/>
  <c r="HK115" i="19"/>
  <c r="IA115" i="19"/>
  <c r="II115" i="19"/>
  <c r="IQ115" i="19"/>
  <c r="JG115" i="19"/>
  <c r="JO115" i="19"/>
  <c r="JW115" i="19"/>
  <c r="KM115" i="19"/>
  <c r="LC115" i="19"/>
  <c r="LS115" i="19"/>
  <c r="MA115" i="19"/>
  <c r="CU93" i="19"/>
  <c r="EJ115" i="19"/>
  <c r="FP115" i="19"/>
  <c r="GV115" i="19"/>
  <c r="IB115" i="19"/>
  <c r="KN115" i="19"/>
  <c r="KV115" i="19"/>
  <c r="LD115" i="19"/>
  <c r="LT115" i="19"/>
  <c r="MB115" i="19"/>
  <c r="BZ179" i="19"/>
  <c r="BZ183" i="19" s="1"/>
  <c r="JK115" i="19"/>
  <c r="KQ115" i="19"/>
  <c r="LW115" i="19"/>
  <c r="T145" i="19"/>
  <c r="T143" i="19"/>
  <c r="BK179" i="19"/>
  <c r="BK183" i="19" s="1"/>
  <c r="CI179" i="19"/>
  <c r="CI183" i="19" s="1"/>
  <c r="CX163" i="20"/>
  <c r="T129" i="20"/>
  <c r="T127" i="20"/>
  <c r="EE115" i="21"/>
  <c r="KQ115" i="21"/>
  <c r="LO115" i="21"/>
  <c r="T147" i="21"/>
  <c r="T149" i="21"/>
  <c r="EF115" i="21"/>
  <c r="FD115" i="21"/>
  <c r="FL115" i="21"/>
  <c r="GB115" i="21"/>
  <c r="GJ115" i="21"/>
  <c r="GZ115" i="21"/>
  <c r="HP115" i="21"/>
  <c r="IF115" i="21"/>
  <c r="IN115" i="21"/>
  <c r="JD115" i="21"/>
  <c r="JL115" i="21"/>
  <c r="KJ115" i="21"/>
  <c r="KR115" i="21"/>
  <c r="LH115" i="21"/>
  <c r="LP115" i="21"/>
  <c r="DZ115" i="21"/>
  <c r="EH115" i="21"/>
  <c r="EP115" i="21"/>
  <c r="EX115" i="21"/>
  <c r="FF115" i="21"/>
  <c r="FN115" i="21"/>
  <c r="FV115" i="21"/>
  <c r="GD115" i="21"/>
  <c r="GL115" i="21"/>
  <c r="GT115" i="21"/>
  <c r="HB115" i="21"/>
  <c r="HJ115" i="21"/>
  <c r="HR115" i="21"/>
  <c r="HZ115" i="21"/>
  <c r="IH115" i="21"/>
  <c r="IP115" i="21"/>
  <c r="IX115" i="21"/>
  <c r="JF115" i="21"/>
  <c r="JN115" i="21"/>
  <c r="JV115" i="21"/>
  <c r="KD115" i="21"/>
  <c r="KL115" i="21"/>
  <c r="KT115" i="21"/>
  <c r="LB115" i="21"/>
  <c r="LJ115" i="21"/>
  <c r="LR115" i="21"/>
  <c r="LZ115" i="21"/>
  <c r="GI115" i="21"/>
  <c r="BT100" i="17"/>
  <c r="CU100" i="17"/>
  <c r="BQ93" i="19"/>
  <c r="CO93" i="19"/>
  <c r="CL93" i="21"/>
  <c r="CR100" i="17"/>
  <c r="T133" i="22"/>
  <c r="T131" i="22"/>
  <c r="BQ143" i="22"/>
  <c r="CO143" i="22"/>
  <c r="CO151" i="22" s="1"/>
  <c r="BZ171" i="22"/>
  <c r="T119" i="22"/>
  <c r="T121" i="22"/>
  <c r="FG115" i="23"/>
  <c r="FO115" i="23"/>
  <c r="FW115" i="23"/>
  <c r="HS115" i="23"/>
  <c r="IA115" i="23"/>
  <c r="II115" i="23"/>
  <c r="IQ115" i="23"/>
  <c r="JO115" i="23"/>
  <c r="KE115" i="23"/>
  <c r="KM115" i="23"/>
  <c r="KU115" i="23"/>
  <c r="LC115" i="23"/>
  <c r="LU115" i="23"/>
  <c r="LN115" i="23"/>
  <c r="MA115" i="23"/>
  <c r="EK115" i="23"/>
  <c r="GG115" i="23"/>
  <c r="GW115" i="23"/>
  <c r="IS115" i="23"/>
  <c r="LE115" i="23"/>
  <c r="MC115" i="23"/>
  <c r="LV115" i="23"/>
  <c r="HX115" i="23"/>
  <c r="IF115" i="23"/>
  <c r="IN115" i="23"/>
  <c r="IV115" i="23"/>
  <c r="JD115" i="23"/>
  <c r="JL115" i="23"/>
  <c r="JT115" i="23"/>
  <c r="KB115" i="23"/>
  <c r="KJ115" i="23"/>
  <c r="KR115" i="23"/>
  <c r="KZ115" i="23"/>
  <c r="LH115" i="23"/>
  <c r="LP115" i="23"/>
  <c r="LX115" i="23"/>
  <c r="BQ93" i="23"/>
  <c r="CO93" i="23"/>
  <c r="EQ115" i="23"/>
  <c r="EX115" i="23"/>
  <c r="FF115" i="23"/>
  <c r="FN115" i="23"/>
  <c r="GD115" i="23"/>
  <c r="HC115" i="23"/>
  <c r="HJ115" i="23"/>
  <c r="HR115" i="23"/>
  <c r="HZ115" i="23"/>
  <c r="IP115" i="23"/>
  <c r="JV115" i="23"/>
  <c r="KD115" i="23"/>
  <c r="KL115" i="23"/>
  <c r="LB115" i="23"/>
  <c r="T141" i="23"/>
  <c r="T139" i="23"/>
  <c r="CC159" i="23"/>
  <c r="CF183" i="23"/>
  <c r="CF187" i="23" s="1"/>
  <c r="BK195" i="23"/>
  <c r="CO143" i="24"/>
  <c r="CO147" i="24" s="1"/>
  <c r="T133" i="16"/>
  <c r="T131" i="16"/>
  <c r="T125" i="18"/>
  <c r="T123" i="18"/>
  <c r="BQ93" i="21"/>
  <c r="CO93" i="21"/>
  <c r="T131" i="17"/>
  <c r="T133" i="17"/>
  <c r="T137" i="23"/>
  <c r="T135" i="23"/>
  <c r="T135" i="17"/>
  <c r="BN100" i="17"/>
  <c r="CL100" i="17"/>
  <c r="T133" i="19"/>
  <c r="T131" i="19"/>
  <c r="T121" i="20"/>
  <c r="T119" i="20"/>
  <c r="T125" i="20"/>
  <c r="T123" i="20"/>
  <c r="BZ93" i="21"/>
  <c r="CL93" i="19"/>
  <c r="T119" i="24"/>
  <c r="T121" i="24"/>
  <c r="AL131" i="24"/>
  <c r="G131" i="24" s="1"/>
  <c r="T131" i="24" s="1"/>
  <c r="T129" i="24"/>
  <c r="T127" i="24"/>
  <c r="CC139" i="24"/>
  <c r="EA115" i="23"/>
  <c r="EI115" i="23"/>
  <c r="EY115" i="23"/>
  <c r="GE115" i="23"/>
  <c r="GM115" i="23"/>
  <c r="GU115" i="23"/>
  <c r="HK115" i="23"/>
  <c r="IY115" i="23"/>
  <c r="JG115" i="23"/>
  <c r="JW115" i="23"/>
  <c r="LK115" i="23"/>
  <c r="LS115" i="23"/>
  <c r="AL163" i="23"/>
  <c r="BW93" i="23"/>
  <c r="EB115" i="23"/>
  <c r="EJ115" i="23"/>
  <c r="ER115" i="23"/>
  <c r="EZ115" i="23"/>
  <c r="FH115" i="23"/>
  <c r="FP115" i="23"/>
  <c r="FX115" i="23"/>
  <c r="GF115" i="23"/>
  <c r="GN115" i="23"/>
  <c r="GV115" i="23"/>
  <c r="HD115" i="23"/>
  <c r="HL115" i="23"/>
  <c r="HT115" i="23"/>
  <c r="IB115" i="23"/>
  <c r="IJ115" i="23"/>
  <c r="IR115" i="23"/>
  <c r="IZ115" i="23"/>
  <c r="JH115" i="23"/>
  <c r="JP115" i="23"/>
  <c r="JX115" i="23"/>
  <c r="KF115" i="23"/>
  <c r="KN115" i="23"/>
  <c r="KV115" i="23"/>
  <c r="LD115" i="23"/>
  <c r="LL115" i="23"/>
  <c r="LT115" i="23"/>
  <c r="MB115" i="23"/>
  <c r="CL183" i="23"/>
  <c r="CL187" i="23" s="1"/>
  <c r="DD183" i="23"/>
  <c r="DD187" i="23" s="1"/>
  <c r="BZ93" i="23"/>
  <c r="FQ115" i="23"/>
  <c r="FY115" i="23"/>
  <c r="IC115" i="23"/>
  <c r="IK115" i="23"/>
  <c r="KO115" i="23"/>
  <c r="KW115" i="23"/>
  <c r="BZ167" i="23"/>
  <c r="BZ175" i="23" s="1"/>
  <c r="CX167" i="23"/>
  <c r="CX175" i="23" s="1"/>
  <c r="BW183" i="23"/>
  <c r="BW187" i="23" s="1"/>
  <c r="CU183" i="23"/>
  <c r="CU187" i="23" s="1"/>
  <c r="CC167" i="23"/>
  <c r="CC175" i="23" s="1"/>
  <c r="DA167" i="23"/>
  <c r="DA175" i="23" s="1"/>
  <c r="EP115" i="23"/>
  <c r="HB115" i="23"/>
  <c r="JN115" i="23"/>
  <c r="LZ115" i="23"/>
  <c r="CU171" i="22"/>
  <c r="CX171" i="22"/>
  <c r="EV115" i="21"/>
  <c r="FT115" i="21"/>
  <c r="GR115" i="21"/>
  <c r="IE115" i="21"/>
  <c r="JC115" i="21"/>
  <c r="LG115" i="21"/>
  <c r="CX163" i="21"/>
  <c r="CX183" i="21" s="1"/>
  <c r="CX187" i="21" s="1"/>
  <c r="CX195" i="21"/>
  <c r="JA115" i="21"/>
  <c r="JI115" i="21"/>
  <c r="JQ115" i="21"/>
  <c r="JY115" i="21"/>
  <c r="KG115" i="21"/>
  <c r="KO115" i="21"/>
  <c r="KW115" i="21"/>
  <c r="LE115" i="21"/>
  <c r="LM115" i="21"/>
  <c r="LU115" i="21"/>
  <c r="MC115" i="21"/>
  <c r="AL155" i="21"/>
  <c r="BQ163" i="20"/>
  <c r="BT163" i="20"/>
  <c r="AL123" i="20"/>
  <c r="CI163" i="20"/>
  <c r="CF159" i="20"/>
  <c r="DD159" i="20"/>
  <c r="EC115" i="19"/>
  <c r="ER115" i="19"/>
  <c r="EZ115" i="19"/>
  <c r="FI115" i="19"/>
  <c r="FX115" i="19"/>
  <c r="GF115" i="19"/>
  <c r="GO115" i="19"/>
  <c r="HD115" i="19"/>
  <c r="HL115" i="19"/>
  <c r="HU115" i="19"/>
  <c r="IJ115" i="19"/>
  <c r="IR115" i="19"/>
  <c r="JA115" i="19"/>
  <c r="JP115" i="19"/>
  <c r="JX115" i="19"/>
  <c r="KG115" i="19"/>
  <c r="LM115" i="19"/>
  <c r="AL147" i="19"/>
  <c r="G147" i="19" s="1"/>
  <c r="AL167" i="19"/>
  <c r="CO179" i="19"/>
  <c r="CO183" i="19" s="1"/>
  <c r="ED115" i="19"/>
  <c r="ET115" i="19"/>
  <c r="FB115" i="19"/>
  <c r="FJ115" i="19"/>
  <c r="FZ115" i="19"/>
  <c r="GH115" i="19"/>
  <c r="GP115" i="19"/>
  <c r="HF115" i="19"/>
  <c r="HN115" i="19"/>
  <c r="HV115" i="19"/>
  <c r="IL115" i="19"/>
  <c r="IT115" i="19"/>
  <c r="JB115" i="19"/>
  <c r="JR115" i="19"/>
  <c r="JZ115" i="19"/>
  <c r="KH115" i="19"/>
  <c r="KX115" i="19"/>
  <c r="LF115" i="19"/>
  <c r="LN115" i="19"/>
  <c r="MD115" i="19"/>
  <c r="BW179" i="19"/>
  <c r="BW183" i="19" s="1"/>
  <c r="CU179" i="19"/>
  <c r="CU183" i="19" s="1"/>
  <c r="EU115" i="19"/>
  <c r="FC115" i="19"/>
  <c r="GA115" i="19"/>
  <c r="GI115" i="19"/>
  <c r="HG115" i="19"/>
  <c r="HO115" i="19"/>
  <c r="IM115" i="19"/>
  <c r="IU115" i="19"/>
  <c r="JS115" i="19"/>
  <c r="KA115" i="19"/>
  <c r="KY115" i="19"/>
  <c r="LG115" i="19"/>
  <c r="CU191" i="19"/>
  <c r="CF179" i="19"/>
  <c r="CF183" i="19" s="1"/>
  <c r="DD179" i="19"/>
  <c r="DD183" i="19" s="1"/>
  <c r="EH115" i="19"/>
  <c r="EP115" i="19"/>
  <c r="FN115" i="19"/>
  <c r="FV115" i="19"/>
  <c r="GT115" i="19"/>
  <c r="HB115" i="19"/>
  <c r="HZ115" i="19"/>
  <c r="IH115" i="19"/>
  <c r="JF115" i="19"/>
  <c r="JN115" i="19"/>
  <c r="KL115" i="19"/>
  <c r="KT115" i="19"/>
  <c r="LR115" i="19"/>
  <c r="AL139" i="19"/>
  <c r="AL151" i="19"/>
  <c r="G151" i="19" s="1"/>
  <c r="AL155" i="19"/>
  <c r="G155" i="19" s="1"/>
  <c r="AL159" i="19"/>
  <c r="BN179" i="19"/>
  <c r="BN183" i="19" s="1"/>
  <c r="CL179" i="19"/>
  <c r="CL183" i="19" s="1"/>
  <c r="CI187" i="18"/>
  <c r="JZ115" i="17"/>
  <c r="BQ211" i="17"/>
  <c r="GC115" i="17"/>
  <c r="HI115" i="17"/>
  <c r="HY115" i="17"/>
  <c r="IO115" i="17"/>
  <c r="JE115" i="17"/>
  <c r="KK115" i="17"/>
  <c r="LA115" i="17"/>
  <c r="LQ115" i="17"/>
  <c r="KM115" i="17"/>
  <c r="KU115" i="17"/>
  <c r="LC115" i="17"/>
  <c r="LK115" i="17"/>
  <c r="LS115" i="17"/>
  <c r="MA115" i="17"/>
  <c r="GR115" i="17"/>
  <c r="ER115" i="17"/>
  <c r="KN115" i="17"/>
  <c r="LD115" i="17"/>
  <c r="EK115" i="16"/>
  <c r="FA115" i="16"/>
  <c r="FQ115" i="16"/>
  <c r="GG115" i="16"/>
  <c r="GW115" i="16"/>
  <c r="HM115" i="16"/>
  <c r="IC115" i="16"/>
  <c r="IS115" i="16"/>
  <c r="JI115" i="16"/>
  <c r="JY115" i="16"/>
  <c r="KO115" i="16"/>
  <c r="LE115" i="16"/>
  <c r="LU115" i="16"/>
  <c r="EJ115" i="16"/>
  <c r="EZ115" i="16"/>
  <c r="FX115" i="16"/>
  <c r="GV115" i="16"/>
  <c r="HD115" i="16"/>
  <c r="HT115" i="16"/>
  <c r="IJ115" i="16"/>
  <c r="IR115" i="16"/>
  <c r="IZ115" i="16"/>
  <c r="JP115" i="16"/>
  <c r="JX115" i="16"/>
  <c r="KF115" i="16"/>
  <c r="KN115" i="16"/>
  <c r="KV115" i="16"/>
  <c r="LD115" i="16"/>
  <c r="LL115" i="16"/>
  <c r="LT115" i="16"/>
  <c r="MB115" i="16"/>
  <c r="JQ115" i="16"/>
  <c r="EM115" i="16"/>
  <c r="FC115" i="16"/>
  <c r="FS115" i="16"/>
  <c r="GI115" i="16"/>
  <c r="HG115" i="16"/>
  <c r="IE115" i="16"/>
  <c r="KA115" i="16"/>
  <c r="DA135" i="16"/>
  <c r="EB115" i="16"/>
  <c r="ER115" i="16"/>
  <c r="FH115" i="16"/>
  <c r="FP115" i="16"/>
  <c r="GF115" i="16"/>
  <c r="GN115" i="16"/>
  <c r="HL115" i="16"/>
  <c r="IB115" i="16"/>
  <c r="JH115" i="16"/>
  <c r="IK115" i="16"/>
  <c r="EE115" i="16"/>
  <c r="EU115" i="16"/>
  <c r="FK115" i="16"/>
  <c r="GA115" i="16"/>
  <c r="GQ115" i="16"/>
  <c r="GY115" i="16"/>
  <c r="HO115" i="16"/>
  <c r="HW115" i="16"/>
  <c r="IM115" i="16"/>
  <c r="IU115" i="16"/>
  <c r="JC115" i="16"/>
  <c r="JK115" i="16"/>
  <c r="JS115" i="16"/>
  <c r="KI115" i="16"/>
  <c r="KQ115" i="16"/>
  <c r="KY115" i="16"/>
  <c r="LG115" i="16"/>
  <c r="LO115" i="16"/>
  <c r="FI115" i="16"/>
  <c r="KG115" i="16"/>
  <c r="CI93" i="16"/>
  <c r="MC115" i="16"/>
  <c r="BN93" i="16"/>
  <c r="CL93" i="16"/>
  <c r="DD135" i="16"/>
  <c r="DD151" i="16" s="1"/>
  <c r="GT115" i="16"/>
  <c r="HJ115" i="16"/>
  <c r="HR115" i="16"/>
  <c r="LZ115" i="16"/>
  <c r="BT93" i="16"/>
  <c r="CR93" i="16"/>
  <c r="CF93" i="19"/>
  <c r="DD93" i="19"/>
  <c r="CI93" i="21"/>
  <c r="CI93" i="23"/>
  <c r="BQ93" i="16"/>
  <c r="CF93" i="21"/>
  <c r="DD93" i="23"/>
  <c r="CI100" i="17"/>
  <c r="DA131" i="21"/>
  <c r="DA135" i="21" s="1"/>
  <c r="CX100" i="17"/>
  <c r="BW147" i="21"/>
  <c r="BW167" i="21" s="1"/>
  <c r="CF93" i="16"/>
  <c r="BQ100" i="17"/>
  <c r="CO100" i="17"/>
  <c r="BT93" i="19"/>
  <c r="CX93" i="23"/>
  <c r="T28" i="19"/>
  <c r="CX93" i="21"/>
  <c r="BW131" i="19"/>
  <c r="CI191" i="21"/>
  <c r="CR93" i="19"/>
  <c r="CU131" i="19"/>
  <c r="BN93" i="21"/>
  <c r="DD93" i="21"/>
  <c r="DA93" i="23"/>
  <c r="T28" i="24"/>
  <c r="CU93" i="16"/>
  <c r="CX93" i="16"/>
  <c r="DA93" i="16"/>
  <c r="CC143" i="19"/>
  <c r="CC163" i="19" s="1"/>
  <c r="CC175" i="19" s="1"/>
  <c r="CU93" i="21"/>
  <c r="BW100" i="17"/>
  <c r="DA143" i="19"/>
  <c r="DA163" i="19" s="1"/>
  <c r="DA175" i="19" s="1"/>
  <c r="BT93" i="21"/>
  <c r="BZ100" i="17"/>
  <c r="BN93" i="19"/>
  <c r="CI93" i="19"/>
  <c r="CX139" i="24"/>
  <c r="CR143" i="24"/>
  <c r="CR147" i="24" s="1"/>
  <c r="CU151" i="24"/>
  <c r="C54" i="24"/>
  <c r="BQ143" i="24"/>
  <c r="BQ147" i="24" s="1"/>
  <c r="BT143" i="24"/>
  <c r="BT147" i="24" s="1"/>
  <c r="BZ139" i="24"/>
  <c r="CR93" i="23"/>
  <c r="FI115" i="23"/>
  <c r="HU115" i="23"/>
  <c r="KG115" i="23"/>
  <c r="CI167" i="23"/>
  <c r="CI175" i="23" s="1"/>
  <c r="BT159" i="23"/>
  <c r="BN195" i="23"/>
  <c r="AL155" i="23"/>
  <c r="G155" i="23" s="1"/>
  <c r="BW159" i="23"/>
  <c r="BT195" i="23"/>
  <c r="CU93" i="23"/>
  <c r="DY115" i="23"/>
  <c r="EG115" i="23"/>
  <c r="EO115" i="23"/>
  <c r="EW115" i="23"/>
  <c r="FE115" i="23"/>
  <c r="FM115" i="23"/>
  <c r="FU115" i="23"/>
  <c r="GC115" i="23"/>
  <c r="GK115" i="23"/>
  <c r="GS115" i="23"/>
  <c r="HA115" i="23"/>
  <c r="HI115" i="23"/>
  <c r="HQ115" i="23"/>
  <c r="HY115" i="23"/>
  <c r="IG115" i="23"/>
  <c r="IO115" i="23"/>
  <c r="IW115" i="23"/>
  <c r="JE115" i="23"/>
  <c r="JM115" i="23"/>
  <c r="JU115" i="23"/>
  <c r="KC115" i="23"/>
  <c r="KK115" i="23"/>
  <c r="KS115" i="23"/>
  <c r="LA115" i="23"/>
  <c r="LI115" i="23"/>
  <c r="LQ115" i="23"/>
  <c r="LY115" i="23"/>
  <c r="DZ115" i="23"/>
  <c r="ES115" i="23"/>
  <c r="GL115" i="23"/>
  <c r="HE115" i="23"/>
  <c r="IX115" i="23"/>
  <c r="JQ115" i="23"/>
  <c r="LJ115" i="23"/>
  <c r="CI195" i="23"/>
  <c r="CF93" i="23"/>
  <c r="CR159" i="23"/>
  <c r="BK183" i="23"/>
  <c r="CI183" i="23"/>
  <c r="CI187" i="23" s="1"/>
  <c r="CL195" i="23"/>
  <c r="CR139" i="23"/>
  <c r="CR191" i="23" s="1"/>
  <c r="BN93" i="23"/>
  <c r="EC115" i="23"/>
  <c r="FV115" i="23"/>
  <c r="GO115" i="23"/>
  <c r="IH115" i="23"/>
  <c r="JA115" i="23"/>
  <c r="KT115" i="23"/>
  <c r="LM115" i="23"/>
  <c r="CU159" i="23"/>
  <c r="CR195" i="23"/>
  <c r="EH115" i="23"/>
  <c r="FA115" i="23"/>
  <c r="GT115" i="23"/>
  <c r="HM115" i="23"/>
  <c r="JF115" i="23"/>
  <c r="JY115" i="23"/>
  <c r="LR115" i="23"/>
  <c r="DA159" i="23"/>
  <c r="CO183" i="23"/>
  <c r="CO187" i="23" s="1"/>
  <c r="BT93" i="23"/>
  <c r="CL93" i="23"/>
  <c r="AL135" i="22"/>
  <c r="G135" i="22" s="1"/>
  <c r="BZ139" i="22"/>
  <c r="BZ159" i="22" s="1"/>
  <c r="BZ163" i="22" s="1"/>
  <c r="AL131" i="22"/>
  <c r="CX139" i="22"/>
  <c r="CX159" i="22" s="1"/>
  <c r="CX163" i="22" s="1"/>
  <c r="CX131" i="21"/>
  <c r="CX135" i="21" s="1"/>
  <c r="BQ147" i="21"/>
  <c r="BQ167" i="21" s="1"/>
  <c r="BQ179" i="21" s="1"/>
  <c r="EA115" i="21"/>
  <c r="EI115" i="21"/>
  <c r="EQ115" i="21"/>
  <c r="EY115" i="21"/>
  <c r="FG115" i="21"/>
  <c r="FO115" i="21"/>
  <c r="FW115" i="21"/>
  <c r="GE115" i="21"/>
  <c r="GM115" i="21"/>
  <c r="GU115" i="21"/>
  <c r="HC115" i="21"/>
  <c r="HK115" i="21"/>
  <c r="HS115" i="21"/>
  <c r="IA115" i="21"/>
  <c r="II115" i="21"/>
  <c r="IQ115" i="21"/>
  <c r="IY115" i="21"/>
  <c r="JG115" i="21"/>
  <c r="JO115" i="21"/>
  <c r="JW115" i="21"/>
  <c r="KE115" i="21"/>
  <c r="KM115" i="21"/>
  <c r="KU115" i="21"/>
  <c r="LC115" i="21"/>
  <c r="LK115" i="21"/>
  <c r="LS115" i="21"/>
  <c r="MA115" i="21"/>
  <c r="CL147" i="21"/>
  <c r="CL191" i="21" s="1"/>
  <c r="DA93" i="21"/>
  <c r="EC115" i="21"/>
  <c r="CO147" i="21"/>
  <c r="CO167" i="21" s="1"/>
  <c r="CO179" i="21" s="1"/>
  <c r="FS115" i="21"/>
  <c r="GQ115" i="21"/>
  <c r="IU115" i="21"/>
  <c r="BK131" i="21"/>
  <c r="BK135" i="21" s="1"/>
  <c r="CU147" i="21"/>
  <c r="CU191" i="21" s="1"/>
  <c r="JZ115" i="21"/>
  <c r="BZ131" i="21"/>
  <c r="BZ135" i="21" s="1"/>
  <c r="CC131" i="21"/>
  <c r="CC135" i="21" s="1"/>
  <c r="AL143" i="21"/>
  <c r="AL159" i="21"/>
  <c r="G159" i="21" s="1"/>
  <c r="BZ163" i="21"/>
  <c r="BZ183" i="21" s="1"/>
  <c r="BZ187" i="21" s="1"/>
  <c r="CC93" i="21"/>
  <c r="CI131" i="21"/>
  <c r="CI135" i="21" s="1"/>
  <c r="BN147" i="21"/>
  <c r="BN167" i="21" s="1"/>
  <c r="BN143" i="20"/>
  <c r="BN147" i="20"/>
  <c r="CL143" i="20"/>
  <c r="CL147" i="20"/>
  <c r="AL139" i="20"/>
  <c r="AL131" i="20"/>
  <c r="BW163" i="20"/>
  <c r="AX31" i="20"/>
  <c r="BW159" i="20"/>
  <c r="CU159" i="20"/>
  <c r="BZ163" i="20"/>
  <c r="BZ159" i="20"/>
  <c r="CX159" i="20"/>
  <c r="CL163" i="20"/>
  <c r="AL119" i="20"/>
  <c r="CC159" i="20"/>
  <c r="DA159" i="20"/>
  <c r="CO163" i="20"/>
  <c r="CR163" i="20"/>
  <c r="BN163" i="20"/>
  <c r="CU163" i="20"/>
  <c r="GQ115" i="19"/>
  <c r="BZ131" i="19"/>
  <c r="CX131" i="19"/>
  <c r="CF143" i="19"/>
  <c r="CF163" i="19" s="1"/>
  <c r="CF171" i="19" s="1"/>
  <c r="DD143" i="19"/>
  <c r="DD163" i="19" s="1"/>
  <c r="DD175" i="19" s="1"/>
  <c r="FK115" i="19"/>
  <c r="HW115" i="19"/>
  <c r="BW93" i="19"/>
  <c r="DY115" i="19"/>
  <c r="EG115" i="19"/>
  <c r="EO115" i="19"/>
  <c r="EW115" i="19"/>
  <c r="FE115" i="19"/>
  <c r="FM115" i="19"/>
  <c r="FU115" i="19"/>
  <c r="GC115" i="19"/>
  <c r="GK115" i="19"/>
  <c r="GS115" i="19"/>
  <c r="HA115" i="19"/>
  <c r="HI115" i="19"/>
  <c r="HQ115" i="19"/>
  <c r="HY115" i="19"/>
  <c r="IG115" i="19"/>
  <c r="IO115" i="19"/>
  <c r="IW115" i="19"/>
  <c r="JE115" i="19"/>
  <c r="JM115" i="19"/>
  <c r="JU115" i="19"/>
  <c r="KC115" i="19"/>
  <c r="KK115" i="19"/>
  <c r="KS115" i="19"/>
  <c r="LA115" i="19"/>
  <c r="LI115" i="19"/>
  <c r="LQ115" i="19"/>
  <c r="LY115" i="19"/>
  <c r="CC131" i="19"/>
  <c r="DA131" i="19"/>
  <c r="BN135" i="19"/>
  <c r="AL135" i="19" s="1"/>
  <c r="BK143" i="19"/>
  <c r="M62" i="19" s="1"/>
  <c r="M66" i="19" s="1"/>
  <c r="CI143" i="19"/>
  <c r="CI163" i="19" s="1"/>
  <c r="CI175" i="19" s="1"/>
  <c r="KI115" i="19"/>
  <c r="CF131" i="19"/>
  <c r="DD131" i="19"/>
  <c r="BN143" i="19"/>
  <c r="BN163" i="19" s="1"/>
  <c r="CL143" i="19"/>
  <c r="CL163" i="19" s="1"/>
  <c r="EA115" i="19"/>
  <c r="FG115" i="19"/>
  <c r="GM115" i="19"/>
  <c r="HS115" i="19"/>
  <c r="IY115" i="19"/>
  <c r="KE115" i="19"/>
  <c r="LK115" i="19"/>
  <c r="BK131" i="19"/>
  <c r="CI131" i="19"/>
  <c r="BQ143" i="19"/>
  <c r="BQ163" i="19" s="1"/>
  <c r="BQ171" i="19" s="1"/>
  <c r="CO143" i="19"/>
  <c r="CO163" i="19" s="1"/>
  <c r="CO171" i="19" s="1"/>
  <c r="CC93" i="19"/>
  <c r="ID115" i="19"/>
  <c r="KP115" i="19"/>
  <c r="LV115" i="19"/>
  <c r="BN131" i="19"/>
  <c r="CL131" i="19"/>
  <c r="BT143" i="19"/>
  <c r="BT163" i="19" s="1"/>
  <c r="BT171" i="19" s="1"/>
  <c r="CR143" i="19"/>
  <c r="CR163" i="19" s="1"/>
  <c r="CR171" i="19" s="1"/>
  <c r="BQ179" i="19"/>
  <c r="BQ183" i="19" s="1"/>
  <c r="JC115" i="19"/>
  <c r="LO115" i="19"/>
  <c r="AX31" i="19"/>
  <c r="DA93" i="19"/>
  <c r="EL115" i="19"/>
  <c r="FR115" i="19"/>
  <c r="GX115" i="19"/>
  <c r="JJ115" i="19"/>
  <c r="BQ131" i="19"/>
  <c r="CO131" i="19"/>
  <c r="BW143" i="19"/>
  <c r="BW163" i="19" s="1"/>
  <c r="BW171" i="19" s="1"/>
  <c r="CU143" i="19"/>
  <c r="CU163" i="19" s="1"/>
  <c r="CU175" i="19" s="1"/>
  <c r="EE115" i="19"/>
  <c r="BK87" i="19"/>
  <c r="BK81" i="19" s="1" a="1"/>
  <c r="BK81" i="19" s="1"/>
  <c r="BK121" i="19" s="1"/>
  <c r="BT131" i="19"/>
  <c r="CR131" i="19"/>
  <c r="BZ143" i="19"/>
  <c r="BZ163" i="19" s="1"/>
  <c r="BZ175" i="19" s="1"/>
  <c r="AL139" i="18"/>
  <c r="CO143" i="18"/>
  <c r="CO163" i="18" s="1"/>
  <c r="CO167" i="18" s="1"/>
  <c r="BN187" i="18"/>
  <c r="CR143" i="18"/>
  <c r="CR163" i="18" s="1"/>
  <c r="CR167" i="18" s="1"/>
  <c r="BQ187" i="18"/>
  <c r="AL119" i="18"/>
  <c r="BW131" i="18"/>
  <c r="BW147" i="18" s="1"/>
  <c r="CL187" i="18"/>
  <c r="AL123" i="18"/>
  <c r="BZ131" i="18"/>
  <c r="BZ147" i="18" s="1"/>
  <c r="BZ159" i="18" s="1"/>
  <c r="CO187" i="18"/>
  <c r="CU131" i="18"/>
  <c r="CU147" i="18" s="1"/>
  <c r="BW183" i="18"/>
  <c r="CX131" i="18"/>
  <c r="CX147" i="18" s="1"/>
  <c r="BZ183" i="18"/>
  <c r="BQ143" i="18"/>
  <c r="BQ163" i="18" s="1"/>
  <c r="BQ167" i="18" s="1"/>
  <c r="AL151" i="18"/>
  <c r="G151" i="18" s="1"/>
  <c r="AR151" i="18" s="1"/>
  <c r="AL171" i="18"/>
  <c r="G171" i="18" s="1"/>
  <c r="AR171" i="18" s="1"/>
  <c r="CU183" i="18"/>
  <c r="BT143" i="18"/>
  <c r="BT163" i="18" s="1"/>
  <c r="BT167" i="18" s="1"/>
  <c r="CX183" i="18"/>
  <c r="DA100" i="17"/>
  <c r="ED115" i="17"/>
  <c r="EL115" i="17"/>
  <c r="ET115" i="17"/>
  <c r="FB115" i="17"/>
  <c r="FJ115" i="17"/>
  <c r="FR115" i="17"/>
  <c r="FZ115" i="17"/>
  <c r="GH115" i="17"/>
  <c r="GP115" i="17"/>
  <c r="GX115" i="17"/>
  <c r="HF115" i="17"/>
  <c r="HN115" i="17"/>
  <c r="HV115" i="17"/>
  <c r="ID115" i="17"/>
  <c r="IL115" i="17"/>
  <c r="IT115" i="17"/>
  <c r="JB115" i="17"/>
  <c r="JJ115" i="17"/>
  <c r="JR115" i="17"/>
  <c r="KH115" i="17"/>
  <c r="KP115" i="17"/>
  <c r="KX115" i="17"/>
  <c r="LF115" i="17"/>
  <c r="LN115" i="17"/>
  <c r="LV115" i="17"/>
  <c r="MD115" i="17"/>
  <c r="BT143" i="17"/>
  <c r="AL155" i="17"/>
  <c r="G155" i="17" s="1"/>
  <c r="DD100" i="17"/>
  <c r="EE115" i="17"/>
  <c r="EN115" i="17"/>
  <c r="EU115" i="17"/>
  <c r="FC115" i="17"/>
  <c r="FK115" i="17"/>
  <c r="FS115" i="17"/>
  <c r="GA115" i="17"/>
  <c r="GI115" i="17"/>
  <c r="GQ115" i="17"/>
  <c r="GY115" i="17"/>
  <c r="HG115" i="17"/>
  <c r="HO115" i="17"/>
  <c r="HW115" i="17"/>
  <c r="IE115" i="17"/>
  <c r="IM115" i="17"/>
  <c r="IU115" i="17"/>
  <c r="JC115" i="17"/>
  <c r="JK115" i="17"/>
  <c r="JS115" i="17"/>
  <c r="KA115" i="17"/>
  <c r="KI115" i="17"/>
  <c r="KQ115" i="17"/>
  <c r="KY115" i="17"/>
  <c r="LG115" i="17"/>
  <c r="LO115" i="17"/>
  <c r="LW115" i="17"/>
  <c r="FL115" i="17"/>
  <c r="CX143" i="17"/>
  <c r="CX207" i="17" s="1"/>
  <c r="AL163" i="17"/>
  <c r="G163" i="17" s="1"/>
  <c r="AL195" i="17"/>
  <c r="G195" i="17" s="1"/>
  <c r="AR195" i="17" s="1"/>
  <c r="BK131" i="17"/>
  <c r="DY115" i="17"/>
  <c r="EG115" i="17"/>
  <c r="FE115" i="17"/>
  <c r="FU115" i="17"/>
  <c r="GK115" i="17"/>
  <c r="HA115" i="17"/>
  <c r="HQ115" i="17"/>
  <c r="IG115" i="17"/>
  <c r="IW115" i="17"/>
  <c r="JM115" i="17"/>
  <c r="KC115" i="17"/>
  <c r="KS115" i="17"/>
  <c r="LI115" i="17"/>
  <c r="LY115" i="17"/>
  <c r="BZ131" i="17"/>
  <c r="EP115" i="17"/>
  <c r="FF115" i="17"/>
  <c r="GL115" i="17"/>
  <c r="HR115" i="17"/>
  <c r="KD115" i="17"/>
  <c r="LJ115" i="17"/>
  <c r="CC131" i="17"/>
  <c r="CU131" i="17"/>
  <c r="CC100" i="17"/>
  <c r="EB115" i="17"/>
  <c r="EK115" i="17"/>
  <c r="EZ115" i="17"/>
  <c r="FP115" i="17"/>
  <c r="GF115" i="17"/>
  <c r="GV115" i="17"/>
  <c r="HL115" i="17"/>
  <c r="IB115" i="17"/>
  <c r="IR115" i="17"/>
  <c r="JH115" i="17"/>
  <c r="JX115" i="17"/>
  <c r="LT115" i="17"/>
  <c r="AL159" i="17"/>
  <c r="G159" i="17" s="1"/>
  <c r="AL175" i="17"/>
  <c r="BT211" i="17"/>
  <c r="DD163" i="16"/>
  <c r="DD93" i="16"/>
  <c r="BK81" i="16" a="1"/>
  <c r="BK81" i="16" s="1"/>
  <c r="BK83" i="16" s="1"/>
  <c r="BK135" i="16"/>
  <c r="BW93" i="16"/>
  <c r="CO93" i="16"/>
  <c r="LW115" i="16"/>
  <c r="CC135" i="16"/>
  <c r="CC171" i="16" s="1"/>
  <c r="CC175" i="16" s="1"/>
  <c r="BZ93" i="16"/>
  <c r="CF155" i="16"/>
  <c r="CF163" i="16" s="1"/>
  <c r="CC163" i="16"/>
  <c r="DA163" i="16"/>
  <c r="CI135" i="16"/>
  <c r="CI151" i="16" s="1"/>
  <c r="AL139" i="16"/>
  <c r="AL127" i="15"/>
  <c r="F127" i="15" s="1"/>
  <c r="AL135" i="15"/>
  <c r="BZ151" i="24"/>
  <c r="CX151" i="24"/>
  <c r="CF139" i="24"/>
  <c r="DD139" i="24"/>
  <c r="BW143" i="24"/>
  <c r="BW147" i="24" s="1"/>
  <c r="CU143" i="24"/>
  <c r="CU147" i="24" s="1"/>
  <c r="CC151" i="24"/>
  <c r="DA151" i="24"/>
  <c r="AL123" i="24"/>
  <c r="AL135" i="24"/>
  <c r="BK139" i="24"/>
  <c r="CI139" i="24"/>
  <c r="CF151" i="24"/>
  <c r="DD151" i="24"/>
  <c r="CL139" i="24"/>
  <c r="CI151" i="24"/>
  <c r="BN151" i="24"/>
  <c r="CL151" i="24"/>
  <c r="BK143" i="24"/>
  <c r="BQ151" i="24"/>
  <c r="CO151" i="24"/>
  <c r="BN139" i="24"/>
  <c r="BT151" i="24"/>
  <c r="CR151" i="24"/>
  <c r="BW151" i="24"/>
  <c r="BQ139" i="23"/>
  <c r="BQ191" i="23" s="1"/>
  <c r="BK187" i="23"/>
  <c r="T28" i="23"/>
  <c r="AL131" i="23"/>
  <c r="BT139" i="23"/>
  <c r="BT191" i="23" s="1"/>
  <c r="AL143" i="23"/>
  <c r="BK167" i="23"/>
  <c r="CO139" i="23"/>
  <c r="CO191" i="23" s="1"/>
  <c r="BT183" i="23"/>
  <c r="BT187" i="23" s="1"/>
  <c r="CR183" i="23"/>
  <c r="CR187" i="23" s="1"/>
  <c r="AL135" i="23"/>
  <c r="CL139" i="23"/>
  <c r="CL191" i="23" s="1"/>
  <c r="AL147" i="23"/>
  <c r="AL171" i="23"/>
  <c r="EE115" i="23"/>
  <c r="EM115" i="23"/>
  <c r="EU115" i="23"/>
  <c r="FC115" i="23"/>
  <c r="FK115" i="23"/>
  <c r="FS115" i="23"/>
  <c r="GA115" i="23"/>
  <c r="GI115" i="23"/>
  <c r="GQ115" i="23"/>
  <c r="GY115" i="23"/>
  <c r="HG115" i="23"/>
  <c r="HO115" i="23"/>
  <c r="HW115" i="23"/>
  <c r="IE115" i="23"/>
  <c r="IM115" i="23"/>
  <c r="IU115" i="23"/>
  <c r="JC115" i="23"/>
  <c r="JK115" i="23"/>
  <c r="JS115" i="23"/>
  <c r="KA115" i="23"/>
  <c r="KI115" i="23"/>
  <c r="KQ115" i="23"/>
  <c r="KY115" i="23"/>
  <c r="LG115" i="23"/>
  <c r="LO115" i="23"/>
  <c r="LW115" i="23"/>
  <c r="BQ183" i="23"/>
  <c r="BQ187" i="23" s="1"/>
  <c r="BW139" i="23"/>
  <c r="BW191" i="23" s="1"/>
  <c r="CU139" i="23"/>
  <c r="CU191" i="23" s="1"/>
  <c r="AL151" i="23"/>
  <c r="BZ159" i="23"/>
  <c r="CX159" i="23"/>
  <c r="CF167" i="23"/>
  <c r="CF175" i="23" s="1"/>
  <c r="DD167" i="23"/>
  <c r="DD175" i="23" s="1"/>
  <c r="BQ195" i="23"/>
  <c r="CO195" i="23"/>
  <c r="BZ139" i="23"/>
  <c r="BZ191" i="23" s="1"/>
  <c r="CX139" i="23"/>
  <c r="CX191" i="23" s="1"/>
  <c r="BK87" i="23"/>
  <c r="BK81" i="23" s="1" a="1"/>
  <c r="BK81" i="23" s="1"/>
  <c r="CC139" i="23"/>
  <c r="CC191" i="23" s="1"/>
  <c r="DA139" i="23"/>
  <c r="DA191" i="23" s="1"/>
  <c r="CF159" i="23"/>
  <c r="DD159" i="23"/>
  <c r="BN167" i="23"/>
  <c r="BN175" i="23" s="1"/>
  <c r="CL167" i="23"/>
  <c r="CL175" i="23" s="1"/>
  <c r="BZ183" i="23"/>
  <c r="BZ187" i="23" s="1"/>
  <c r="CX183" i="23"/>
  <c r="CX187" i="23" s="1"/>
  <c r="BW195" i="23"/>
  <c r="CU195" i="23"/>
  <c r="CF139" i="23"/>
  <c r="CF191" i="23" s="1"/>
  <c r="DD139" i="23"/>
  <c r="DD191" i="23" s="1"/>
  <c r="BK159" i="23"/>
  <c r="CI159" i="23"/>
  <c r="BQ167" i="23"/>
  <c r="BQ175" i="23" s="1"/>
  <c r="CO167" i="23"/>
  <c r="CO175" i="23" s="1"/>
  <c r="CC183" i="23"/>
  <c r="CC187" i="23" s="1"/>
  <c r="DA183" i="23"/>
  <c r="DA187" i="23" s="1"/>
  <c r="BZ195" i="23"/>
  <c r="CX195" i="23"/>
  <c r="BK139" i="23"/>
  <c r="CI139" i="23"/>
  <c r="CI191" i="23" s="1"/>
  <c r="BN159" i="23"/>
  <c r="CL159" i="23"/>
  <c r="BT167" i="23"/>
  <c r="BT175" i="23" s="1"/>
  <c r="CR167" i="23"/>
  <c r="CR175" i="23" s="1"/>
  <c r="CC195" i="23"/>
  <c r="DA195" i="23"/>
  <c r="BN139" i="23"/>
  <c r="BN191" i="23" s="1"/>
  <c r="BQ159" i="23"/>
  <c r="CO159" i="23"/>
  <c r="BW167" i="23"/>
  <c r="BW175" i="23" s="1"/>
  <c r="CU167" i="23"/>
  <c r="CF195" i="23"/>
  <c r="DD195" i="23"/>
  <c r="BQ151" i="22"/>
  <c r="BQ155" i="22"/>
  <c r="CO155" i="22"/>
  <c r="AL123" i="22"/>
  <c r="CC139" i="22"/>
  <c r="CC159" i="22" s="1"/>
  <c r="CC163" i="22" s="1"/>
  <c r="DA139" i="22"/>
  <c r="DA159" i="22" s="1"/>
  <c r="DA163" i="22" s="1"/>
  <c r="BT143" i="22"/>
  <c r="BT151" i="22" s="1"/>
  <c r="CR143" i="22"/>
  <c r="CR151" i="22" s="1"/>
  <c r="BK147" i="22"/>
  <c r="CC171" i="22"/>
  <c r="DA171" i="22"/>
  <c r="CF139" i="22"/>
  <c r="CF159" i="22" s="1"/>
  <c r="CF163" i="22" s="1"/>
  <c r="DD139" i="22"/>
  <c r="DD159" i="22" s="1"/>
  <c r="DD163" i="22" s="1"/>
  <c r="BW143" i="22"/>
  <c r="BW151" i="22" s="1"/>
  <c r="CU143" i="22"/>
  <c r="CU155" i="22" s="1"/>
  <c r="CF171" i="22"/>
  <c r="DD171" i="22"/>
  <c r="BK139" i="22"/>
  <c r="CI139" i="22"/>
  <c r="CI159" i="22" s="1"/>
  <c r="CI163" i="22" s="1"/>
  <c r="BZ143" i="22"/>
  <c r="BZ151" i="22" s="1"/>
  <c r="CX143" i="22"/>
  <c r="CX151" i="22" s="1"/>
  <c r="BK171" i="22"/>
  <c r="CI171" i="22"/>
  <c r="BN139" i="22"/>
  <c r="BN159" i="22" s="1"/>
  <c r="BN163" i="22" s="1"/>
  <c r="CL139" i="22"/>
  <c r="CL159" i="22" s="1"/>
  <c r="CL163" i="22" s="1"/>
  <c r="CC143" i="22"/>
  <c r="CC155" i="22" s="1"/>
  <c r="DA143" i="22"/>
  <c r="DA155" i="22" s="1"/>
  <c r="BN171" i="22"/>
  <c r="CL171" i="22"/>
  <c r="T28" i="22"/>
  <c r="AL127" i="22"/>
  <c r="BQ139" i="22"/>
  <c r="BQ159" i="22" s="1"/>
  <c r="BQ163" i="22" s="1"/>
  <c r="CO139" i="22"/>
  <c r="CO159" i="22" s="1"/>
  <c r="CO163" i="22" s="1"/>
  <c r="CF143" i="22"/>
  <c r="CF155" i="22" s="1"/>
  <c r="DD143" i="22"/>
  <c r="DD151" i="22" s="1"/>
  <c r="BQ171" i="22"/>
  <c r="CO171" i="22"/>
  <c r="BT139" i="22"/>
  <c r="BT159" i="22" s="1"/>
  <c r="BT163" i="22" s="1"/>
  <c r="CR139" i="22"/>
  <c r="CR159" i="22" s="1"/>
  <c r="CR163" i="22" s="1"/>
  <c r="BK143" i="22"/>
  <c r="CI143" i="22"/>
  <c r="CI155" i="22" s="1"/>
  <c r="BT171" i="22"/>
  <c r="CR171" i="22"/>
  <c r="AL119" i="22"/>
  <c r="BW139" i="22"/>
  <c r="BW159" i="22" s="1"/>
  <c r="BW163" i="22" s="1"/>
  <c r="CU139" i="22"/>
  <c r="CU159" i="22" s="1"/>
  <c r="CU163" i="22" s="1"/>
  <c r="BN143" i="22"/>
  <c r="BN155" i="22" s="1"/>
  <c r="CL143" i="22"/>
  <c r="CL155" i="22" s="1"/>
  <c r="BW171" i="22"/>
  <c r="EU115" i="21"/>
  <c r="HG115" i="21"/>
  <c r="JS115" i="21"/>
  <c r="CI163" i="21"/>
  <c r="CI183" i="21" s="1"/>
  <c r="CI187" i="21" s="1"/>
  <c r="AL171" i="21"/>
  <c r="G171" i="21" s="1"/>
  <c r="AR171" i="21" s="1"/>
  <c r="AL151" i="21"/>
  <c r="G155" i="21"/>
  <c r="EJ115" i="21"/>
  <c r="ER115" i="21"/>
  <c r="EZ115" i="21"/>
  <c r="FH115" i="21"/>
  <c r="FP115" i="21"/>
  <c r="FX115" i="21"/>
  <c r="GF115" i="21"/>
  <c r="GN115" i="21"/>
  <c r="GV115" i="21"/>
  <c r="HD115" i="21"/>
  <c r="HL115" i="21"/>
  <c r="HT115" i="21"/>
  <c r="IB115" i="21"/>
  <c r="IJ115" i="21"/>
  <c r="IR115" i="21"/>
  <c r="IZ115" i="21"/>
  <c r="JH115" i="21"/>
  <c r="JP115" i="21"/>
  <c r="JX115" i="21"/>
  <c r="KF115" i="21"/>
  <c r="KN115" i="21"/>
  <c r="KV115" i="21"/>
  <c r="LD115" i="21"/>
  <c r="LL115" i="21"/>
  <c r="LT115" i="21"/>
  <c r="MB115" i="21"/>
  <c r="FC115" i="21"/>
  <c r="HO115" i="21"/>
  <c r="KA115" i="21"/>
  <c r="GA115" i="21"/>
  <c r="IM115" i="21"/>
  <c r="KY115" i="21"/>
  <c r="AL139" i="21"/>
  <c r="CU195" i="21"/>
  <c r="BW195" i="21"/>
  <c r="CU163" i="21"/>
  <c r="CU183" i="21" s="1"/>
  <c r="CU187" i="21" s="1"/>
  <c r="BW163" i="21"/>
  <c r="BW183" i="21" s="1"/>
  <c r="BW187" i="21" s="1"/>
  <c r="CR195" i="21"/>
  <c r="BT195" i="21"/>
  <c r="CI167" i="21"/>
  <c r="CR163" i="21"/>
  <c r="CR183" i="21" s="1"/>
  <c r="CR187" i="21" s="1"/>
  <c r="BT163" i="21"/>
  <c r="BT183" i="21" s="1"/>
  <c r="BT187" i="21" s="1"/>
  <c r="CO195" i="21"/>
  <c r="BQ195" i="21"/>
  <c r="CO163" i="21"/>
  <c r="CO183" i="21" s="1"/>
  <c r="CO187" i="21" s="1"/>
  <c r="BQ163" i="21"/>
  <c r="BQ183" i="21" s="1"/>
  <c r="BQ187" i="21" s="1"/>
  <c r="CI195" i="21"/>
  <c r="BK195" i="21"/>
  <c r="CL195" i="21"/>
  <c r="BN195" i="21"/>
  <c r="BW191" i="21"/>
  <c r="CL163" i="21"/>
  <c r="CL183" i="21" s="1"/>
  <c r="CL187" i="21" s="1"/>
  <c r="BN163" i="21"/>
  <c r="BN183" i="21" s="1"/>
  <c r="BN187" i="21" s="1"/>
  <c r="DD195" i="21"/>
  <c r="CF195" i="21"/>
  <c r="DD163" i="21"/>
  <c r="DD183" i="21" s="1"/>
  <c r="DD187" i="21" s="1"/>
  <c r="CF163" i="21"/>
  <c r="CF183" i="21" s="1"/>
  <c r="CF187" i="21" s="1"/>
  <c r="DA195" i="21"/>
  <c r="CC195" i="21"/>
  <c r="DA163" i="21"/>
  <c r="DA183" i="21" s="1"/>
  <c r="DA187" i="21" s="1"/>
  <c r="CC163" i="21"/>
  <c r="CC183" i="21" s="1"/>
  <c r="CC187" i="21" s="1"/>
  <c r="BZ195" i="21"/>
  <c r="EM115" i="21"/>
  <c r="GY115" i="21"/>
  <c r="JK115" i="21"/>
  <c r="LW115" i="21"/>
  <c r="T28" i="21"/>
  <c r="FK115" i="21"/>
  <c r="HW115" i="21"/>
  <c r="KI115" i="21"/>
  <c r="BK163" i="21"/>
  <c r="CF131" i="21"/>
  <c r="CF135" i="21" s="1"/>
  <c r="DD131" i="21"/>
  <c r="DD135" i="21" s="1"/>
  <c r="BT147" i="21"/>
  <c r="BT191" i="21" s="1"/>
  <c r="CR147" i="21"/>
  <c r="CR191" i="21" s="1"/>
  <c r="BN131" i="21"/>
  <c r="BN135" i="21" s="1"/>
  <c r="CL131" i="21"/>
  <c r="CL135" i="21" s="1"/>
  <c r="BZ147" i="21"/>
  <c r="BZ191" i="21" s="1"/>
  <c r="CX147" i="21"/>
  <c r="CX167" i="21" s="1"/>
  <c r="EB115" i="21"/>
  <c r="BQ131" i="21"/>
  <c r="BQ135" i="21" s="1"/>
  <c r="CO131" i="21"/>
  <c r="CO135" i="21" s="1"/>
  <c r="CC147" i="21"/>
  <c r="CC167" i="21" s="1"/>
  <c r="DA147" i="21"/>
  <c r="DA191" i="21" s="1"/>
  <c r="BT131" i="21"/>
  <c r="BT135" i="21" s="1"/>
  <c r="CR131" i="21"/>
  <c r="CR135" i="21" s="1"/>
  <c r="CF147" i="21"/>
  <c r="CF167" i="21" s="1"/>
  <c r="DD147" i="21"/>
  <c r="DD191" i="21" s="1"/>
  <c r="BK87" i="21"/>
  <c r="BK81" i="21" s="1" a="1"/>
  <c r="BK81" i="21" s="1"/>
  <c r="BW131" i="21"/>
  <c r="BW135" i="21" s="1"/>
  <c r="CU131" i="21"/>
  <c r="CU135" i="21" s="1"/>
  <c r="BK147" i="21"/>
  <c r="BK167" i="21" s="1"/>
  <c r="BK147" i="20"/>
  <c r="BK143" i="20"/>
  <c r="CI147" i="20"/>
  <c r="CI143" i="20"/>
  <c r="BK155" i="20"/>
  <c r="G131" i="20"/>
  <c r="BT143" i="20"/>
  <c r="CR143" i="20"/>
  <c r="BQ147" i="20"/>
  <c r="CO147" i="20"/>
  <c r="CF151" i="20"/>
  <c r="CF155" i="20" s="1"/>
  <c r="DD151" i="20"/>
  <c r="DD155" i="20" s="1"/>
  <c r="BN159" i="20"/>
  <c r="CL159" i="20"/>
  <c r="CC163" i="20"/>
  <c r="DA163" i="20"/>
  <c r="CI159" i="20"/>
  <c r="BW135" i="20"/>
  <c r="CU135" i="20"/>
  <c r="BQ159" i="20"/>
  <c r="CO159" i="20"/>
  <c r="CF163" i="20"/>
  <c r="DD163" i="20"/>
  <c r="BK159" i="20"/>
  <c r="T28" i="20"/>
  <c r="AL127" i="20"/>
  <c r="BZ135" i="20"/>
  <c r="BZ147" i="20" s="1"/>
  <c r="CX135" i="20"/>
  <c r="CX147" i="20" s="1"/>
  <c r="CF143" i="20"/>
  <c r="BT159" i="20"/>
  <c r="CR159" i="20"/>
  <c r="BK163" i="20"/>
  <c r="CC135" i="20"/>
  <c r="CC147" i="20" s="1"/>
  <c r="DA135" i="20"/>
  <c r="DA147" i="20" s="1"/>
  <c r="CF135" i="20"/>
  <c r="CF147" i="20" s="1"/>
  <c r="DD135" i="20"/>
  <c r="DD147" i="20" s="1"/>
  <c r="BT151" i="20"/>
  <c r="BT155" i="20" s="1"/>
  <c r="CR151" i="20"/>
  <c r="CR155" i="20" s="1"/>
  <c r="BW175" i="19"/>
  <c r="BZ191" i="19"/>
  <c r="CX191" i="19"/>
  <c r="CX171" i="19"/>
  <c r="CC191" i="19"/>
  <c r="DA191" i="19"/>
  <c r="CC171" i="19"/>
  <c r="DA171" i="19"/>
  <c r="CF191" i="19"/>
  <c r="DD191" i="19"/>
  <c r="EF115" i="19"/>
  <c r="EN115" i="19"/>
  <c r="EV115" i="19"/>
  <c r="FD115" i="19"/>
  <c r="FL115" i="19"/>
  <c r="FT115" i="19"/>
  <c r="GB115" i="19"/>
  <c r="GJ115" i="19"/>
  <c r="GR115" i="19"/>
  <c r="GZ115" i="19"/>
  <c r="HH115" i="19"/>
  <c r="HP115" i="19"/>
  <c r="HX115" i="19"/>
  <c r="IF115" i="19"/>
  <c r="IN115" i="19"/>
  <c r="IV115" i="19"/>
  <c r="JD115" i="19"/>
  <c r="JL115" i="19"/>
  <c r="JT115" i="19"/>
  <c r="KB115" i="19"/>
  <c r="KJ115" i="19"/>
  <c r="KR115" i="19"/>
  <c r="KZ115" i="19"/>
  <c r="LH115" i="19"/>
  <c r="LP115" i="19"/>
  <c r="LX115" i="19"/>
  <c r="BN191" i="19"/>
  <c r="CL191" i="19"/>
  <c r="CX187" i="19"/>
  <c r="BQ191" i="19"/>
  <c r="CO191" i="19"/>
  <c r="BK191" i="19"/>
  <c r="CI191" i="19"/>
  <c r="BT191" i="19"/>
  <c r="CR191" i="19"/>
  <c r="BW191" i="19"/>
  <c r="G139" i="18"/>
  <c r="AR139" i="18" s="1"/>
  <c r="AL175" i="18"/>
  <c r="G191" i="18"/>
  <c r="AR191" i="18" s="1"/>
  <c r="CC131" i="18"/>
  <c r="CC147" i="18" s="1"/>
  <c r="DA131" i="18"/>
  <c r="DA147" i="18" s="1"/>
  <c r="BT187" i="18"/>
  <c r="CF131" i="18"/>
  <c r="CF147" i="18" s="1"/>
  <c r="DD131" i="18"/>
  <c r="DD147" i="18" s="1"/>
  <c r="DD159" i="18" s="1"/>
  <c r="AL135" i="18"/>
  <c r="BZ143" i="18"/>
  <c r="BZ163" i="18" s="1"/>
  <c r="BZ167" i="18" s="1"/>
  <c r="CX143" i="18"/>
  <c r="CX163" i="18" s="1"/>
  <c r="CX167" i="18" s="1"/>
  <c r="CF183" i="18"/>
  <c r="DD183" i="18"/>
  <c r="BW187" i="18"/>
  <c r="CU187" i="18"/>
  <c r="BW143" i="18"/>
  <c r="CC183" i="18"/>
  <c r="DA183" i="18"/>
  <c r="CR187" i="18"/>
  <c r="T28" i="18"/>
  <c r="G119" i="18"/>
  <c r="AR119" i="18" s="1"/>
  <c r="AL127" i="18"/>
  <c r="BK131" i="18"/>
  <c r="BK147" i="18" s="1"/>
  <c r="CI131" i="18"/>
  <c r="CI147" i="18" s="1"/>
  <c r="CC143" i="18"/>
  <c r="CC163" i="18" s="1"/>
  <c r="CC167" i="18" s="1"/>
  <c r="DA143" i="18"/>
  <c r="DA163" i="18" s="1"/>
  <c r="DA167" i="18" s="1"/>
  <c r="AL179" i="18"/>
  <c r="BK183" i="18"/>
  <c r="CI183" i="18"/>
  <c r="BZ187" i="18"/>
  <c r="CX187" i="18"/>
  <c r="BN131" i="18"/>
  <c r="BN147" i="18" s="1"/>
  <c r="CL131" i="18"/>
  <c r="CL147" i="18" s="1"/>
  <c r="CF143" i="18"/>
  <c r="CF163" i="18" s="1"/>
  <c r="CF167" i="18" s="1"/>
  <c r="DD143" i="18"/>
  <c r="DD163" i="18" s="1"/>
  <c r="DD167" i="18" s="1"/>
  <c r="BN183" i="18"/>
  <c r="CL183" i="18"/>
  <c r="CC187" i="18"/>
  <c r="DA187" i="18"/>
  <c r="BQ131" i="18"/>
  <c r="BQ147" i="18" s="1"/>
  <c r="CO131" i="18"/>
  <c r="CO147" i="18" s="1"/>
  <c r="BK143" i="18"/>
  <c r="CI143" i="18"/>
  <c r="CI163" i="18" s="1"/>
  <c r="CI167" i="18" s="1"/>
  <c r="BQ183" i="18"/>
  <c r="CO183" i="18"/>
  <c r="CF187" i="18"/>
  <c r="DD187" i="18"/>
  <c r="BW163" i="18"/>
  <c r="BW167" i="18" s="1"/>
  <c r="CU143" i="18"/>
  <c r="CU163" i="18" s="1"/>
  <c r="CU167" i="18" s="1"/>
  <c r="BT131" i="18"/>
  <c r="BT147" i="18" s="1"/>
  <c r="CR131" i="18"/>
  <c r="CR147" i="18" s="1"/>
  <c r="BN143" i="18"/>
  <c r="BN163" i="18" s="1"/>
  <c r="BN167" i="18" s="1"/>
  <c r="CL143" i="18"/>
  <c r="CL163" i="18" s="1"/>
  <c r="CL167" i="18" s="1"/>
  <c r="BT183" i="18"/>
  <c r="CR183" i="18"/>
  <c r="BK187" i="18"/>
  <c r="CO143" i="17"/>
  <c r="CO147" i="17" s="1"/>
  <c r="BQ143" i="17"/>
  <c r="BQ147" i="17" s="1"/>
  <c r="CR131" i="17"/>
  <c r="BT131" i="17"/>
  <c r="CI143" i="17"/>
  <c r="CI207" i="17" s="1"/>
  <c r="BK143" i="17"/>
  <c r="BK147" i="17" s="1"/>
  <c r="CL131" i="17"/>
  <c r="BN131" i="17"/>
  <c r="FA115" i="17"/>
  <c r="FI115" i="17"/>
  <c r="FQ115" i="17"/>
  <c r="FY115" i="17"/>
  <c r="GG115" i="17"/>
  <c r="GO115" i="17"/>
  <c r="GW115" i="17"/>
  <c r="HE115" i="17"/>
  <c r="HM115" i="17"/>
  <c r="HU115" i="17"/>
  <c r="IC115" i="17"/>
  <c r="IK115" i="17"/>
  <c r="IS115" i="17"/>
  <c r="JA115" i="17"/>
  <c r="JI115" i="17"/>
  <c r="JQ115" i="17"/>
  <c r="JY115" i="17"/>
  <c r="KG115" i="17"/>
  <c r="KO115" i="17"/>
  <c r="KW115" i="17"/>
  <c r="LE115" i="17"/>
  <c r="LM115" i="17"/>
  <c r="LU115" i="17"/>
  <c r="MC115" i="17"/>
  <c r="BW131" i="17"/>
  <c r="DA131" i="17"/>
  <c r="BN143" i="17"/>
  <c r="BN207" i="17" s="1"/>
  <c r="CU143" i="17"/>
  <c r="CU147" i="17" s="1"/>
  <c r="T28" i="17"/>
  <c r="EJ115" i="17"/>
  <c r="FX115" i="17"/>
  <c r="HD115" i="17"/>
  <c r="IJ115" i="17"/>
  <c r="JP115" i="17"/>
  <c r="KV115" i="17"/>
  <c r="MB115" i="17"/>
  <c r="CI211" i="17"/>
  <c r="BK211" i="17"/>
  <c r="BT207" i="17"/>
  <c r="CL167" i="17"/>
  <c r="CL187" i="17" s="1"/>
  <c r="CL191" i="17" s="1"/>
  <c r="BN167" i="17"/>
  <c r="BN187" i="17" s="1"/>
  <c r="BN191" i="17" s="1"/>
  <c r="DD211" i="17"/>
  <c r="CF211" i="17"/>
  <c r="CI167" i="17"/>
  <c r="CI187" i="17" s="1"/>
  <c r="CI191" i="17" s="1"/>
  <c r="BK167" i="17"/>
  <c r="BK187" i="17" s="1"/>
  <c r="DA211" i="17"/>
  <c r="CC211" i="17"/>
  <c r="DD167" i="17"/>
  <c r="DD187" i="17" s="1"/>
  <c r="DD191" i="17" s="1"/>
  <c r="CF167" i="17"/>
  <c r="CF187" i="17" s="1"/>
  <c r="CF191" i="17" s="1"/>
  <c r="CX211" i="17"/>
  <c r="BZ211" i="17"/>
  <c r="DA167" i="17"/>
  <c r="DA187" i="17" s="1"/>
  <c r="DA191" i="17" s="1"/>
  <c r="CC167" i="17"/>
  <c r="CC187" i="17" s="1"/>
  <c r="CC191" i="17" s="1"/>
  <c r="CU211" i="17"/>
  <c r="BW211" i="17"/>
  <c r="CX167" i="17"/>
  <c r="CX187" i="17" s="1"/>
  <c r="CX191" i="17" s="1"/>
  <c r="BZ167" i="17"/>
  <c r="BZ187" i="17" s="1"/>
  <c r="BZ191" i="17" s="1"/>
  <c r="BW143" i="17"/>
  <c r="BW147" i="17" s="1"/>
  <c r="DA143" i="17"/>
  <c r="BQ167" i="17"/>
  <c r="BQ187" i="17" s="1"/>
  <c r="BQ191" i="17" s="1"/>
  <c r="CL211" i="17"/>
  <c r="CF131" i="17"/>
  <c r="BZ143" i="17"/>
  <c r="DD143" i="17"/>
  <c r="DD207" i="17" s="1"/>
  <c r="BT167" i="17"/>
  <c r="BT187" i="17" s="1"/>
  <c r="BT191" i="17" s="1"/>
  <c r="CO211" i="17"/>
  <c r="AL215" i="17"/>
  <c r="CI131" i="17"/>
  <c r="CC143" i="17"/>
  <c r="CC147" i="17" s="1"/>
  <c r="BW167" i="17"/>
  <c r="BW187" i="17" s="1"/>
  <c r="BW191" i="17" s="1"/>
  <c r="CR211" i="17"/>
  <c r="AX31" i="17"/>
  <c r="BK94" i="17"/>
  <c r="BK88" i="17" s="1" a="1"/>
  <c r="BK88" i="17" s="1"/>
  <c r="EM115" i="17"/>
  <c r="CO131" i="17"/>
  <c r="CF143" i="17"/>
  <c r="CO167" i="17"/>
  <c r="CO187" i="17" s="1"/>
  <c r="CO191" i="17" s="1"/>
  <c r="FH115" i="17"/>
  <c r="GN115" i="17"/>
  <c r="HT115" i="17"/>
  <c r="IZ115" i="17"/>
  <c r="KF115" i="17"/>
  <c r="LL115" i="17"/>
  <c r="CL143" i="17"/>
  <c r="BT147" i="17"/>
  <c r="BT171" i="17" s="1"/>
  <c r="CR167" i="17"/>
  <c r="CR187" i="17" s="1"/>
  <c r="CR191" i="17" s="1"/>
  <c r="BQ131" i="17"/>
  <c r="CX131" i="17"/>
  <c r="BK135" i="17"/>
  <c r="AL139" i="17"/>
  <c r="CR143" i="17"/>
  <c r="CU167" i="17"/>
  <c r="CU187" i="17" s="1"/>
  <c r="CU191" i="17" s="1"/>
  <c r="BK199" i="17"/>
  <c r="AL203" i="17"/>
  <c r="BN211" i="17"/>
  <c r="CR135" i="16"/>
  <c r="CR155" i="16"/>
  <c r="CR163" i="16" s="1"/>
  <c r="DY115" i="16"/>
  <c r="EG115" i="16"/>
  <c r="EO115" i="16"/>
  <c r="EW115" i="16"/>
  <c r="FE115" i="16"/>
  <c r="FM115" i="16"/>
  <c r="FU115" i="16"/>
  <c r="GC115" i="16"/>
  <c r="GK115" i="16"/>
  <c r="GS115" i="16"/>
  <c r="HA115" i="16"/>
  <c r="HI115" i="16"/>
  <c r="HQ115" i="16"/>
  <c r="HY115" i="16"/>
  <c r="IG115" i="16"/>
  <c r="IO115" i="16"/>
  <c r="IW115" i="16"/>
  <c r="JE115" i="16"/>
  <c r="JM115" i="16"/>
  <c r="JU115" i="16"/>
  <c r="KC115" i="16"/>
  <c r="KK115" i="16"/>
  <c r="KS115" i="16"/>
  <c r="LA115" i="16"/>
  <c r="LI115" i="16"/>
  <c r="LQ115" i="16"/>
  <c r="LY115" i="16"/>
  <c r="AL131" i="16"/>
  <c r="BZ171" i="16"/>
  <c r="BZ175" i="16" s="1"/>
  <c r="BZ151" i="16"/>
  <c r="BW171" i="16"/>
  <c r="BW175" i="16" s="1"/>
  <c r="BK151" i="16"/>
  <c r="BK171" i="16"/>
  <c r="BK179" i="16"/>
  <c r="AL143" i="16"/>
  <c r="CU151" i="16"/>
  <c r="BN155" i="16"/>
  <c r="BN163" i="16" s="1"/>
  <c r="CX171" i="16"/>
  <c r="CX175" i="16" s="1"/>
  <c r="BN151" i="16"/>
  <c r="BN171" i="16"/>
  <c r="BN175" i="16" s="1"/>
  <c r="CL151" i="16"/>
  <c r="CL171" i="16"/>
  <c r="CL175" i="16" s="1"/>
  <c r="CF151" i="16"/>
  <c r="CF171" i="16"/>
  <c r="CF175" i="16" s="1"/>
  <c r="BQ135" i="16"/>
  <c r="BQ155" i="16"/>
  <c r="BQ163" i="16" s="1"/>
  <c r="CO155" i="16"/>
  <c r="CO163" i="16" s="1"/>
  <c r="CO135" i="16"/>
  <c r="CI171" i="16"/>
  <c r="CI175" i="16" s="1"/>
  <c r="CL155" i="16"/>
  <c r="CL163" i="16" s="1"/>
  <c r="DA171" i="16"/>
  <c r="DA175" i="16" s="1"/>
  <c r="DA151" i="16"/>
  <c r="AJ66" i="16"/>
  <c r="AX31" i="16"/>
  <c r="BT135" i="16"/>
  <c r="BT155" i="16"/>
  <c r="BT163" i="16" s="1"/>
  <c r="EF115" i="16"/>
  <c r="EN115" i="16"/>
  <c r="EV115" i="16"/>
  <c r="FD115" i="16"/>
  <c r="FL115" i="16"/>
  <c r="FT115" i="16"/>
  <c r="GB115" i="16"/>
  <c r="GJ115" i="16"/>
  <c r="GR115" i="16"/>
  <c r="GZ115" i="16"/>
  <c r="HH115" i="16"/>
  <c r="HP115" i="16"/>
  <c r="HX115" i="16"/>
  <c r="IF115" i="16"/>
  <c r="IN115" i="16"/>
  <c r="IV115" i="16"/>
  <c r="JD115" i="16"/>
  <c r="JL115" i="16"/>
  <c r="JT115" i="16"/>
  <c r="KB115" i="16"/>
  <c r="KJ115" i="16"/>
  <c r="KR115" i="16"/>
  <c r="KZ115" i="16"/>
  <c r="LH115" i="16"/>
  <c r="LP115" i="16"/>
  <c r="LX115" i="16"/>
  <c r="T28" i="16"/>
  <c r="BK159" i="16"/>
  <c r="BW155" i="16"/>
  <c r="BW163" i="16" s="1"/>
  <c r="CU155" i="16"/>
  <c r="CU163" i="16" s="1"/>
  <c r="AL147" i="16"/>
  <c r="BZ155" i="16"/>
  <c r="BZ163" i="16" s="1"/>
  <c r="CX155" i="16"/>
  <c r="CX163" i="16" s="1"/>
  <c r="F131" i="15"/>
  <c r="AL151" i="15"/>
  <c r="AL115" i="15"/>
  <c r="CI179" i="23" l="1"/>
  <c r="BN191" i="21"/>
  <c r="T137" i="19"/>
  <c r="T135" i="19"/>
  <c r="BW207" i="17"/>
  <c r="CX147" i="17"/>
  <c r="CX171" i="17" s="1"/>
  <c r="T137" i="17"/>
  <c r="T141" i="16"/>
  <c r="T139" i="16"/>
  <c r="CU207" i="17"/>
  <c r="CL167" i="21"/>
  <c r="AL199" i="23"/>
  <c r="G199" i="23" s="1"/>
  <c r="AR183" i="16"/>
  <c r="T183" i="16"/>
  <c r="T185" i="16"/>
  <c r="S133" i="15"/>
  <c r="S131" i="15"/>
  <c r="AS131" i="15"/>
  <c r="BK119" i="15"/>
  <c r="S129" i="15"/>
  <c r="S127" i="15"/>
  <c r="AS127" i="15"/>
  <c r="DD171" i="16"/>
  <c r="DD175" i="16" s="1"/>
  <c r="T155" i="17"/>
  <c r="T157" i="17"/>
  <c r="T165" i="17"/>
  <c r="T163" i="17"/>
  <c r="T161" i="17"/>
  <c r="T159" i="17"/>
  <c r="T193" i="18"/>
  <c r="T191" i="18"/>
  <c r="T171" i="18"/>
  <c r="T173" i="18"/>
  <c r="T141" i="18"/>
  <c r="T139" i="18"/>
  <c r="T157" i="19"/>
  <c r="T155" i="19"/>
  <c r="T161" i="19"/>
  <c r="T159" i="19"/>
  <c r="T149" i="19"/>
  <c r="T147" i="19"/>
  <c r="T153" i="19"/>
  <c r="T151" i="19"/>
  <c r="AL179" i="19"/>
  <c r="CC187" i="19"/>
  <c r="T133" i="20"/>
  <c r="T131" i="20"/>
  <c r="T161" i="21"/>
  <c r="T159" i="21"/>
  <c r="T157" i="21"/>
  <c r="T155" i="21"/>
  <c r="CC179" i="23"/>
  <c r="BT155" i="22"/>
  <c r="T137" i="22"/>
  <c r="T135" i="22"/>
  <c r="CU179" i="23"/>
  <c r="CX179" i="23"/>
  <c r="T157" i="23"/>
  <c r="T155" i="23"/>
  <c r="T163" i="23"/>
  <c r="T165" i="23"/>
  <c r="T141" i="17"/>
  <c r="T139" i="17"/>
  <c r="T141" i="21"/>
  <c r="T139" i="21"/>
  <c r="T141" i="19"/>
  <c r="T139" i="19"/>
  <c r="T121" i="18"/>
  <c r="T119" i="18"/>
  <c r="DD187" i="19"/>
  <c r="T145" i="21"/>
  <c r="T143" i="21"/>
  <c r="CF191" i="21"/>
  <c r="T195" i="17"/>
  <c r="T197" i="17"/>
  <c r="T177" i="17"/>
  <c r="T175" i="17"/>
  <c r="T133" i="23"/>
  <c r="T131" i="23"/>
  <c r="T153" i="18"/>
  <c r="T151" i="18"/>
  <c r="T141" i="20"/>
  <c r="T139" i="20"/>
  <c r="T169" i="19"/>
  <c r="T167" i="19"/>
  <c r="BN147" i="17"/>
  <c r="BN171" i="17" s="1"/>
  <c r="DA187" i="19"/>
  <c r="DA179" i="23"/>
  <c r="T123" i="24"/>
  <c r="T125" i="24"/>
  <c r="BK159" i="15"/>
  <c r="BK143" i="15"/>
  <c r="BK147" i="15"/>
  <c r="BZ179" i="23"/>
  <c r="CF179" i="23"/>
  <c r="BZ155" i="22"/>
  <c r="CR155" i="22"/>
  <c r="DA143" i="20"/>
  <c r="BT175" i="19"/>
  <c r="BK85" i="19"/>
  <c r="BK163" i="19"/>
  <c r="BK171" i="19" s="1"/>
  <c r="BK93" i="19"/>
  <c r="BK83" i="19"/>
  <c r="AL183" i="19"/>
  <c r="G183" i="19" s="1"/>
  <c r="BK123" i="19"/>
  <c r="AL123" i="19" s="1"/>
  <c r="G123" i="19" s="1"/>
  <c r="AR123" i="19" s="1"/>
  <c r="CC151" i="16"/>
  <c r="AL135" i="16"/>
  <c r="BK127" i="16"/>
  <c r="AL127" i="16" s="1"/>
  <c r="BK127" i="19"/>
  <c r="BK187" i="19" s="1"/>
  <c r="CC207" i="17"/>
  <c r="CO175" i="19"/>
  <c r="CR187" i="19"/>
  <c r="BQ187" i="19"/>
  <c r="BQ175" i="19"/>
  <c r="CI171" i="19"/>
  <c r="CO187" i="19"/>
  <c r="BT187" i="19"/>
  <c r="CR175" i="19"/>
  <c r="BQ207" i="17"/>
  <c r="CO207" i="17"/>
  <c r="BZ171" i="19"/>
  <c r="BT179" i="23"/>
  <c r="BZ187" i="19"/>
  <c r="CF175" i="19"/>
  <c r="DD179" i="23"/>
  <c r="CF187" i="19"/>
  <c r="AL131" i="17"/>
  <c r="CR179" i="23"/>
  <c r="CO179" i="23"/>
  <c r="BQ179" i="23"/>
  <c r="CC151" i="22"/>
  <c r="BW155" i="22"/>
  <c r="CC191" i="21"/>
  <c r="CU167" i="21"/>
  <c r="CU179" i="21" s="1"/>
  <c r="BQ191" i="21"/>
  <c r="CO191" i="21"/>
  <c r="CL171" i="19"/>
  <c r="CL175" i="19"/>
  <c r="BN175" i="19"/>
  <c r="BN171" i="19"/>
  <c r="CI187" i="19"/>
  <c r="DD171" i="19"/>
  <c r="BN187" i="19"/>
  <c r="AL131" i="19"/>
  <c r="CU187" i="19"/>
  <c r="AL143" i="19"/>
  <c r="CU171" i="19"/>
  <c r="CL187" i="19"/>
  <c r="BW187" i="19"/>
  <c r="BW159" i="18"/>
  <c r="BW155" i="18"/>
  <c r="CX159" i="18"/>
  <c r="CX155" i="18"/>
  <c r="CU159" i="18"/>
  <c r="CU155" i="18"/>
  <c r="BZ155" i="18"/>
  <c r="BK85" i="16"/>
  <c r="BK93" i="16"/>
  <c r="BK123" i="16"/>
  <c r="AL123" i="16" s="1"/>
  <c r="G123" i="16" s="1"/>
  <c r="BK121" i="16"/>
  <c r="AL119" i="16" s="1"/>
  <c r="G119" i="16" s="1"/>
  <c r="BK147" i="24"/>
  <c r="AL143" i="24"/>
  <c r="AL139" i="24"/>
  <c r="AL119" i="24"/>
  <c r="BK127" i="24"/>
  <c r="AL139" i="23"/>
  <c r="M62" i="23"/>
  <c r="M66" i="23" s="1"/>
  <c r="AL167" i="23"/>
  <c r="G167" i="23" s="1"/>
  <c r="AR167" i="23" s="1"/>
  <c r="BK175" i="23"/>
  <c r="AL195" i="23"/>
  <c r="G147" i="23"/>
  <c r="G143" i="23"/>
  <c r="AR143" i="23" s="1"/>
  <c r="AL183" i="23"/>
  <c r="CL179" i="23"/>
  <c r="BK179" i="23"/>
  <c r="AL159" i="23"/>
  <c r="G159" i="23" s="1"/>
  <c r="AR159" i="23" s="1"/>
  <c r="AL187" i="23"/>
  <c r="BN179" i="23"/>
  <c r="G151" i="23"/>
  <c r="CU175" i="23"/>
  <c r="BW179" i="23"/>
  <c r="BK127" i="23"/>
  <c r="BK93" i="23"/>
  <c r="BK85" i="23"/>
  <c r="BK123" i="23"/>
  <c r="BK83" i="23"/>
  <c r="BK121" i="23"/>
  <c r="AL139" i="22"/>
  <c r="BK159" i="22"/>
  <c r="BK155" i="22"/>
  <c r="BK151" i="22"/>
  <c r="AL147" i="22"/>
  <c r="BN151" i="22"/>
  <c r="CL151" i="22"/>
  <c r="DD155" i="22"/>
  <c r="CX155" i="22"/>
  <c r="AL171" i="22"/>
  <c r="CU151" i="22"/>
  <c r="CF151" i="22"/>
  <c r="CI151" i="22"/>
  <c r="DA151" i="22"/>
  <c r="AL143" i="22"/>
  <c r="CF179" i="21"/>
  <c r="CF175" i="21"/>
  <c r="BK179" i="21"/>
  <c r="BK175" i="21"/>
  <c r="BK93" i="21"/>
  <c r="BK85" i="21"/>
  <c r="BK123" i="21"/>
  <c r="BK83" i="21"/>
  <c r="BK121" i="21"/>
  <c r="BK127" i="21"/>
  <c r="BQ175" i="21"/>
  <c r="BT167" i="21"/>
  <c r="BW179" i="21"/>
  <c r="BW175" i="21"/>
  <c r="CO175" i="21"/>
  <c r="CR167" i="21"/>
  <c r="CC179" i="21"/>
  <c r="CC175" i="21"/>
  <c r="DA167" i="21"/>
  <c r="AL163" i="21"/>
  <c r="G163" i="21" s="1"/>
  <c r="BK183" i="21"/>
  <c r="BN175" i="21"/>
  <c r="BN179" i="21"/>
  <c r="BZ167" i="21"/>
  <c r="CX179" i="21"/>
  <c r="CX175" i="21"/>
  <c r="DD167" i="21"/>
  <c r="CI179" i="21"/>
  <c r="CI175" i="21"/>
  <c r="CL175" i="21"/>
  <c r="CL179" i="21"/>
  <c r="M62" i="21"/>
  <c r="M66" i="21" s="1"/>
  <c r="AL147" i="21"/>
  <c r="AL131" i="21"/>
  <c r="CX191" i="21"/>
  <c r="G151" i="21"/>
  <c r="AL135" i="21"/>
  <c r="AL195" i="21"/>
  <c r="AL163" i="20"/>
  <c r="AL159" i="20"/>
  <c r="AL155" i="20"/>
  <c r="CC143" i="20"/>
  <c r="CX143" i="20"/>
  <c r="CU143" i="20"/>
  <c r="CU147" i="20"/>
  <c r="BZ143" i="20"/>
  <c r="BW147" i="20"/>
  <c r="BW143" i="20"/>
  <c r="DD143" i="20"/>
  <c r="AL135" i="20"/>
  <c r="AL151" i="20"/>
  <c r="G179" i="19"/>
  <c r="AL119" i="19"/>
  <c r="G119" i="19" s="1"/>
  <c r="AR119" i="19" s="1"/>
  <c r="AL191" i="19"/>
  <c r="CO155" i="18"/>
  <c r="CO159" i="18"/>
  <c r="BQ159" i="18"/>
  <c r="BQ155" i="18"/>
  <c r="CC159" i="18"/>
  <c r="CC155" i="18"/>
  <c r="BK155" i="18"/>
  <c r="AL147" i="18"/>
  <c r="G147" i="18" s="1"/>
  <c r="BK159" i="18"/>
  <c r="DA159" i="18"/>
  <c r="DA155" i="18"/>
  <c r="BN155" i="18"/>
  <c r="BN159" i="18"/>
  <c r="CF159" i="18"/>
  <c r="CF155" i="18"/>
  <c r="CI155" i="18"/>
  <c r="CI159" i="18"/>
  <c r="CR155" i="18"/>
  <c r="CR159" i="18"/>
  <c r="AL143" i="18"/>
  <c r="G143" i="18" s="1"/>
  <c r="G135" i="18"/>
  <c r="AR135" i="18" s="1"/>
  <c r="AF135" i="18"/>
  <c r="BK163" i="18"/>
  <c r="DD155" i="18"/>
  <c r="G179" i="18"/>
  <c r="AR179" i="18" s="1"/>
  <c r="AL131" i="18"/>
  <c r="G131" i="18" s="1"/>
  <c r="BT159" i="18"/>
  <c r="BT155" i="18"/>
  <c r="G175" i="18"/>
  <c r="AR175" i="18" s="1"/>
  <c r="AL187" i="18"/>
  <c r="AL183" i="18"/>
  <c r="CL155" i="18"/>
  <c r="CL159" i="18"/>
  <c r="BT183" i="17"/>
  <c r="BT179" i="17"/>
  <c r="CL147" i="17"/>
  <c r="CL171" i="17" s="1"/>
  <c r="CL207" i="17"/>
  <c r="CR147" i="17"/>
  <c r="CR171" i="17" s="1"/>
  <c r="G215" i="17"/>
  <c r="AR215" i="17" s="1"/>
  <c r="BW171" i="17"/>
  <c r="AL143" i="17"/>
  <c r="M62" i="17"/>
  <c r="G203" i="17"/>
  <c r="AR203" i="17" s="1"/>
  <c r="AL199" i="17"/>
  <c r="AL135" i="17"/>
  <c r="BZ207" i="17"/>
  <c r="BZ147" i="17"/>
  <c r="BZ171" i="17" s="1"/>
  <c r="CF147" i="17"/>
  <c r="CF171" i="17" s="1"/>
  <c r="AL167" i="17"/>
  <c r="G167" i="17" s="1"/>
  <c r="CI147" i="17"/>
  <c r="CI171" i="17" s="1"/>
  <c r="CC171" i="17"/>
  <c r="DD147" i="17"/>
  <c r="DD171" i="17" s="1"/>
  <c r="CR207" i="17"/>
  <c r="CU171" i="17"/>
  <c r="BK121" i="17"/>
  <c r="BK127" i="17"/>
  <c r="BK100" i="17"/>
  <c r="BK92" i="17"/>
  <c r="BK123" i="17"/>
  <c r="BK90" i="17"/>
  <c r="AL187" i="17"/>
  <c r="BK191" i="17"/>
  <c r="AL211" i="17"/>
  <c r="DA207" i="17"/>
  <c r="CX183" i="17"/>
  <c r="CX179" i="17"/>
  <c r="DA147" i="17"/>
  <c r="DA171" i="17" s="1"/>
  <c r="BQ171" i="17"/>
  <c r="CF207" i="17"/>
  <c r="CO171" i="17"/>
  <c r="BK175" i="16"/>
  <c r="CO171" i="16"/>
  <c r="CO175" i="16" s="1"/>
  <c r="CO151" i="16"/>
  <c r="AL155" i="16"/>
  <c r="AL159" i="16"/>
  <c r="BK167" i="16"/>
  <c r="BK163" i="16"/>
  <c r="G147" i="16"/>
  <c r="AR147" i="16" s="1"/>
  <c r="BT171" i="16"/>
  <c r="BT175" i="16" s="1"/>
  <c r="BT151" i="16"/>
  <c r="BQ171" i="16"/>
  <c r="BQ175" i="16" s="1"/>
  <c r="BQ151" i="16"/>
  <c r="G143" i="16"/>
  <c r="AR143" i="16" s="1"/>
  <c r="AL179" i="16"/>
  <c r="CR171" i="16"/>
  <c r="CR175" i="16" s="1"/>
  <c r="CR151" i="16"/>
  <c r="AL171" i="15"/>
  <c r="AL139" i="15"/>
  <c r="F151" i="15"/>
  <c r="AL155" i="15"/>
  <c r="T199" i="23" l="1"/>
  <c r="AR199" i="23"/>
  <c r="S153" i="15"/>
  <c r="S151" i="15"/>
  <c r="AS151" i="15"/>
  <c r="T149" i="16"/>
  <c r="T147" i="16"/>
  <c r="T217" i="17"/>
  <c r="T215" i="17"/>
  <c r="T135" i="18"/>
  <c r="T137" i="18"/>
  <c r="T177" i="18"/>
  <c r="T175" i="18"/>
  <c r="T181" i="18"/>
  <c r="T179" i="18"/>
  <c r="BK175" i="19"/>
  <c r="AL175" i="19" s="1"/>
  <c r="T185" i="19"/>
  <c r="T183" i="19"/>
  <c r="T181" i="19"/>
  <c r="T179" i="19"/>
  <c r="T153" i="21"/>
  <c r="T151" i="21"/>
  <c r="T125" i="22"/>
  <c r="T123" i="22"/>
  <c r="T153" i="23"/>
  <c r="T151" i="23"/>
  <c r="T149" i="23"/>
  <c r="T147" i="23"/>
  <c r="T205" i="23"/>
  <c r="T203" i="23"/>
  <c r="T173" i="21"/>
  <c r="T171" i="21"/>
  <c r="T145" i="16"/>
  <c r="T143" i="16"/>
  <c r="T129" i="22"/>
  <c r="T127" i="22"/>
  <c r="T173" i="23"/>
  <c r="T171" i="23"/>
  <c r="AL163" i="19"/>
  <c r="G163" i="19" s="1"/>
  <c r="AR163" i="19" s="1"/>
  <c r="T145" i="23"/>
  <c r="T143" i="23"/>
  <c r="T205" i="17"/>
  <c r="T203" i="17"/>
  <c r="T137" i="24"/>
  <c r="T135" i="24"/>
  <c r="BK167" i="15"/>
  <c r="CU175" i="21"/>
  <c r="AL143" i="20"/>
  <c r="AL127" i="19"/>
  <c r="G127" i="19" s="1"/>
  <c r="AR127" i="19" s="1"/>
  <c r="AL187" i="19"/>
  <c r="G187" i="19" s="1"/>
  <c r="AR187" i="19" s="1"/>
  <c r="AL151" i="16"/>
  <c r="AR151" i="16" s="1"/>
  <c r="AL127" i="24"/>
  <c r="BK151" i="24"/>
  <c r="G143" i="24"/>
  <c r="AL147" i="24"/>
  <c r="AL119" i="23"/>
  <c r="G119" i="23" s="1"/>
  <c r="AR119" i="23" s="1"/>
  <c r="G187" i="23"/>
  <c r="G195" i="23"/>
  <c r="AR195" i="23" s="1"/>
  <c r="AL123" i="23"/>
  <c r="G123" i="23" s="1"/>
  <c r="AR123" i="23" s="1"/>
  <c r="AL175" i="23"/>
  <c r="G175" i="23" s="1"/>
  <c r="AR175" i="23" s="1"/>
  <c r="AL127" i="23"/>
  <c r="BK191" i="23"/>
  <c r="AL179" i="23"/>
  <c r="G183" i="23"/>
  <c r="AR143" i="22"/>
  <c r="AR139" i="22"/>
  <c r="AL151" i="22"/>
  <c r="BK163" i="22"/>
  <c r="AL159" i="22"/>
  <c r="AL155" i="22"/>
  <c r="G171" i="22"/>
  <c r="AR171" i="22" s="1"/>
  <c r="BT175" i="21"/>
  <c r="BT179" i="21"/>
  <c r="CR175" i="21"/>
  <c r="CR179" i="21"/>
  <c r="DA179" i="21"/>
  <c r="DA175" i="21"/>
  <c r="G195" i="21"/>
  <c r="AR195" i="21" s="1"/>
  <c r="DD179" i="21"/>
  <c r="DD175" i="21"/>
  <c r="BK187" i="21"/>
  <c r="AL183" i="21"/>
  <c r="AL167" i="21"/>
  <c r="G167" i="21" s="1"/>
  <c r="AR163" i="21"/>
  <c r="G131" i="21"/>
  <c r="AR131" i="21" s="1"/>
  <c r="AL127" i="21"/>
  <c r="BK191" i="21"/>
  <c r="AL119" i="21"/>
  <c r="G119" i="21" s="1"/>
  <c r="AR119" i="21" s="1"/>
  <c r="G135" i="21"/>
  <c r="AR135" i="21" s="1"/>
  <c r="BZ179" i="21"/>
  <c r="BZ175" i="21"/>
  <c r="AL123" i="21"/>
  <c r="G123" i="21" s="1"/>
  <c r="AR123" i="21" s="1"/>
  <c r="G159" i="20"/>
  <c r="AR159" i="20" s="1"/>
  <c r="G163" i="20"/>
  <c r="AR163" i="20" s="1"/>
  <c r="G151" i="20"/>
  <c r="AL147" i="20"/>
  <c r="G155" i="20"/>
  <c r="G191" i="19"/>
  <c r="AR191" i="19" s="1"/>
  <c r="AL171" i="19"/>
  <c r="G171" i="19" s="1"/>
  <c r="AR171" i="19" s="1"/>
  <c r="AF123" i="19"/>
  <c r="AF119" i="19"/>
  <c r="AL163" i="18"/>
  <c r="BK167" i="18"/>
  <c r="AR143" i="18"/>
  <c r="AL155" i="18"/>
  <c r="G155" i="18" s="1"/>
  <c r="AR131" i="18"/>
  <c r="G183" i="18"/>
  <c r="AR183" i="18" s="1"/>
  <c r="AL159" i="18"/>
  <c r="G187" i="18"/>
  <c r="AR187" i="18" s="1"/>
  <c r="AR147" i="18"/>
  <c r="CF179" i="17"/>
  <c r="CF183" i="17"/>
  <c r="CR183" i="17"/>
  <c r="CR179" i="17"/>
  <c r="CL183" i="17"/>
  <c r="CL179" i="17"/>
  <c r="DA179" i="17"/>
  <c r="DA183" i="17"/>
  <c r="AR167" i="17"/>
  <c r="CI179" i="17"/>
  <c r="CI183" i="17"/>
  <c r="BK151" i="17"/>
  <c r="M66" i="17"/>
  <c r="CO183" i="17"/>
  <c r="CO179" i="17"/>
  <c r="BN183" i="17"/>
  <c r="BN179" i="17"/>
  <c r="AL123" i="17"/>
  <c r="G123" i="17" s="1"/>
  <c r="AR123" i="17" s="1"/>
  <c r="CC179" i="17"/>
  <c r="CC183" i="17"/>
  <c r="G211" i="17"/>
  <c r="AR211" i="17" s="1"/>
  <c r="DD179" i="17"/>
  <c r="DD183" i="17"/>
  <c r="BQ183" i="17"/>
  <c r="BQ179" i="17"/>
  <c r="AL119" i="17"/>
  <c r="G119" i="17" s="1"/>
  <c r="AR119" i="17" s="1"/>
  <c r="G187" i="17"/>
  <c r="AR187" i="17" s="1"/>
  <c r="G199" i="17"/>
  <c r="AR199" i="17" s="1"/>
  <c r="AL127" i="17"/>
  <c r="BK207" i="17"/>
  <c r="BW183" i="17"/>
  <c r="BW179" i="17"/>
  <c r="BZ183" i="17"/>
  <c r="BZ179" i="17"/>
  <c r="AL147" i="17"/>
  <c r="G147" i="17" s="1"/>
  <c r="AL191" i="17"/>
  <c r="CU183" i="17"/>
  <c r="CU179" i="17"/>
  <c r="AF123" i="16"/>
  <c r="AR123" i="16"/>
  <c r="AL171" i="16"/>
  <c r="G127" i="16"/>
  <c r="AR127" i="16" s="1"/>
  <c r="AR159" i="16"/>
  <c r="AL163" i="16"/>
  <c r="G179" i="16"/>
  <c r="AR179" i="16" s="1"/>
  <c r="AF119" i="16"/>
  <c r="AL167" i="16"/>
  <c r="AR155" i="16"/>
  <c r="AL175" i="16"/>
  <c r="AL147" i="15"/>
  <c r="AL159" i="15"/>
  <c r="F139" i="15"/>
  <c r="AL163" i="15"/>
  <c r="F155" i="15"/>
  <c r="AL143" i="15"/>
  <c r="AL119" i="15"/>
  <c r="AR119" i="16" l="1"/>
  <c r="T119" i="16"/>
  <c r="S141" i="15"/>
  <c r="S139" i="15"/>
  <c r="AS139" i="15"/>
  <c r="S157" i="15"/>
  <c r="S155" i="15"/>
  <c r="AS155" i="15"/>
  <c r="T153" i="16"/>
  <c r="T151" i="16"/>
  <c r="T157" i="16"/>
  <c r="T155" i="16"/>
  <c r="T181" i="16"/>
  <c r="T179" i="16"/>
  <c r="T149" i="18"/>
  <c r="T147" i="18"/>
  <c r="T189" i="18"/>
  <c r="T187" i="18"/>
  <c r="T183" i="18"/>
  <c r="T185" i="18"/>
  <c r="T133" i="18"/>
  <c r="T131" i="18"/>
  <c r="T145" i="18"/>
  <c r="T143" i="18"/>
  <c r="T165" i="20"/>
  <c r="T163" i="20"/>
  <c r="T161" i="20"/>
  <c r="T159" i="20"/>
  <c r="T137" i="20"/>
  <c r="T135" i="20"/>
  <c r="T145" i="20"/>
  <c r="T143" i="20"/>
  <c r="T157" i="20"/>
  <c r="T155" i="20"/>
  <c r="T153" i="20"/>
  <c r="T151" i="20"/>
  <c r="T141" i="22"/>
  <c r="T139" i="22"/>
  <c r="T145" i="22"/>
  <c r="T143" i="22"/>
  <c r="T173" i="22"/>
  <c r="T171" i="22"/>
  <c r="T185" i="23"/>
  <c r="T183" i="23"/>
  <c r="T189" i="23"/>
  <c r="T187" i="23"/>
  <c r="T129" i="19"/>
  <c r="T127" i="19"/>
  <c r="T167" i="17"/>
  <c r="T169" i="17"/>
  <c r="T189" i="19"/>
  <c r="T187" i="19"/>
  <c r="T125" i="16"/>
  <c r="T123" i="16"/>
  <c r="T197" i="21"/>
  <c r="T195" i="21"/>
  <c r="T169" i="23"/>
  <c r="T167" i="23"/>
  <c r="T165" i="19"/>
  <c r="T163" i="19"/>
  <c r="T193" i="19"/>
  <c r="T191" i="19"/>
  <c r="T165" i="21"/>
  <c r="T163" i="21"/>
  <c r="T211" i="17"/>
  <c r="T213" i="17"/>
  <c r="T129" i="16"/>
  <c r="T127" i="16"/>
  <c r="T197" i="23"/>
  <c r="T195" i="23"/>
  <c r="T121" i="16"/>
  <c r="T121" i="19"/>
  <c r="T119" i="19"/>
  <c r="T201" i="17"/>
  <c r="T199" i="17"/>
  <c r="T149" i="22"/>
  <c r="T147" i="22"/>
  <c r="T133" i="21"/>
  <c r="T131" i="21"/>
  <c r="T161" i="23"/>
  <c r="T159" i="23"/>
  <c r="T161" i="16"/>
  <c r="T159" i="16"/>
  <c r="T189" i="17"/>
  <c r="T187" i="17"/>
  <c r="T125" i="19"/>
  <c r="T123" i="19"/>
  <c r="T137" i="21"/>
  <c r="T135" i="21"/>
  <c r="T141" i="24"/>
  <c r="T139" i="24"/>
  <c r="T145" i="24"/>
  <c r="T143" i="24"/>
  <c r="AL175" i="21"/>
  <c r="AL179" i="21"/>
  <c r="G179" i="21" s="1"/>
  <c r="AR179" i="21" s="1"/>
  <c r="AL151" i="24"/>
  <c r="G147" i="24"/>
  <c r="AL191" i="23"/>
  <c r="AF123" i="23"/>
  <c r="AF119" i="23"/>
  <c r="G127" i="23"/>
  <c r="AR127" i="23" s="1"/>
  <c r="G179" i="23"/>
  <c r="AR179" i="23" s="1"/>
  <c r="G155" i="22"/>
  <c r="AR155" i="22" s="1"/>
  <c r="AR151" i="22"/>
  <c r="DD167" i="22"/>
  <c r="CF167" i="22"/>
  <c r="DA167" i="22"/>
  <c r="CC167" i="22"/>
  <c r="CX167" i="22"/>
  <c r="BZ167" i="22"/>
  <c r="CU167" i="22"/>
  <c r="BW167" i="22"/>
  <c r="CR167" i="22"/>
  <c r="BT167" i="22"/>
  <c r="CO167" i="22"/>
  <c r="BQ167" i="22"/>
  <c r="CL167" i="22"/>
  <c r="BN167" i="22"/>
  <c r="CI167" i="22"/>
  <c r="BK167" i="22"/>
  <c r="AL163" i="22"/>
  <c r="G159" i="22"/>
  <c r="AR159" i="22" s="1"/>
  <c r="G183" i="21"/>
  <c r="AR183" i="21" s="1"/>
  <c r="AL191" i="21"/>
  <c r="G127" i="21"/>
  <c r="AR127" i="21" s="1"/>
  <c r="AF123" i="21"/>
  <c r="AF119" i="21"/>
  <c r="AR167" i="21"/>
  <c r="AL187" i="21"/>
  <c r="G147" i="20"/>
  <c r="G175" i="19"/>
  <c r="AR175" i="19" s="1"/>
  <c r="AL167" i="18"/>
  <c r="AR155" i="18"/>
  <c r="G159" i="18"/>
  <c r="AR159" i="18" s="1"/>
  <c r="G163" i="18"/>
  <c r="AR163" i="18" s="1"/>
  <c r="AF123" i="17"/>
  <c r="AL151" i="17"/>
  <c r="BK171" i="17"/>
  <c r="AR147" i="17"/>
  <c r="AL207" i="17"/>
  <c r="G127" i="17"/>
  <c r="AR127" i="17" s="1"/>
  <c r="AD119" i="17"/>
  <c r="G191" i="17"/>
  <c r="AR191" i="17" s="1"/>
  <c r="G171" i="16"/>
  <c r="AR171" i="16" s="1"/>
  <c r="G175" i="16"/>
  <c r="AR175" i="16" s="1"/>
  <c r="G167" i="16"/>
  <c r="AR167" i="16" s="1"/>
  <c r="AR163" i="16"/>
  <c r="AL167" i="15"/>
  <c r="F159" i="15"/>
  <c r="F163" i="15"/>
  <c r="AF119" i="15"/>
  <c r="F119" i="15"/>
  <c r="F143" i="15"/>
  <c r="F147" i="15"/>
  <c r="G175" i="21" l="1"/>
  <c r="AR175" i="21" s="1"/>
  <c r="S149" i="15"/>
  <c r="S147" i="15"/>
  <c r="AS147" i="15"/>
  <c r="S145" i="15"/>
  <c r="S143" i="15"/>
  <c r="AS143" i="15"/>
  <c r="S121" i="15"/>
  <c r="S119" i="15"/>
  <c r="AS119" i="15"/>
  <c r="S161" i="15"/>
  <c r="S159" i="15"/>
  <c r="AS159" i="15"/>
  <c r="S165" i="15"/>
  <c r="S163" i="15"/>
  <c r="AS163" i="15"/>
  <c r="T165" i="16"/>
  <c r="T163" i="16"/>
  <c r="T173" i="16"/>
  <c r="T171" i="16"/>
  <c r="T169" i="16"/>
  <c r="T167" i="16"/>
  <c r="T177" i="16"/>
  <c r="T175" i="16"/>
  <c r="T161" i="18"/>
  <c r="T159" i="18"/>
  <c r="T155" i="18"/>
  <c r="T157" i="18"/>
  <c r="T165" i="18"/>
  <c r="T163" i="18"/>
  <c r="T149" i="20"/>
  <c r="T147" i="20"/>
  <c r="T153" i="22"/>
  <c r="T151" i="22"/>
  <c r="T157" i="22"/>
  <c r="T155" i="22"/>
  <c r="T159" i="22"/>
  <c r="T161" i="22"/>
  <c r="T125" i="23"/>
  <c r="T123" i="23"/>
  <c r="T147" i="17"/>
  <c r="T149" i="17"/>
  <c r="T121" i="21"/>
  <c r="T119" i="21"/>
  <c r="T177" i="23"/>
  <c r="T175" i="23"/>
  <c r="T129" i="17"/>
  <c r="T127" i="17"/>
  <c r="T177" i="19"/>
  <c r="T175" i="19"/>
  <c r="T125" i="21"/>
  <c r="T123" i="21"/>
  <c r="T181" i="23"/>
  <c r="T179" i="23"/>
  <c r="T193" i="17"/>
  <c r="T191" i="17"/>
  <c r="T125" i="17"/>
  <c r="T123" i="17"/>
  <c r="T129" i="21"/>
  <c r="T127" i="21"/>
  <c r="T129" i="23"/>
  <c r="T127" i="23"/>
  <c r="T119" i="17"/>
  <c r="T121" i="17"/>
  <c r="T181" i="21"/>
  <c r="T179" i="21"/>
  <c r="T169" i="21"/>
  <c r="T167" i="21"/>
  <c r="T173" i="19"/>
  <c r="T171" i="19"/>
  <c r="T177" i="21"/>
  <c r="T175" i="21"/>
  <c r="T185" i="21"/>
  <c r="T183" i="21"/>
  <c r="T121" i="23"/>
  <c r="T119" i="23"/>
  <c r="T149" i="24"/>
  <c r="T147" i="24"/>
  <c r="G151" i="24"/>
  <c r="G191" i="23"/>
  <c r="AR191" i="23" s="1"/>
  <c r="AL167" i="22"/>
  <c r="G163" i="22"/>
  <c r="AR163" i="22" s="1"/>
  <c r="G187" i="21"/>
  <c r="AR187" i="21" s="1"/>
  <c r="G191" i="21"/>
  <c r="AR191" i="21" s="1"/>
  <c r="G167" i="18"/>
  <c r="AR167" i="18" s="1"/>
  <c r="G207" i="17"/>
  <c r="AR207" i="17" s="1"/>
  <c r="BK179" i="17"/>
  <c r="AL171" i="17"/>
  <c r="G171" i="17" s="1"/>
  <c r="BK183" i="17"/>
  <c r="AF151" i="17"/>
  <c r="G151" i="17"/>
  <c r="AR151" i="17" s="1"/>
  <c r="F167" i="15"/>
  <c r="AR151" i="24" l="1"/>
  <c r="T151" i="24"/>
  <c r="S169" i="15"/>
  <c r="S167" i="15"/>
  <c r="AS167" i="15"/>
  <c r="T169" i="18"/>
  <c r="T167" i="18"/>
  <c r="T165" i="22"/>
  <c r="T163" i="22"/>
  <c r="T209" i="17"/>
  <c r="T207" i="17"/>
  <c r="T193" i="21"/>
  <c r="T191" i="21"/>
  <c r="T151" i="17"/>
  <c r="T153" i="17"/>
  <c r="T189" i="21"/>
  <c r="T187" i="21"/>
  <c r="T193" i="23"/>
  <c r="T191" i="23"/>
  <c r="T153" i="24"/>
  <c r="G167" i="22"/>
  <c r="AR167" i="22" s="1"/>
  <c r="AL183" i="17"/>
  <c r="AR171" i="17"/>
  <c r="AL179" i="17"/>
  <c r="G179" i="17" s="1"/>
  <c r="T169" i="22" l="1"/>
  <c r="T167" i="22"/>
  <c r="T173" i="17"/>
  <c r="T171" i="17"/>
  <c r="AR179" i="17"/>
  <c r="G183" i="17"/>
  <c r="AR183" i="17" s="1"/>
  <c r="T179" i="17" l="1"/>
  <c r="T181" i="17"/>
  <c r="T183" i="17"/>
  <c r="T185" i="17"/>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9">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bk>
      <extLst>
        <ext uri="{3e2802c4-a4d2-4d8b-9148-e3be6c30e623}">
          <xlrd:rvb i="5"/>
        </ext>
      </extLst>
    </bk>
    <bk>
      <extLst>
        <ext uri="{3e2802c4-a4d2-4d8b-9148-e3be6c30e623}">
          <xlrd:rvb i="6"/>
        </ext>
      </extLst>
    </bk>
    <bk>
      <extLst>
        <ext uri="{3e2802c4-a4d2-4d8b-9148-e3be6c30e623}">
          <xlrd:rvb i="7"/>
        </ext>
      </extLst>
    </bk>
    <bk>
      <extLst>
        <ext uri="{3e2802c4-a4d2-4d8b-9148-e3be6c30e623}">
          <xlrd:rvb i="8"/>
        </ext>
      </extLst>
    </bk>
  </futureMetadata>
  <cellMetadata count="1">
    <bk>
      <rc t="1" v="0"/>
    </bk>
  </cellMetadata>
  <valueMetadata count="9">
    <bk>
      <rc t="2" v="0"/>
    </bk>
    <bk>
      <rc t="2" v="1"/>
    </bk>
    <bk>
      <rc t="2" v="2"/>
    </bk>
    <bk>
      <rc t="2" v="3"/>
    </bk>
    <bk>
      <rc t="2" v="4"/>
    </bk>
    <bk>
      <rc t="2" v="5"/>
    </bk>
    <bk>
      <rc t="2" v="6"/>
    </bk>
    <bk>
      <rc t="2" v="7"/>
    </bk>
    <bk>
      <rc t="2" v="8"/>
    </bk>
  </valueMetadata>
</metadata>
</file>

<file path=xl/sharedStrings.xml><?xml version="1.0" encoding="utf-8"?>
<sst xmlns="http://schemas.openxmlformats.org/spreadsheetml/2006/main" count="2279" uniqueCount="933">
  <si>
    <t>Axe Struct (Pty) Ltd</t>
  </si>
  <si>
    <t>Brownbuilt</t>
  </si>
  <si>
    <t>Brownbuilt (Pinch)</t>
  </si>
  <si>
    <t>VAT no.: 4470284136    Reg. no.: 2018/528173/07</t>
  </si>
  <si>
    <t>Corrugated</t>
  </si>
  <si>
    <t>Corrugated (Rib Surface)</t>
  </si>
  <si>
    <t>Tel: +27 (0)10 880 0220   Email: info@axestruct.com</t>
  </si>
  <si>
    <t>Corrugated (Hangerbolt)</t>
  </si>
  <si>
    <t>Craft-Lock</t>
  </si>
  <si>
    <t>www.axestruct.com</t>
  </si>
  <si>
    <t>Dimondek</t>
  </si>
  <si>
    <t>Dimondek (Pinch)</t>
  </si>
  <si>
    <t>Dimondek (Stand Rib)</t>
  </si>
  <si>
    <t>Provisional Quotation</t>
  </si>
  <si>
    <t>IBR</t>
  </si>
  <si>
    <t>Document No.:</t>
  </si>
  <si>
    <t xml:space="preserve">QU RT WW </t>
  </si>
  <si>
    <t>IBR (Rib Surface)</t>
  </si>
  <si>
    <t>Klip-Lok</t>
  </si>
  <si>
    <t>Revision:</t>
  </si>
  <si>
    <t>1</t>
  </si>
  <si>
    <t>Novotexi</t>
  </si>
  <si>
    <t>ProLok</t>
  </si>
  <si>
    <t>Saflok</t>
  </si>
  <si>
    <t>Springlok</t>
  </si>
  <si>
    <t>Client:</t>
  </si>
  <si>
    <t>Project:</t>
  </si>
  <si>
    <t xml:space="preserve">Date: </t>
  </si>
  <si>
    <t>Zip-Tek</t>
  </si>
  <si>
    <t>Roof Top Walkway</t>
  </si>
  <si>
    <r>
      <t xml:space="preserve">Across the rib </t>
    </r>
    <r>
      <rPr>
        <sz val="7"/>
        <color theme="1"/>
        <rFont val="Yu Gothic"/>
        <family val="2"/>
      </rPr>
      <t>(Perpendicular to rib)</t>
    </r>
  </si>
  <si>
    <t>m</t>
  </si>
  <si>
    <r>
      <t xml:space="preserve">Along the rib </t>
    </r>
    <r>
      <rPr>
        <sz val="7"/>
        <color theme="1"/>
        <rFont val="Yu Gothic"/>
        <family val="2"/>
      </rPr>
      <t>(Parallel to rib)</t>
    </r>
  </si>
  <si>
    <t>Angle needed to level out surface</t>
  </si>
  <si>
    <t>deg</t>
  </si>
  <si>
    <t>Steps needed to climb angled surface</t>
  </si>
  <si>
    <t>Not Required</t>
  </si>
  <si>
    <t>Over supply</t>
  </si>
  <si>
    <t>Bracket selection</t>
  </si>
  <si>
    <t>Extension</t>
  </si>
  <si>
    <t>Walkway width</t>
  </si>
  <si>
    <t>Support length</t>
  </si>
  <si>
    <t>Not Included</t>
  </si>
  <si>
    <t>Fasteners</t>
  </si>
  <si>
    <t>Brackets</t>
  </si>
  <si>
    <t>Roof type</t>
  </si>
  <si>
    <t xml:space="preserve">Materials specified for atmospheric corrosion category up to C4 as per ISO 9223. Please consult for environments with more aggressive ratings.  </t>
  </si>
  <si>
    <t>`</t>
  </si>
  <si>
    <t>Rail length</t>
  </si>
  <si>
    <t>No</t>
  </si>
  <si>
    <t>Product Code</t>
  </si>
  <si>
    <t>Description of Goods</t>
  </si>
  <si>
    <t>Quantity</t>
  </si>
  <si>
    <t>ARB SKU</t>
  </si>
  <si>
    <t>Ac. Qnty</t>
  </si>
  <si>
    <t>N/A</t>
  </si>
  <si>
    <t>This quotation is valid for a period of 10 days and subject to stock availability. Delivery location and site conditions can affect the price</t>
  </si>
  <si>
    <t>Thank you for affording us the opportunity to submit a quote. We trust that the above meets with your favourable approval and we look forward to being of service to you.</t>
  </si>
  <si>
    <t>QU RT BL</t>
  </si>
  <si>
    <t>Project specifications</t>
  </si>
  <si>
    <t>Plant specifications</t>
  </si>
  <si>
    <t>Capacity</t>
  </si>
  <si>
    <t>Orientation</t>
  </si>
  <si>
    <t>Landscape</t>
  </si>
  <si>
    <t>Duo-pitch</t>
  </si>
  <si>
    <t>Installation type</t>
  </si>
  <si>
    <t>Rooftop Ballast</t>
  </si>
  <si>
    <t>Angle</t>
  </si>
  <si>
    <t>⁰ Tilt mounted</t>
  </si>
  <si>
    <t>mm</t>
  </si>
  <si>
    <t>Back to front connect pitch</t>
  </si>
  <si>
    <t>Interrow Spacing</t>
  </si>
  <si>
    <t>mm Panel edge horisontal dist.</t>
  </si>
  <si>
    <t>Solar panel specifications</t>
  </si>
  <si>
    <t>Number</t>
  </si>
  <si>
    <t>Type</t>
  </si>
  <si>
    <t>JA Solar JAM72S40-600/MR</t>
  </si>
  <si>
    <t>Rating</t>
  </si>
  <si>
    <t>mm (L)</t>
  </si>
  <si>
    <t>mm (B)</t>
  </si>
  <si>
    <t>mm (H)</t>
  </si>
  <si>
    <t>Configuration</t>
  </si>
  <si>
    <t>Max rib spacing of this type of roof</t>
  </si>
  <si>
    <t>Additions</t>
  </si>
  <si>
    <t>Dimensions</t>
  </si>
  <si>
    <t>Profile length</t>
  </si>
  <si>
    <t>Combination</t>
  </si>
  <si>
    <t>Shading angle</t>
  </si>
  <si>
    <t>⁰</t>
  </si>
  <si>
    <t>Rails/Brackets/</t>
  </si>
  <si>
    <t>Clips</t>
  </si>
  <si>
    <r>
      <t xml:space="preserve">Wire management 
</t>
    </r>
    <r>
      <rPr>
        <sz val="8"/>
        <color theme="1"/>
        <rFont val="Yu Gothic"/>
        <family val="2"/>
      </rPr>
      <t>Cable to Panel clip</t>
    </r>
  </si>
  <si>
    <t>Row Pitch</t>
  </si>
  <si>
    <t>Fasteners/Extensions</t>
  </si>
  <si>
    <r>
      <t xml:space="preserve">Fastener-Clamp integration </t>
    </r>
    <r>
      <rPr>
        <sz val="8"/>
        <color theme="1"/>
        <rFont val="Yu Gothic"/>
        <family val="2"/>
      </rPr>
      <t>"Click system"</t>
    </r>
  </si>
  <si>
    <t>Offcut shorter than this will NOT be considered</t>
  </si>
  <si>
    <t>Angle shape</t>
  </si>
  <si>
    <t>End Clamps</t>
  </si>
  <si>
    <t>Wind Deflector Plates</t>
  </si>
  <si>
    <t>Frameless</t>
  </si>
  <si>
    <t>Lookup Rail length</t>
  </si>
  <si>
    <t>m Pieces</t>
  </si>
  <si>
    <t>Rail total length</t>
  </si>
  <si>
    <t>Too long</t>
  </si>
  <si>
    <t>Too short</t>
  </si>
  <si>
    <t>Difference: Combination rail vs Needed rail</t>
  </si>
  <si>
    <t>Qnty</t>
  </si>
  <si>
    <t>2</t>
  </si>
  <si>
    <t>3</t>
  </si>
  <si>
    <t>4</t>
  </si>
  <si>
    <t>5</t>
  </si>
  <si>
    <t>6</t>
  </si>
  <si>
    <t>7</t>
  </si>
  <si>
    <t>8</t>
  </si>
  <si>
    <t>9</t>
  </si>
  <si>
    <t>10</t>
  </si>
  <si>
    <t>11</t>
  </si>
  <si>
    <t>12</t>
  </si>
  <si>
    <t>13</t>
  </si>
  <si>
    <t>14</t>
  </si>
  <si>
    <t>15</t>
  </si>
  <si>
    <t>16</t>
  </si>
  <si>
    <t>Corrugated (L-bracket)</t>
  </si>
  <si>
    <t>Corrugated (Ridge)</t>
  </si>
  <si>
    <t xml:space="preserve">QU RT RSD RD </t>
  </si>
  <si>
    <t>Flat Surface</t>
  </si>
  <si>
    <t>IBR (L-bracket)</t>
  </si>
  <si>
    <t>IBR (Ridge)</t>
  </si>
  <si>
    <t>Portrait</t>
  </si>
  <si>
    <t>Raised Railed</t>
  </si>
  <si>
    <t>Back to front bracket pitch</t>
  </si>
  <si>
    <r>
      <t xml:space="preserve">max. </t>
    </r>
    <r>
      <rPr>
        <sz val="7"/>
        <color theme="1"/>
        <rFont val="Yu Gothic"/>
        <family val="2"/>
      </rPr>
      <t>A-frame span</t>
    </r>
  </si>
  <si>
    <t>Fixing</t>
  </si>
  <si>
    <t>-</t>
  </si>
  <si>
    <t>JA SOLAR JAM72S40-600</t>
  </si>
  <si>
    <t>Rows</t>
  </si>
  <si>
    <t>Modules/Row</t>
  </si>
  <si>
    <t>Brackets/length</t>
  </si>
  <si>
    <t>A-frame spacing if evenly distributed</t>
  </si>
  <si>
    <t>Boundaries</t>
  </si>
  <si>
    <t>Rails/Brackets/Mid</t>
  </si>
  <si>
    <t>Clamps/Clips</t>
  </si>
  <si>
    <t>Rail extended under PV module end</t>
  </si>
  <si>
    <t>Included</t>
  </si>
  <si>
    <t>Distance of 1st Bracket to rail end</t>
  </si>
  <si>
    <t>Rail End Caps</t>
  </si>
  <si>
    <t>Sway prevention</t>
  </si>
  <si>
    <t>Angles</t>
  </si>
  <si>
    <t>Earth Lugs on Rail Ends</t>
  </si>
  <si>
    <t>(</t>
  </si>
  <si>
    <t>m)</t>
  </si>
  <si>
    <t xml:space="preserve">QU RT RSD RL </t>
  </si>
  <si>
    <t>Raised Railless</t>
  </si>
  <si>
    <t>100</t>
  </si>
  <si>
    <t>30</t>
  </si>
  <si>
    <t>QU RT TL RD</t>
  </si>
  <si>
    <t>Tilted Railed</t>
  </si>
  <si>
    <r>
      <t>max. F</t>
    </r>
    <r>
      <rPr>
        <sz val="7"/>
        <color theme="1"/>
        <rFont val="Yu Gothic"/>
        <family val="2"/>
      </rPr>
      <t>rame span</t>
    </r>
  </si>
  <si>
    <t>QU RT TL RL</t>
  </si>
  <si>
    <t>Tilted Railless</t>
  </si>
  <si>
    <t xml:space="preserve">QU RT ANG RL </t>
  </si>
  <si>
    <t>Angled Railless</t>
  </si>
  <si>
    <t>QU RT ANG RD</t>
  </si>
  <si>
    <t>Angled Railed</t>
  </si>
  <si>
    <t>QU RT FL RD</t>
  </si>
  <si>
    <t>Metal Purlin (HB)</t>
  </si>
  <si>
    <t>Metal Purlin (HB Vrtical)</t>
  </si>
  <si>
    <t>Novotexi (MacSteel)</t>
  </si>
  <si>
    <t>Rail Clip</t>
  </si>
  <si>
    <t>Tile Eco SH</t>
  </si>
  <si>
    <t>Tile Eco SH Lnd</t>
  </si>
  <si>
    <t>Tile Sweep SH</t>
  </si>
  <si>
    <t>Tile Sweep SH Lnd</t>
  </si>
  <si>
    <t>Tile Eco SS</t>
  </si>
  <si>
    <t>Tile Eco SS Lnd</t>
  </si>
  <si>
    <t>Flush Railed</t>
  </si>
  <si>
    <t>Flat mounted</t>
  </si>
  <si>
    <t>Tile Sweep SS</t>
  </si>
  <si>
    <t>Tile Sweep SS Lnd</t>
  </si>
  <si>
    <t>Wood Purlin (HB)</t>
  </si>
  <si>
    <r>
      <t xml:space="preserve">max. </t>
    </r>
    <r>
      <rPr>
        <sz val="7"/>
        <color theme="1"/>
        <rFont val="Yu Gothic"/>
        <family val="2"/>
      </rPr>
      <t>bracket span</t>
    </r>
  </si>
  <si>
    <t>Wood Purlin (HB Vrtical)</t>
  </si>
  <si>
    <t>Bracket spacing if evenly distributed</t>
  </si>
  <si>
    <t>Page 3 of 3</t>
  </si>
  <si>
    <t>QU RT FL RL</t>
  </si>
  <si>
    <t>Widespan</t>
  </si>
  <si>
    <t>Flush Railless</t>
  </si>
  <si>
    <t>Brackets/Mid</t>
  </si>
  <si>
    <t>Parts List</t>
  </si>
  <si>
    <t>AXE_L_R_40_30_AL</t>
  </si>
  <si>
    <t>) m</t>
  </si>
  <si>
    <t>AXE_BR_CL_H_AL</t>
  </si>
  <si>
    <t>.</t>
  </si>
  <si>
    <t>We trust that the above meets with your favourable approval and we look forward to being of service to you.</t>
  </si>
  <si>
    <t>4.7</t>
  </si>
  <si>
    <t>5.85</t>
  </si>
  <si>
    <t>A</t>
  </si>
  <si>
    <t>B</t>
  </si>
  <si>
    <t>C</t>
  </si>
  <si>
    <t>D</t>
  </si>
  <si>
    <t>E</t>
  </si>
  <si>
    <t>E-1</t>
  </si>
  <si>
    <t>E-2</t>
  </si>
  <si>
    <t>E-3</t>
  </si>
  <si>
    <t>E-4</t>
  </si>
  <si>
    <t>E-5</t>
  </si>
  <si>
    <t>E-6</t>
  </si>
  <si>
    <t>Description of Goods 1</t>
  </si>
  <si>
    <t>Description of Goods 2</t>
  </si>
  <si>
    <t xml:space="preserve"> </t>
  </si>
  <si>
    <t>AXE_BH_8_25_SS</t>
  </si>
  <si>
    <t>Bolt Hexagon</t>
  </si>
  <si>
    <t>Stainless Steel, M8x25</t>
  </si>
  <si>
    <t>Craft Lok Bracket</t>
  </si>
  <si>
    <t>Aluminium, Horizontal</t>
  </si>
  <si>
    <t>AXE_BR_CL_RD_AL</t>
  </si>
  <si>
    <t>Aluminium, Railed</t>
  </si>
  <si>
    <t>AXE_BR_CL_V_AL</t>
  </si>
  <si>
    <t>Aluminium, Vertical</t>
  </si>
  <si>
    <t>AXE_BR_COR_H_AL</t>
  </si>
  <si>
    <t>Corrugated Bracket</t>
  </si>
  <si>
    <t>AXE_BR_COR_RD_AL</t>
  </si>
  <si>
    <t>AXE_BR_COR_RL_AL</t>
  </si>
  <si>
    <t>Aluminium, Railless</t>
  </si>
  <si>
    <t>AXE_BR_COR_V_AL</t>
  </si>
  <si>
    <t>AXE_BR_FL_H_AL</t>
  </si>
  <si>
    <t>Fix Lok Bracket</t>
  </si>
  <si>
    <t>AXE_BR_FL_RD_AL</t>
  </si>
  <si>
    <t>AXE_BR_FL_RL_AL</t>
  </si>
  <si>
    <t>AXE_BR_FL_V_AL</t>
  </si>
  <si>
    <t>AXE_BR_HB_H_M_AL</t>
  </si>
  <si>
    <t>Hangerbolt incl. Gasket + Plate</t>
  </si>
  <si>
    <t>Aluminium, Horizontal + Stainless Steel, Metal, M10x200</t>
  </si>
  <si>
    <t>AXE_BR_HB_H_W_AL</t>
  </si>
  <si>
    <t>Aluminium, Horizontal + Stainless Steel, Wood, M10x200</t>
  </si>
  <si>
    <t>AXE_BR_HB_RD_M_AL</t>
  </si>
  <si>
    <t>Aluminium, Railed + Stainless Steel, Metal, M10x200</t>
  </si>
  <si>
    <t>AXE_BR_HB_RD_W_AL</t>
  </si>
  <si>
    <t>Aluminium, Railed + Stainless Steel, Wood, M10x200</t>
  </si>
  <si>
    <t>AXE_BR_HB_V_M_AL</t>
  </si>
  <si>
    <t>Hangerbolt incl. Gasket + L-bracket</t>
  </si>
  <si>
    <t>Aluminium, Vertical + Stainless Steel, Metal, M10x200</t>
  </si>
  <si>
    <t>AXE_BR_HB_V_W_AL</t>
  </si>
  <si>
    <t>Aluminium, Vertical + Stainless Steel, Wood, M10x200</t>
  </si>
  <si>
    <t>AXE_BR_IBR_H_AL</t>
  </si>
  <si>
    <t xml:space="preserve">IBR Bracket </t>
  </si>
  <si>
    <t>AXE_BR_IBR_RD_AL</t>
  </si>
  <si>
    <t>AXE_BR_IBR_RL_AL</t>
  </si>
  <si>
    <t>IBR Bracket</t>
  </si>
  <si>
    <t>AXE_BR_IBR_V_AL</t>
  </si>
  <si>
    <t>AXE_BR_L_F_AL</t>
  </si>
  <si>
    <t>L Bracket</t>
  </si>
  <si>
    <t>Aluminium, Fixed</t>
  </si>
  <si>
    <t>AXE_BR_L_R_AL</t>
  </si>
  <si>
    <t>Aluminium, Rib</t>
  </si>
  <si>
    <t>AXE_BR_L_S_AL</t>
  </si>
  <si>
    <t>Aluminium, Slotted</t>
  </si>
  <si>
    <t>AXE_BR_PF_H_AL</t>
  </si>
  <si>
    <t>Pinch Fix Bracket</t>
  </si>
  <si>
    <t>AXE_BR_PF_RD_AL</t>
  </si>
  <si>
    <t>AXE_BR_PF_RL_AL</t>
  </si>
  <si>
    <t>AXE_BR_PF_V_AL</t>
  </si>
  <si>
    <t>AXE_BR_NT_H_AL</t>
  </si>
  <si>
    <t>Novo Tek Bracket</t>
  </si>
  <si>
    <t>AXE_BR_NT_RD_AL</t>
  </si>
  <si>
    <t>AXE_BR_NT_RL_AL</t>
  </si>
  <si>
    <t>AXE_BR_NT_V_AL</t>
  </si>
  <si>
    <t>AXE_BR_RF_H_AL</t>
  </si>
  <si>
    <t>Ridge Fix Bracket</t>
  </si>
  <si>
    <t>AXE_BR_RF_RD_AL</t>
  </si>
  <si>
    <t>AXE_BR_RF_V_AL</t>
  </si>
  <si>
    <t>AXE_BR_RS_H_AL</t>
  </si>
  <si>
    <t xml:space="preserve">Rib Surface Bracket </t>
  </si>
  <si>
    <t>AXE_BR_RS_RD_AL</t>
  </si>
  <si>
    <t>AXE_BR_RS_RL_AL</t>
  </si>
  <si>
    <t>AXE_BR_RS_V_AL</t>
  </si>
  <si>
    <t>AXE_BR_SL_H_AL</t>
  </si>
  <si>
    <t>Spring Lok Bracket</t>
  </si>
  <si>
    <t>AXE_BR_SL_RD_AL</t>
  </si>
  <si>
    <t>AXE_BR_SL_RL_AL</t>
  </si>
  <si>
    <t>AXE_BR_SL_V_AL</t>
  </si>
  <si>
    <t>AXE_BR_SR_H_AL</t>
  </si>
  <si>
    <t>Standing Rib Bracket</t>
  </si>
  <si>
    <t>AXE_BR_SR_RD_AL</t>
  </si>
  <si>
    <t>AXE_BR_SR_V_AL</t>
  </si>
  <si>
    <t>AXE_BR_SW_RD_AL</t>
  </si>
  <si>
    <t xml:space="preserve">Swivel Bracket </t>
  </si>
  <si>
    <t>AXE_BR_SW_RL_AL</t>
  </si>
  <si>
    <t>AXE_BR_TH_H_AL</t>
  </si>
  <si>
    <t>Tile Hook Bracket</t>
  </si>
  <si>
    <t>AXE_BR_TH_H_SH</t>
  </si>
  <si>
    <t>Hot Dip Galv Steel, Horizontal</t>
  </si>
  <si>
    <t>AXE_BR_TH_H_SS</t>
  </si>
  <si>
    <t>Stainless Steel, Horizontal</t>
  </si>
  <si>
    <t>AXE_BR_TH_RD_AL</t>
  </si>
  <si>
    <t>AXE_BR_TH_RD_SH</t>
  </si>
  <si>
    <t>Hot Dip Galv Steel, Railed</t>
  </si>
  <si>
    <t>AXE_BR_TH_RD_SS</t>
  </si>
  <si>
    <t>Stainless Steel, Railed</t>
  </si>
  <si>
    <t>AXE_BR_TH_V_AL</t>
  </si>
  <si>
    <t>AXE_BR_TH_V_E_SH</t>
  </si>
  <si>
    <t>Hot Dip Galv Steel, Vertical Eco</t>
  </si>
  <si>
    <t>AXE_BR_TH_V_E_SS</t>
  </si>
  <si>
    <t>Stainless Steel, Vertical Eco</t>
  </si>
  <si>
    <t>AXE_BR_TH_V_S_SH</t>
  </si>
  <si>
    <t>Hot Dip Galv Steel, Vertical Sweep</t>
  </si>
  <si>
    <t>AXE_BR_TH_V_S_SS</t>
  </si>
  <si>
    <t>Stainless Steel, Vertical Sweep</t>
  </si>
  <si>
    <t>AXE_BR_WS_RL_AL</t>
  </si>
  <si>
    <t xml:space="preserve">Widespan Bracket </t>
  </si>
  <si>
    <t>AXE_CC_SS</t>
  </si>
  <si>
    <t>Cable Clip</t>
  </si>
  <si>
    <t>Stainless Steel, Panel frame</t>
  </si>
  <si>
    <t>AXE_CE_AP_30_AL</t>
  </si>
  <si>
    <t>End Clamp</t>
  </si>
  <si>
    <t>Aluminium, All purpose, 30mm high</t>
  </si>
  <si>
    <t>AXE_CE_AP_35_AL</t>
  </si>
  <si>
    <t>Aluminium, All purpose, 35mm high</t>
  </si>
  <si>
    <t>AXE_CE_AP_40_AL</t>
  </si>
  <si>
    <t>Aluminium, All purpose, 40mm high</t>
  </si>
  <si>
    <t>AXE_CE_CF_30_AL</t>
  </si>
  <si>
    <t>Aluminium, Click Fix, 30mm high</t>
  </si>
  <si>
    <t>AXE_CE_CF_35_AL</t>
  </si>
  <si>
    <t>Aluminium, Click Fix, 35mm high</t>
  </si>
  <si>
    <t>AXE_CE_CL_AL</t>
  </si>
  <si>
    <t>Aluminium, Classic</t>
  </si>
  <si>
    <t>AXE_CE_CP_AL</t>
  </si>
  <si>
    <t>Aluminium, Classic Pin</t>
  </si>
  <si>
    <t>AXE_CM_AP_AL</t>
  </si>
  <si>
    <t>Mid Clamp</t>
  </si>
  <si>
    <t>Aluminium, All purpose</t>
  </si>
  <si>
    <t>AXE_CM_CF_30_AL</t>
  </si>
  <si>
    <t>AXE_CM_CF_35_AL</t>
  </si>
  <si>
    <t>AXE_CM_CL_AL</t>
  </si>
  <si>
    <t>AXE_CM_CP_AL</t>
  </si>
  <si>
    <t>AXE_CP_RM_AL</t>
  </si>
  <si>
    <t>Aluminium, Roof Mount</t>
  </si>
  <si>
    <t>AXE_CS_8_16_SS</t>
  </si>
  <si>
    <t>Cap Screws Hexagon</t>
  </si>
  <si>
    <t>Stainless Steel, M8x16</t>
  </si>
  <si>
    <t>AXE_CS_8_20_SS</t>
  </si>
  <si>
    <t>Stainless Steel, M8x20</t>
  </si>
  <si>
    <t>AXE_CS_8_25_SS</t>
  </si>
  <si>
    <t>AXE_CS_8_30_SS</t>
  </si>
  <si>
    <t>Stainless Steel, M8x30</t>
  </si>
  <si>
    <t>AXE_CS_8_35_SS</t>
  </si>
  <si>
    <t>Stainless Steel, M8x35</t>
  </si>
  <si>
    <t>AXE_DP_FD_10_2000_AL</t>
  </si>
  <si>
    <t>Wind Deflector Plate</t>
  </si>
  <si>
    <t>Aluminium, Framed, 2000mm, 10deg</t>
  </si>
  <si>
    <t>AXE_DP_FD_10_2100_AL</t>
  </si>
  <si>
    <t>Aluminium, Framed, 2100mm, 10deg</t>
  </si>
  <si>
    <t>AXE_DP_FD_10_2200_AL</t>
  </si>
  <si>
    <t>Aluminium, Framed, 2200mm, 10deg</t>
  </si>
  <si>
    <t>AXE_DP_FD_10_2300_AL</t>
  </si>
  <si>
    <t>Aluminium, Framed, 2300mm, 10deg</t>
  </si>
  <si>
    <t>AXE_DP_FD_10_2400_AL</t>
  </si>
  <si>
    <t>Aluminium, Framed, 2400mm, 10deg</t>
  </si>
  <si>
    <t>AXE_DP_FD_15_2000_AL</t>
  </si>
  <si>
    <t>Aluminium, Framed, 2000mm, 15deg</t>
  </si>
  <si>
    <t>AXE_DP_FD_15_2100_AL</t>
  </si>
  <si>
    <t>Aluminium, Framed, 2100mm, 15deg</t>
  </si>
  <si>
    <t>AXE_DP_FD_15_2200_AL</t>
  </si>
  <si>
    <t>Aluminium, Framed, 2200mm, 15deg</t>
  </si>
  <si>
    <t>AXE_DP_FD_15_2300_AL</t>
  </si>
  <si>
    <t>Aluminium, Framed, 2300mm, 15deg</t>
  </si>
  <si>
    <t>AXE_DP_FD_15_2400_AL</t>
  </si>
  <si>
    <t>Aluminium, Framed, 2400mm, 15deg</t>
  </si>
  <si>
    <t>AXE_DP_FL_10_2000_AL</t>
  </si>
  <si>
    <t>Aluminium, Frameless, 2000mm, 10deg</t>
  </si>
  <si>
    <t>AXE_DP_FL_10_2100_AL</t>
  </si>
  <si>
    <t>Aluminium, Frameless, 2100mm, 10deg</t>
  </si>
  <si>
    <t>AXE_DP_FL_10_2200_AL</t>
  </si>
  <si>
    <t>Aluminium, Frameless, 2200mm, 10deg</t>
  </si>
  <si>
    <t>AXE_DP_FL_10_2300_AL</t>
  </si>
  <si>
    <t>Aluminium, Frameless, 2300mm, 10deg</t>
  </si>
  <si>
    <t>AXE_DP_FL_10_2400_AL</t>
  </si>
  <si>
    <t>Aluminium, Frameless, 2400mm, 10deg</t>
  </si>
  <si>
    <t>AXE_DP_FL_15_2000_AL</t>
  </si>
  <si>
    <t>Aluminium, Frameless, 2000mm, 15deg</t>
  </si>
  <si>
    <t>AXE_DP_FL_15_2100_AL</t>
  </si>
  <si>
    <t>Aluminium, Frameless, 2100mm, 15deg</t>
  </si>
  <si>
    <t>AXE_DP_FL_15_2200_AL</t>
  </si>
  <si>
    <t>Aluminium, Frameless, 2200mm, 15deg</t>
  </si>
  <si>
    <t>AXE_DP_FL_15_2300_AL</t>
  </si>
  <si>
    <t>Aluminium, Frameless, 2300mm, 15deg</t>
  </si>
  <si>
    <t>AXE_DP_FL_15_2400_AL</t>
  </si>
  <si>
    <t>Aluminium, Frameless, 2400mm, 15deg</t>
  </si>
  <si>
    <t>AXE_EC_40_30_AL</t>
  </si>
  <si>
    <t>End Cap</t>
  </si>
  <si>
    <t>Aluminium, Rail Profile 40x30</t>
  </si>
  <si>
    <t>AXE_EP_SM</t>
  </si>
  <si>
    <t>Earthing Plate</t>
  </si>
  <si>
    <t>Marine Stainless Steel</t>
  </si>
  <si>
    <t>AXE_EL_AL</t>
  </si>
  <si>
    <t>Earthing Lug</t>
  </si>
  <si>
    <t>Aluminium</t>
  </si>
  <si>
    <t>AXE_EX_25_30_AL</t>
  </si>
  <si>
    <t xml:space="preserve">Extension </t>
  </si>
  <si>
    <t>Aluminium, Rail Profile 25x30</t>
  </si>
  <si>
    <t>AXE_EX_40_30_AL</t>
  </si>
  <si>
    <t>AXE_EX_WW_AL</t>
  </si>
  <si>
    <t>Aluminium, Walkway</t>
  </si>
  <si>
    <t>AXE_F_AN_RD_L_10_AL</t>
  </si>
  <si>
    <t>Angled Frame</t>
  </si>
  <si>
    <t>Aluminium, Railed, Long, 10deg</t>
  </si>
  <si>
    <t>AXE_F_AN_RD_L_15_AL</t>
  </si>
  <si>
    <t>Aluminium, Railed, Long, 15deg</t>
  </si>
  <si>
    <t>AXE_F_AN_RD_L_20_AL</t>
  </si>
  <si>
    <t>Aluminium, Railed, Long, 20deg</t>
  </si>
  <si>
    <t>AXE_F_AN_RD_L_25_AL</t>
  </si>
  <si>
    <t>Aluminium, Railed, Long, 25deg</t>
  </si>
  <si>
    <t>AXE_F_AN_RD_L_30_AL</t>
  </si>
  <si>
    <t>Aluminium, Railed, Long, 30deg</t>
  </si>
  <si>
    <t>AXE_F_AN_RD_S_10_AL</t>
  </si>
  <si>
    <t>Aluminium, Railed, Short, 10deg</t>
  </si>
  <si>
    <t>AXE_F_AN_RD_S_15_AL</t>
  </si>
  <si>
    <t>Aluminium, Railed, Short, 15deg</t>
  </si>
  <si>
    <t>AXE_F_AN_RD_S_20_AL</t>
  </si>
  <si>
    <t>Aluminium, Railed, Short, 20deg</t>
  </si>
  <si>
    <t>AXE_F_AN_RD_S_25_AL</t>
  </si>
  <si>
    <t>Aluminium, Railed, Short, 25deg</t>
  </si>
  <si>
    <t>AXE_F_AN_RD_S_30_AL</t>
  </si>
  <si>
    <t>Aluminium, Railed, Short, 30deg</t>
  </si>
  <si>
    <t>AXE_F_AN_RL_L_10_AL</t>
  </si>
  <si>
    <t>Aluminium, Railless, Long, 10deg</t>
  </si>
  <si>
    <t>AXE_F_AN_RL_L_15_AL</t>
  </si>
  <si>
    <t>Aluminium, Railless, Long, 15deg</t>
  </si>
  <si>
    <t>AXE_F_AN_RL_L_20_AL</t>
  </si>
  <si>
    <t>Aluminium, Railless, Long, 20deg</t>
  </si>
  <si>
    <t>AXE_F_AN_RL_L_25_AL</t>
  </si>
  <si>
    <t>Aluminium, Railless, Long, 25deg</t>
  </si>
  <si>
    <t>AXE_F_AN_RL_L_30_AL</t>
  </si>
  <si>
    <t>Aluminium, Railless, Long, 30deg</t>
  </si>
  <si>
    <t>AXE_F_AN_RL_S_10_AL</t>
  </si>
  <si>
    <t>Aluminium, Railless, Short, 10deg</t>
  </si>
  <si>
    <t>AXE_F_AN_RL_S_15_AL</t>
  </si>
  <si>
    <t>Aluminium, Railless, Short, 15deg</t>
  </si>
  <si>
    <t>AXE_F_AN_RL_S_20_AL</t>
  </si>
  <si>
    <t>Aluminium, Railless, Short, 20deg</t>
  </si>
  <si>
    <t>AXE_F_AN_RL_S_25_AL</t>
  </si>
  <si>
    <t>Aluminium, Railless, Short, 25deg</t>
  </si>
  <si>
    <t>AXE_F_AN_RL_S_30_AL</t>
  </si>
  <si>
    <t>Aluminium, Railless, Short, 30deg</t>
  </si>
  <si>
    <t>AXE_F_AN_WW_10_AL</t>
  </si>
  <si>
    <t>Aluminium, Walkway 10deg</t>
  </si>
  <si>
    <t>AXE_F_AN_WW_15_AL</t>
  </si>
  <si>
    <t>Aluminium, Walkway 15deg</t>
  </si>
  <si>
    <t>AXE_F_AN_WW_20_AL</t>
  </si>
  <si>
    <t>Aluminium, Walkway 20deg</t>
  </si>
  <si>
    <t>AXE_F_AN_WW_25_AL</t>
  </si>
  <si>
    <t>Aluminium, Walkway 25deg</t>
  </si>
  <si>
    <t>AXE_F_AN_WW_30_AL</t>
  </si>
  <si>
    <t>Aluminium, Walkway 30deg</t>
  </si>
  <si>
    <t>AXE_F_RS_RD_L_10_AL</t>
  </si>
  <si>
    <t>Raised Frame</t>
  </si>
  <si>
    <t>AXE_F_RS_RD_L_15_AL</t>
  </si>
  <si>
    <t>AXE_F_RS_RD_L_20_AL</t>
  </si>
  <si>
    <t>AXE_F_RS_RD_L_25_AL</t>
  </si>
  <si>
    <t>AXE_F_RS_RD_S_10_AL</t>
  </si>
  <si>
    <t>AXE_F_RS_RD_S_15_AL</t>
  </si>
  <si>
    <t>AXE_F_RS_RD_S_20_AL</t>
  </si>
  <si>
    <t>AXE_F_RS_RD_S_25_AL</t>
  </si>
  <si>
    <t>AXE_F_RS_RL_L_10_AL</t>
  </si>
  <si>
    <t>AXE_F_RS_RL_L_15_AL</t>
  </si>
  <si>
    <t>AXE_F_RS_RL_L_20_AL</t>
  </si>
  <si>
    <t>AXE_F_RS_RL_L_25_AL</t>
  </si>
  <si>
    <t>AXE_F_RS_RL_S_10_AL</t>
  </si>
  <si>
    <t>AXE_F_RS_RL_S_15_AL</t>
  </si>
  <si>
    <t>AXE_F_RS_RL_S_20_AL</t>
  </si>
  <si>
    <t>AXE_F_RS_RL_S_25_AL</t>
  </si>
  <si>
    <t>AXE_F_TL_RD_10_AL</t>
  </si>
  <si>
    <t>Tilted Frame</t>
  </si>
  <si>
    <t>Aluminium, Railed, 10deg</t>
  </si>
  <si>
    <t>AXE_F_TL_RD_15_AL</t>
  </si>
  <si>
    <t>Aluminium, Railed, 15deg</t>
  </si>
  <si>
    <t>AXE_F_TL_RD_20_AL</t>
  </si>
  <si>
    <t>Aluminium, Railed, 20deg</t>
  </si>
  <si>
    <t>AXE_F_TL_RD_25_AL</t>
  </si>
  <si>
    <t>Aluminium, Railed, 25deg</t>
  </si>
  <si>
    <t>AXE_F_TL_RD_30_AL</t>
  </si>
  <si>
    <t>Aluminium, Railed, 30deg</t>
  </si>
  <si>
    <t>AXE_F_TL_RL_10_AL</t>
  </si>
  <si>
    <t>Aluminium, Railless, 10deg</t>
  </si>
  <si>
    <t>AXE_F_TL_RL_15_AL</t>
  </si>
  <si>
    <t>Aluminium, Railless, 15deg</t>
  </si>
  <si>
    <t>AXE_F_TL_RL_20_AL</t>
  </si>
  <si>
    <t>Aluminium, Railless, 20deg</t>
  </si>
  <si>
    <t>AXE_F_TL_RL_25_AL</t>
  </si>
  <si>
    <t>Aluminium, Railless, 25deg</t>
  </si>
  <si>
    <t>AXE_F_TL_RL_30_AL</t>
  </si>
  <si>
    <t>Aluminium, Railless, 30deg</t>
  </si>
  <si>
    <t>AXE_L_AE_40_40_3_AL</t>
  </si>
  <si>
    <t>Equal Angle</t>
  </si>
  <si>
    <t>Aluminium, 40x40x3</t>
  </si>
  <si>
    <t xml:space="preserve">Rail Profile </t>
  </si>
  <si>
    <t xml:space="preserve"> Aluminium, 40x30</t>
  </si>
  <si>
    <t>SOL-58040</t>
  </si>
  <si>
    <t>AXE_L_R_BL_AL</t>
  </si>
  <si>
    <t>Ballast Rail</t>
  </si>
  <si>
    <t>Aluminium + Friction Pads</t>
  </si>
  <si>
    <t>SOL-6041</t>
  </si>
  <si>
    <t>AXE_L_WW_5700_300_AL</t>
  </si>
  <si>
    <t>Walkway Panel</t>
  </si>
  <si>
    <t>Aluminium, 5700x300x50 mm</t>
  </si>
  <si>
    <t>AXE_L_WW_5700_415_AL</t>
  </si>
  <si>
    <t>Aluminium, 5700x415x50 mm</t>
  </si>
  <si>
    <t>AXE_L_WW_5700_475_AL</t>
  </si>
  <si>
    <t>Aluminium, 5700x475x50 mm</t>
  </si>
  <si>
    <t>AXE_NHF_8_SS</t>
  </si>
  <si>
    <t>Hex Flange Nut</t>
  </si>
  <si>
    <t>Stainless Steel, M8</t>
  </si>
  <si>
    <t>AXE_NST_8_PP</t>
  </si>
  <si>
    <t>Nut Stopper</t>
  </si>
  <si>
    <t>Polypropylene Polymer, M8</t>
  </si>
  <si>
    <t>AXE_NSQ_8_SS</t>
  </si>
  <si>
    <t>Square Nut</t>
  </si>
  <si>
    <t>AXE_ST_5.5_85_SC</t>
  </si>
  <si>
    <t>Self Drilling Tek Screw</t>
  </si>
  <si>
    <t>Class4 Coated Steel, M5.5x85</t>
  </si>
  <si>
    <t>AXE_ST_6.3_22_SC</t>
  </si>
  <si>
    <t>Class4 Coated Steel, M6.3x22</t>
  </si>
  <si>
    <t>AXE_SW_6_80_SS</t>
  </si>
  <si>
    <t>Self Drilling Wood Screw</t>
  </si>
  <si>
    <t>Stainless Steel, M6x80</t>
  </si>
  <si>
    <t>AXE_WC_8_AL</t>
  </si>
  <si>
    <t>Clamp Washer</t>
  </si>
  <si>
    <t>Aluminium, Walkway, M8</t>
  </si>
  <si>
    <t>AXE_WF_8_SS</t>
  </si>
  <si>
    <t>Fender Washer</t>
  </si>
  <si>
    <t>AXE_WP_8_PE</t>
  </si>
  <si>
    <t>Plain Washer</t>
  </si>
  <si>
    <t>EPDM Polymer, M8</t>
  </si>
  <si>
    <t>AXE_WP_8_SS</t>
  </si>
  <si>
    <t>AXE_WS_8_SS</t>
  </si>
  <si>
    <t>Spring Washer</t>
  </si>
  <si>
    <t>Anti_Seize_S</t>
  </si>
  <si>
    <t>Anti-seize Compound</t>
  </si>
  <si>
    <t>Spanjaard Nickel Spray, 350ml</t>
  </si>
  <si>
    <t>AXE_BR_GL_H_AL</t>
  </si>
  <si>
    <t>Grip Lok Bracket</t>
  </si>
  <si>
    <t>AXE_BR_GL_RD_AL</t>
  </si>
  <si>
    <t>AXE_BR_GL_V_AL</t>
  </si>
  <si>
    <t>No Item</t>
  </si>
  <si>
    <t>17</t>
  </si>
  <si>
    <t>18</t>
  </si>
  <si>
    <t>19</t>
  </si>
  <si>
    <t>20</t>
  </si>
  <si>
    <t>21</t>
  </si>
  <si>
    <t>22</t>
  </si>
  <si>
    <t>23</t>
  </si>
  <si>
    <t>24</t>
  </si>
  <si>
    <t>25</t>
  </si>
  <si>
    <t>26</t>
  </si>
  <si>
    <t>27</t>
  </si>
  <si>
    <t>28</t>
  </si>
  <si>
    <t>29</t>
  </si>
  <si>
    <t>31</t>
  </si>
  <si>
    <t>32</t>
  </si>
  <si>
    <t>33</t>
  </si>
  <si>
    <t>34</t>
  </si>
  <si>
    <t>35</t>
  </si>
  <si>
    <t>36</t>
  </si>
  <si>
    <t>37</t>
  </si>
  <si>
    <t>38</t>
  </si>
  <si>
    <t>39</t>
  </si>
  <si>
    <t>40</t>
  </si>
  <si>
    <t>41</t>
  </si>
  <si>
    <t>42</t>
  </si>
  <si>
    <t>43</t>
  </si>
  <si>
    <t>44</t>
  </si>
  <si>
    <t>45</t>
  </si>
  <si>
    <t>46</t>
  </si>
  <si>
    <t>47</t>
  </si>
  <si>
    <t>48</t>
  </si>
  <si>
    <t>49</t>
  </si>
  <si>
    <t>50</t>
  </si>
  <si>
    <t>51</t>
  </si>
  <si>
    <t>52</t>
  </si>
  <si>
    <t>53</t>
  </si>
  <si>
    <t>54</t>
  </si>
  <si>
    <t>SOL-6052</t>
  </si>
  <si>
    <t>Angled Frame, Aluminium, Railed, Long, 10deg</t>
  </si>
  <si>
    <t>SOL-6053</t>
  </si>
  <si>
    <t>Angled Frame, Aluminium, Railed, Long, 15deg</t>
  </si>
  <si>
    <t>SOL-6054</t>
  </si>
  <si>
    <t>Angled Frame, Aluminium, Railed, Long, 20deg</t>
  </si>
  <si>
    <t>SOL-6055</t>
  </si>
  <si>
    <t>Angled Frame, Aluminium, Railed, Long, 25deg</t>
  </si>
  <si>
    <t>SOL-6056</t>
  </si>
  <si>
    <t>Angled Frame, Aluminium, Railed, Long, 30deg</t>
  </si>
  <si>
    <t>SOL-58060</t>
  </si>
  <si>
    <t>Angled Frame, Aluminium, Railed, Short, 10deg</t>
  </si>
  <si>
    <t>SOL-580601</t>
  </si>
  <si>
    <t>Angled Frame, Aluminium, Railed, Short, 15deg</t>
  </si>
  <si>
    <t>SOL-5806</t>
  </si>
  <si>
    <t>Angled Frame, Aluminium, Railed, Short, 20deg</t>
  </si>
  <si>
    <t>SOL-58061</t>
  </si>
  <si>
    <t>Angled Frame, Aluminium, Railed, Short, 25deg</t>
  </si>
  <si>
    <t>SOL-58064</t>
  </si>
  <si>
    <t>Angled Frame, Aluminium, Railed, Short, 30deg</t>
  </si>
  <si>
    <t>SOL-6059</t>
  </si>
  <si>
    <t>Angled Frame, Aluminium, Railless, Long, 10deg</t>
  </si>
  <si>
    <t>SOL-6060</t>
  </si>
  <si>
    <t>Angled Frame, Aluminium, Railless, Long, 15deg</t>
  </si>
  <si>
    <t>SOL-6061</t>
  </si>
  <si>
    <t>Angled Frame, Aluminium, Railless, Long, 20deg</t>
  </si>
  <si>
    <t>SOL-6062</t>
  </si>
  <si>
    <t>Angled Frame, Aluminium, Railless, Long, 25deg</t>
  </si>
  <si>
    <t>SOL-6063</t>
  </si>
  <si>
    <t>Angled Frame, Aluminium, Railless, Long, 30deg</t>
  </si>
  <si>
    <t>SOL-58062</t>
  </si>
  <si>
    <t>Angled Frame, Aluminium, Railless, Short, 10deg</t>
  </si>
  <si>
    <t>SOL-58066</t>
  </si>
  <si>
    <t>Angled Frame, Aluminium, Railless, Short, 15deg</t>
  </si>
  <si>
    <t>SOL-580620</t>
  </si>
  <si>
    <t>Angled Frame, Aluminium, Railless, Short, 20deg</t>
  </si>
  <si>
    <t>SOL-58063</t>
  </si>
  <si>
    <t>Angled Frame, Aluminium, Railless, Short, 25deg</t>
  </si>
  <si>
    <t>SOL-58065</t>
  </si>
  <si>
    <t>Angled Frame, Aluminium, Railless, Short, 30deg</t>
  </si>
  <si>
    <t>SOL-580713</t>
  </si>
  <si>
    <t>Angled Frame, Aluminium, Walkway, 10deg</t>
  </si>
  <si>
    <t>SOL-59562</t>
  </si>
  <si>
    <t>Angled Frame, Aluminium, Walkway, 15deg</t>
  </si>
  <si>
    <t>SOL-59561</t>
  </si>
  <si>
    <t>Angled Frame, Aluminium, Walkway, 20deg</t>
  </si>
  <si>
    <t>SOL-6077</t>
  </si>
  <si>
    <t>Angled Frame, Aluminium, Walkway, 25deg</t>
  </si>
  <si>
    <t>SOL-6078</t>
  </si>
  <si>
    <t>Angled Frame, Aluminium, Walkway, 30deg</t>
  </si>
  <si>
    <t>Raised Frame, Aluminium, Railed, Long, 10deg</t>
  </si>
  <si>
    <t>Raised Frame, Aluminium, Railed, Long, 15deg</t>
  </si>
  <si>
    <t>Raised Frame, Aluminium, Railed, Long, 20deg</t>
  </si>
  <si>
    <t>Raised Frame, Aluminium, Railed, Long, 25deg</t>
  </si>
  <si>
    <t>Raised Frame, Aluminium, Railed, Short, 10deg</t>
  </si>
  <si>
    <t>Raised Frame, Aluminium, Railed, Short, 15deg</t>
  </si>
  <si>
    <t>Raised Frame, Aluminium, Railed, Short, 20deg</t>
  </si>
  <si>
    <t>Raised Frame, Aluminium, Railed, Short, 25deg</t>
  </si>
  <si>
    <t>Raised Frame, Aluminium, Railless, Long, 10deg</t>
  </si>
  <si>
    <t>Raised Frame, Aluminium, Railless, Long, 15deg</t>
  </si>
  <si>
    <t>Raised Frame, Aluminium, Railless, Long, 20deg</t>
  </si>
  <si>
    <t>Raised Frame, Aluminium, Railless, Long, 25deg</t>
  </si>
  <si>
    <t>Raised Frame, Aluminium, Railless, Short, 10deg</t>
  </si>
  <si>
    <t>Raised Frame, Aluminium, Railless, Short, 15deg</t>
  </si>
  <si>
    <t>Raised Frame, Aluminium, Railless, Short, 20deg</t>
  </si>
  <si>
    <t>Raised Frame, Aluminium, Railless, Short, 25deg</t>
  </si>
  <si>
    <t>Tilted Frame, Aluminium, Railed, 10deg</t>
  </si>
  <si>
    <t>Tilted Frame, Aluminium, Railed, 15deg</t>
  </si>
  <si>
    <t>Tilted Frame, Aluminium, Railed, 20deg</t>
  </si>
  <si>
    <t>Tilted Frame, Aluminium, Railed, 25deg</t>
  </si>
  <si>
    <t>Tilted Frame, Aluminium, Railed, 30deg</t>
  </si>
  <si>
    <t>Tilted Frame, Aluminium, Railless, 10deg</t>
  </si>
  <si>
    <t>Tilted Frame, Aluminium, Railless, 15deg</t>
  </si>
  <si>
    <t>Tilted Frame, Aluminium, Railless, 20deg</t>
  </si>
  <si>
    <t>Tilted Frame, Aluminium, Railless, 25deg</t>
  </si>
  <si>
    <t>Tilted Frame, Aluminium, Railless, 30deg</t>
  </si>
  <si>
    <t>SOL-6073</t>
  </si>
  <si>
    <t>Craft Lok Bracket, Aluminium, Horisontal</t>
  </si>
  <si>
    <t>SOL-6074</t>
  </si>
  <si>
    <t>Craft Lok Bracket, Aluminium, Railed</t>
  </si>
  <si>
    <t>SOL-6075</t>
  </si>
  <si>
    <t>Craft Lok Bracket, Aluminium, Vertical</t>
  </si>
  <si>
    <t>SOL-59040</t>
  </si>
  <si>
    <t>Corrugated Bracket, Aluminium, Horisontal</t>
  </si>
  <si>
    <t>SOL-5903</t>
  </si>
  <si>
    <t>Corrugated Bracket, Aluminium, Railed</t>
  </si>
  <si>
    <t>SOL-59031</t>
  </si>
  <si>
    <t>Corrugated Bracket, Aluminium, Railless</t>
  </si>
  <si>
    <t>SOL-5904</t>
  </si>
  <si>
    <t>Corrugated Bracket, Aluminium, Vertical</t>
  </si>
  <si>
    <t>SOL-59070</t>
  </si>
  <si>
    <t>Fix Lok Bracket, Aluminium, Horisontal</t>
  </si>
  <si>
    <t>SOL-5905</t>
  </si>
  <si>
    <t>Fix Lok Bracket, Aluminium, Railed</t>
  </si>
  <si>
    <t>SOL-5906</t>
  </si>
  <si>
    <t>Fix Lok Bracket, Aluminium, Railless</t>
  </si>
  <si>
    <t>SOL-5907</t>
  </si>
  <si>
    <t>Fix Lok Bracket, Aluminium, Vertical</t>
  </si>
  <si>
    <t>Hangerbolt incl. Gasket + Plate, Aluminium, Horisontal + Stainless Steel, Metal, M10x200</t>
  </si>
  <si>
    <t>SOL-6066</t>
  </si>
  <si>
    <t>Hangerbolt incl. Gasket + Plate, Aluminium, Horisontal + Stainless Steel, Wood, M10x200</t>
  </si>
  <si>
    <t>Hangerbolt incl. Gasket + Plate, Aluminium, Railed + Stainless Steel, Metal, M10x200</t>
  </si>
  <si>
    <t>SOL-59080</t>
  </si>
  <si>
    <t>Hangerbolt incl. Gasket + Plate, Aluminium, Railed + Stainless Steel, Wood, M10x200</t>
  </si>
  <si>
    <t>Hangerbolt incl. Gasket + L-bracket, Aluminium, Vertical + Stainless Steel, Metal, M10x200</t>
  </si>
  <si>
    <t>SOL-5908</t>
  </si>
  <si>
    <t>Hangerbolt incl. Gasket + L-bracket, Aluminium, Vertical + Stainless Steel, Wood, M10x200</t>
  </si>
  <si>
    <t>SOL-59020</t>
  </si>
  <si>
    <t>IBR Bracket, Aluminium, Horisontal</t>
  </si>
  <si>
    <t>SOL-5901</t>
  </si>
  <si>
    <t>IBR Bracket, Aluminium, Railed</t>
  </si>
  <si>
    <t>SOL-5900</t>
  </si>
  <si>
    <t>IBR Bracket, Aluminium, Railless</t>
  </si>
  <si>
    <t>SOL-5902</t>
  </si>
  <si>
    <t>IBR Bracket, Aluminium, Vertical</t>
  </si>
  <si>
    <t>SOL-58080</t>
  </si>
  <si>
    <t>L Bracket, Aluminium, Fixed</t>
  </si>
  <si>
    <t>SOL-58081</t>
  </si>
  <si>
    <t>L Bracket, Aluminium, Rib</t>
  </si>
  <si>
    <t>SOL-5808</t>
  </si>
  <si>
    <t>L Bracket, Aluminium, Slotted</t>
  </si>
  <si>
    <t>SOL-6069</t>
  </si>
  <si>
    <t>Novo Tek Bracket, Aluminium, Horisontal</t>
  </si>
  <si>
    <t>SOL-6067</t>
  </si>
  <si>
    <t>Novo Tek Bracket, Aluminium, Railed</t>
  </si>
  <si>
    <t>SOL-6068</t>
  </si>
  <si>
    <t>Novo Tek Bracket, Aluminium, Vertical</t>
  </si>
  <si>
    <t>SOL-5807</t>
  </si>
  <si>
    <t>Pinch Fix Bracket, Aluminium, Horisontal</t>
  </si>
  <si>
    <t>SOL-5909</t>
  </si>
  <si>
    <t>Pinch Fix Bracket, Aluminium, Railed</t>
  </si>
  <si>
    <t>SOL-5910</t>
  </si>
  <si>
    <t>Pinch Fix Bracket, Aluminium, Railless</t>
  </si>
  <si>
    <t>SOL-5911</t>
  </si>
  <si>
    <t>Pinch Fix Bracket, Aluminium, Vertical</t>
  </si>
  <si>
    <t>SOL-6070</t>
  </si>
  <si>
    <t>Ridge Fix Bracket, Aluminium, Horisontal</t>
  </si>
  <si>
    <t>SOL-58073</t>
  </si>
  <si>
    <t>Ridge Fix Bracket, Aluminium, Railed</t>
  </si>
  <si>
    <t>SOL-58072</t>
  </si>
  <si>
    <t>Ridge Fix Bracket, Aluminium, Vertical</t>
  </si>
  <si>
    <t>SOL-580712</t>
  </si>
  <si>
    <t>Rib Surface Bracket, Aluminium, Horizontal</t>
  </si>
  <si>
    <t>SOL-580700</t>
  </si>
  <si>
    <t>Rib Surface Bracket, Aluminium, Railed</t>
  </si>
  <si>
    <t>SOL-580701</t>
  </si>
  <si>
    <t>Rib Surface Bracket, Aluminium, Railless</t>
  </si>
  <si>
    <t>SOL-580711</t>
  </si>
  <si>
    <t>Rib Surface Bracket, Aluminium, Vertical</t>
  </si>
  <si>
    <t>SOL-6071</t>
  </si>
  <si>
    <t>Spring Lok Bracket, Aluminium, Horisontal</t>
  </si>
  <si>
    <t>SOL-5940</t>
  </si>
  <si>
    <t>Spring Lok Bracket, Aluminium, Railed</t>
  </si>
  <si>
    <t>SOL-59402</t>
  </si>
  <si>
    <t>Spring Lok Bracket, Aluminium, Railless</t>
  </si>
  <si>
    <t>SOL-59401</t>
  </si>
  <si>
    <t>Spring Lok Bracket, Aluminium, Vertical</t>
  </si>
  <si>
    <t>SOL-58071</t>
  </si>
  <si>
    <t>Standing Rib Bracket, Aluminium, Horisontal</t>
  </si>
  <si>
    <t>SOL-6072</t>
  </si>
  <si>
    <t>Standing Rib Bracket, Aluminium, Railed</t>
  </si>
  <si>
    <t>Standing Rib Bracket, Aluminium, Vertical</t>
  </si>
  <si>
    <t>Swivel Bracket, Aluminium, Railed</t>
  </si>
  <si>
    <t>SOL-580703</t>
  </si>
  <si>
    <t>Swivel Bracket, Aluminium, Railless</t>
  </si>
  <si>
    <t>SOL-58011</t>
  </si>
  <si>
    <t>End Clamp, Aluminium, All purpose, 30mm high</t>
  </si>
  <si>
    <t>SOL-5802</t>
  </si>
  <si>
    <t>End Clamp, Aluminium, All purpose, 35mm high</t>
  </si>
  <si>
    <t>SOL-5803</t>
  </si>
  <si>
    <t>End Clamp, Aluminium, All purpose, 40mm high</t>
  </si>
  <si>
    <t>SOL-580301</t>
  </si>
  <si>
    <t>End Clamp, Aluminium, Click Fix, 30mm high</t>
  </si>
  <si>
    <t>SOL-58030</t>
  </si>
  <si>
    <t>End Clamp, Aluminium, Click Fix, 35mm high</t>
  </si>
  <si>
    <t>SOL-5801</t>
  </si>
  <si>
    <t>Mid Clamp, Aluminium, All purpose</t>
  </si>
  <si>
    <t>SOL-580101</t>
  </si>
  <si>
    <t>Mid Clamp, Aluminium, Click Fix, 30mm high</t>
  </si>
  <si>
    <t>SOL-58010</t>
  </si>
  <si>
    <t>Mid Clamp, Aluminium, Click Fix, 35mm high</t>
  </si>
  <si>
    <t>SOL-5809</t>
  </si>
  <si>
    <t>Rail Clip, Aluminium, Roof Mount</t>
  </si>
  <si>
    <t>SOL-58031</t>
  </si>
  <si>
    <t>End Cap, Aluminium, Rail Profile 40x30</t>
  </si>
  <si>
    <t>SOL-6042</t>
  </si>
  <si>
    <t>Extension, Aluminium, Rail Profile 25x30</t>
  </si>
  <si>
    <t>SOL-5805</t>
  </si>
  <si>
    <t>Extension, Aluminium, Rail Profile 40x30</t>
  </si>
  <si>
    <t>SOL-5956</t>
  </si>
  <si>
    <t>Extension, Aluminium, Walkway</t>
  </si>
  <si>
    <t>Hangerbolt Angle Aluminium</t>
  </si>
  <si>
    <t>AXE_HB_A_AL</t>
  </si>
  <si>
    <t>SOL-59552</t>
  </si>
  <si>
    <t>Hangerbolt Plate Aluminium</t>
  </si>
  <si>
    <t>AXE_HB_P_AL</t>
  </si>
  <si>
    <t>SOL-5955</t>
  </si>
  <si>
    <t>Axe EQUAL ANGLE 1.5m</t>
  </si>
  <si>
    <t>SOL-59550</t>
  </si>
  <si>
    <t>Axe Equal Angle (0.25m)</t>
  </si>
  <si>
    <t>SOL-6097</t>
  </si>
  <si>
    <t>Ballast Rail, Aluminium + Friction Pads (4.7m)</t>
  </si>
  <si>
    <t>Ballast Rail, Aluminium + Friction Pads (5.85m)</t>
  </si>
  <si>
    <t>SOL-580404</t>
  </si>
  <si>
    <t>Rail Profile, Aluminium, 40x30 (4.7m)</t>
  </si>
  <si>
    <t>Rail Profile, Aluminium, 40x30 (5.85m)</t>
  </si>
  <si>
    <t>SOL-6079</t>
  </si>
  <si>
    <t>Wind Deflector Plate, Aluminium, Framed, 2000mm, 10deg</t>
  </si>
  <si>
    <t>SOL-6080</t>
  </si>
  <si>
    <t>Wind Deflector Plate, Aluminium, Framed, 2100mm, 10deg</t>
  </si>
  <si>
    <t>SOL-6081</t>
  </si>
  <si>
    <t>Wind Deflector Plate, Aluminium, Framed, 2200mm, 10deg</t>
  </si>
  <si>
    <t>SOL-6082</t>
  </si>
  <si>
    <t>Wind Deflector Plate, Aluminium, Framed, 2300mm, 10deg</t>
  </si>
  <si>
    <t>SOL-6044</t>
  </si>
  <si>
    <t>Wind Deflector Plate, Aluminium, Framed, 2400mm, 10deg</t>
  </si>
  <si>
    <t>SOL-6083</t>
  </si>
  <si>
    <t>Wind Deflector Plate, Aluminium, Framed, 2000mm, 15deg</t>
  </si>
  <si>
    <t>SOL-6084</t>
  </si>
  <si>
    <t>Wind Deflector Plate, Aluminium, Framed, 2100mm, 15deg</t>
  </si>
  <si>
    <t>SOL-6085</t>
  </si>
  <si>
    <t>Wind Deflector Plate, Aluminium, Framed, 2200mm, 15deg</t>
  </si>
  <si>
    <t>SOL-6086</t>
  </si>
  <si>
    <t>Wind Deflector Plate, Aluminium, Framed, 2300mm, 15deg</t>
  </si>
  <si>
    <t>SOL-6087</t>
  </si>
  <si>
    <t>Wind Deflector Plate, Aluminium, Framed, 2400mm, 15deg</t>
  </si>
  <si>
    <t>Wind Deflector Plate, Aluminium, Frameless, 2000mm, 10deg</t>
  </si>
  <si>
    <t>Wind Deflector Plate, Aluminium, Frameless, 2100mm, 10deg</t>
  </si>
  <si>
    <t>Wind Deflector Plate, Aluminium, Frameless, 2200mm, 10deg</t>
  </si>
  <si>
    <t>Wind Deflector Plate, Aluminium, Frameless, 2300mm, 10deg</t>
  </si>
  <si>
    <t>Wind Deflector Plate, Aluminium, Frameless, 2400mm, 10deg</t>
  </si>
  <si>
    <t>Wind Deflector Plate, Aluminium, Frameless, 2000mm, 15deg</t>
  </si>
  <si>
    <t>Wind Deflector Plate, Aluminium, Frameless, 2100mm, 15deg</t>
  </si>
  <si>
    <t>Wind Deflector Plate, Aluminium, Frameless, 2200mm, 15deg</t>
  </si>
  <si>
    <t>Wind Deflector Plate, Aluminium, Frameless, 2300mm, 15deg</t>
  </si>
  <si>
    <t>Wind Deflector Plate, Aluminium, Frameless, 2400mm, 15deg</t>
  </si>
  <si>
    <t>SOL-6076</t>
  </si>
  <si>
    <t>Clamp Washer, Aluminium, M8</t>
  </si>
  <si>
    <t>Walkway Panel, Aluminium, 5700x300x50 mm</t>
  </si>
  <si>
    <t>Walkway Panel, Aluminium, 5700x415x50 mm</t>
  </si>
  <si>
    <t>SOL-58101</t>
  </si>
  <si>
    <t>Walkway Panel, Aluminium, 5700x475x50 mm</t>
  </si>
  <si>
    <t>SOL-580392</t>
  </si>
  <si>
    <t>Tile Hook Bracket, Hot Dip Galv, Horisontal</t>
  </si>
  <si>
    <t>AXE_BR_TH_H_GS</t>
  </si>
  <si>
    <t>SOL-58039</t>
  </si>
  <si>
    <t>Tile Hook Bracket, Hot Dip Galv, Vertical Sweep</t>
  </si>
  <si>
    <t>AXE_BR_TH_V_S_GS</t>
  </si>
  <si>
    <t>SOL-6088</t>
  </si>
  <si>
    <t>Wind Deflector Plate, Chromadek, Framed, 2000mm, 10deg</t>
  </si>
  <si>
    <t>AXE_DP_FD_10_2000_GS</t>
  </si>
  <si>
    <t>SOL-6089</t>
  </si>
  <si>
    <t>Wind Deflector Plate, Chromadek, Framed, 2100mm, 10deg</t>
  </si>
  <si>
    <t>AXE_DP_FD_10_2100_GS</t>
  </si>
  <si>
    <t>SOL-6090</t>
  </si>
  <si>
    <t>Wind Deflector Plate, Chromadek, Framed, 2200mm, 10deg</t>
  </si>
  <si>
    <t>AXE_DP_FD_10_2200_GS</t>
  </si>
  <si>
    <t>SOL-6091</t>
  </si>
  <si>
    <t>Wind Deflector Plate, Chromadek, Framed, 2300mm, 10deg</t>
  </si>
  <si>
    <t>AXE_DP_FD_10_2300_GS</t>
  </si>
  <si>
    <t>SOL-6043</t>
  </si>
  <si>
    <t>Wind Deflector Plate, Chromadek, Framed, 2400mm, 10deg</t>
  </si>
  <si>
    <t>AXE_DP_FD_10_2400_GS</t>
  </si>
  <si>
    <t>SOL-6092</t>
  </si>
  <si>
    <t>Wind Deflector Plate, Chromadek, Framed, 2000mm, 15deg</t>
  </si>
  <si>
    <t>AXE_DP_FD_15_2000_GS</t>
  </si>
  <si>
    <t>SOL-6093</t>
  </si>
  <si>
    <t>Wind Deflector Plate, Chromadek, Framed, 2100mm, 15deg</t>
  </si>
  <si>
    <t>AXE_DP_FD_15_2100_GS</t>
  </si>
  <si>
    <t>SOL-6094</t>
  </si>
  <si>
    <t>Wind Deflector Plate, Chromadek, Framed, 2200mm, 15deg</t>
  </si>
  <si>
    <t>AXE_DP_FD_15_2200_GS</t>
  </si>
  <si>
    <t>SOL-6095</t>
  </si>
  <si>
    <t>Wind Deflector Plate, Chromadek, Framed, 2300mm, 15deg</t>
  </si>
  <si>
    <t>AXE_DP_FD_15_2300_GS</t>
  </si>
  <si>
    <t>SOL-6096</t>
  </si>
  <si>
    <t>Wind Deflector Plate, Chromadek, Framed, 2400mm, 15deg</t>
  </si>
  <si>
    <t>AXE_DP_FD_15_2400_GS</t>
  </si>
  <si>
    <t>Wind Deflector Plate, Chromadek, Frameless, 2000mm, 10deg</t>
  </si>
  <si>
    <t>AXE_DP_FL_10_2000_GS</t>
  </si>
  <si>
    <t>Wind Deflector Plate, Chromadek, Frameless, 2100mm, 10deg</t>
  </si>
  <si>
    <t>AXE_DP_FL_10_2100_GS</t>
  </si>
  <si>
    <t>Wind Deflector Plate, Chromadek, Frameless, 2200mm, 10deg</t>
  </si>
  <si>
    <t>AXE_DP_FL_10_2200_GS</t>
  </si>
  <si>
    <t>Wind Deflector Plate, Chromadek, Frameless, 2300mm, 10deg</t>
  </si>
  <si>
    <t>AXE_DP_FL_10_2300_GS</t>
  </si>
  <si>
    <t>Wind Deflector Plate, Chromadek, Frameless, 2400mm, 10deg</t>
  </si>
  <si>
    <t>AXE_DP_FL_10_2400_GS</t>
  </si>
  <si>
    <t>Wind Deflector Plate, Chromadek, Frameless, 2000mm, 15deg</t>
  </si>
  <si>
    <t>AXE_DP_FL_15_2000_GS</t>
  </si>
  <si>
    <t>Wind Deflector Plate, Chromadek, Frameless, 2100mm, 15deg</t>
  </si>
  <si>
    <t>AXE_DP_FL_15_2100_GS</t>
  </si>
  <si>
    <t>Wind Deflector Plate, Chromadek, Frameless, 2200mm, 15deg</t>
  </si>
  <si>
    <t>AXE_DP_FL_15_2200_GS</t>
  </si>
  <si>
    <t>Wind Deflector Plate, Chromadek, Frameless, 2300mm, 15deg</t>
  </si>
  <si>
    <t>AXE_DP_FL_15_2300_GS</t>
  </si>
  <si>
    <t>Wind Deflector Plate, Chromadek, Frameless, 2400mm, 15deg</t>
  </si>
  <si>
    <t>AXE_DP_FL_15_2400_GS</t>
  </si>
  <si>
    <t>SOL-59551</t>
  </si>
  <si>
    <t>Isolation Pad, Rubber Polymer, 112mm hole pitch</t>
  </si>
  <si>
    <t>AXE_ISO_112_PR</t>
  </si>
  <si>
    <t>SOL-6045</t>
  </si>
  <si>
    <t>Nut Stopper, Polypropylene Polymer, M10</t>
  </si>
  <si>
    <t>AXE_NST_10_PP</t>
  </si>
  <si>
    <t>SOL-5954</t>
  </si>
  <si>
    <t>Nut Stopper, Polypropylene Polymer, M8</t>
  </si>
  <si>
    <t>SOL-5952</t>
  </si>
  <si>
    <t>SOL-59531</t>
  </si>
  <si>
    <t>Bolt Hexagon, Stainless Steel, M8x20</t>
  </si>
  <si>
    <t>AXE_BH_8_20_SS</t>
  </si>
  <si>
    <t>SOL-59504</t>
  </si>
  <si>
    <t>Bolt Hexagon, Stainless Steel, M8x25</t>
  </si>
  <si>
    <t>SOL-580391</t>
  </si>
  <si>
    <t>Tile Hook Bracket, Stainless Steel, Horisontal</t>
  </si>
  <si>
    <t>SOL-58042</t>
  </si>
  <si>
    <t>Tile Hook Bracket, Stainless Steel, Vertical Sweep</t>
  </si>
  <si>
    <t>SOL-5800</t>
  </si>
  <si>
    <t>Cable Clip, Stainless Steel, Panel frame</t>
  </si>
  <si>
    <t>SOL-59502</t>
  </si>
  <si>
    <t>Cap Screws Hexagon, Stainless Steel, M8x16</t>
  </si>
  <si>
    <t>SOL-59506</t>
  </si>
  <si>
    <t>Cap Screws Hexagon, Stainless Steel, M8x20</t>
  </si>
  <si>
    <t>SOL-59501</t>
  </si>
  <si>
    <t>Cap Screws Hexagon, Stainless Steel, M8x25</t>
  </si>
  <si>
    <t>SOL-5950</t>
  </si>
  <si>
    <t>Cap Screws Hexagon, Stainless Steel, M8x30</t>
  </si>
  <si>
    <t>SOL-59505</t>
  </si>
  <si>
    <t>Cap Screws Hexagon, Stainless Steel, M8x35</t>
  </si>
  <si>
    <t>SOL-595021</t>
  </si>
  <si>
    <t>Cap Screws Hexagon, Stainless Steel, M8x40</t>
  </si>
  <si>
    <t>AXE_CS_8_40_SS</t>
  </si>
  <si>
    <t>SOL-59507</t>
  </si>
  <si>
    <t>Cap Screws Hexagon, Stainless Steel, M8x50</t>
  </si>
  <si>
    <t>AXE_CS_8_50_SS</t>
  </si>
  <si>
    <t>SOL-5810</t>
  </si>
  <si>
    <t>SOL-5979</t>
  </si>
  <si>
    <t>Hex Nut, Stainless Steel, M16</t>
  </si>
  <si>
    <t>AXE_NH_16_SS</t>
  </si>
  <si>
    <t>SOL-59530</t>
  </si>
  <si>
    <t>Hex Nut, Stainless Steel, M8</t>
  </si>
  <si>
    <t>SOL-5953</t>
  </si>
  <si>
    <t>Square Nut, Stainless Steel, M8</t>
  </si>
  <si>
    <t>SOL-59520</t>
  </si>
  <si>
    <t>Self Drilling Wood Screw, Stainless Steel, M6x80</t>
  </si>
  <si>
    <t>SOL-59511</t>
  </si>
  <si>
    <t>Fender Washer, Stainless Steel, M8</t>
  </si>
  <si>
    <t>SOL-595101</t>
  </si>
  <si>
    <t>Plain Washer, Stainless Steel, M8</t>
  </si>
  <si>
    <t>SOL-5951</t>
  </si>
  <si>
    <t>Spring Washer, Stainless Steel, M8</t>
  </si>
  <si>
    <t>SOL-5811</t>
  </si>
  <si>
    <t>Earthing Lug, Aluminium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</si>
</sst>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dd\/mm\/yyyy"/>
    <numFmt numFmtId="165" formatCode="[$R-1C09]#,##0.00"/>
    <numFmt numFmtId="166" formatCode="_(* #,##0.00_);_(* \(#,##0.00\);_(* &quot;-&quot;??_);_(@_)"/>
    <numFmt numFmtId="167" formatCode="0.0"/>
    <numFmt numFmtId="168" formatCode="#,##0.0"/>
    <numFmt numFmtId="169" formatCode="0.00000"/>
    <numFmt numFmtId="170" formatCode="0.000000"/>
    <numFmt numFmtId="171" formatCode="0.000"/>
  </numFmts>
  <fonts count="25" x14ac:knownFonts="1">
    <font>
      <sz val="10"/>
      <color theme="1"/>
      <name val="Yu Gothic Medium"/>
      <family val="2"/>
    </font>
    <font>
      <sz val="11"/>
      <color theme="1"/>
      <name val="Aptos Narrow"/>
      <family val="2"/>
      <scheme val="minor"/>
    </font>
    <font>
      <sz val="9"/>
      <color theme="1"/>
      <name val="Yu Gothic"/>
      <family val="2"/>
    </font>
    <font>
      <sz val="7"/>
      <color theme="1"/>
      <name val="Yu Gothic"/>
      <family val="2"/>
    </font>
    <font>
      <sz val="14"/>
      <color theme="1"/>
      <name val="Yu Gothic"/>
      <family val="2"/>
    </font>
    <font>
      <b/>
      <sz val="9"/>
      <color theme="1"/>
      <name val="Yu Gothic"/>
      <family val="2"/>
    </font>
    <font>
      <b/>
      <u/>
      <sz val="9"/>
      <color theme="1"/>
      <name val="Yu Gothic"/>
      <family val="2"/>
    </font>
    <font>
      <sz val="6"/>
      <color theme="1"/>
      <name val="Yu Gothic"/>
      <family val="2"/>
    </font>
    <font>
      <b/>
      <sz val="7"/>
      <color theme="1"/>
      <name val="Yu Gothic"/>
      <family val="2"/>
    </font>
    <font>
      <sz val="16"/>
      <color theme="1"/>
      <name val="Yu Gothic"/>
      <family val="2"/>
    </font>
    <font>
      <sz val="8"/>
      <color theme="1"/>
      <name val="Yu Gothic"/>
      <family val="2"/>
    </font>
    <font>
      <sz val="11"/>
      <color theme="1"/>
      <name val="Aptos Display"/>
      <family val="2"/>
      <scheme val="major"/>
    </font>
    <font>
      <sz val="10"/>
      <color theme="1"/>
      <name val="Yu Gothic"/>
      <family val="2"/>
    </font>
    <font>
      <sz val="9"/>
      <color theme="1"/>
      <name val="Calibri"/>
      <family val="2"/>
    </font>
    <font>
      <b/>
      <sz val="8"/>
      <color theme="1"/>
      <name val="Yu Gothic"/>
      <family val="2"/>
    </font>
    <font>
      <b/>
      <sz val="6"/>
      <color theme="1"/>
      <name val="Yu Gothic"/>
      <family val="2"/>
    </font>
    <font>
      <i/>
      <sz val="9"/>
      <color theme="1"/>
      <name val="Yu Gothic"/>
      <family val="2"/>
    </font>
    <font>
      <sz val="5"/>
      <color theme="1"/>
      <name val="Yu Gothic"/>
      <family val="2"/>
    </font>
    <font>
      <b/>
      <sz val="5"/>
      <color theme="1"/>
      <name val="Yu Gothic"/>
      <family val="2"/>
    </font>
    <font>
      <sz val="7"/>
      <name val="Yu Gothic"/>
      <family val="2"/>
    </font>
    <font>
      <sz val="9"/>
      <name val="Yu Gothic"/>
      <family val="2"/>
    </font>
    <font>
      <sz val="4"/>
      <color theme="1"/>
      <name val="Yu Gothic"/>
      <family val="2"/>
    </font>
    <font>
      <sz val="10"/>
      <name val="Yu Gothic Medium"/>
      <family val="2"/>
    </font>
    <font>
      <sz val="6"/>
      <name val="Yu Gothic"/>
      <family val="2"/>
    </font>
    <font>
      <b/>
      <sz val="9"/>
      <name val="Yu Gothic"/>
      <family val="2"/>
    </font>
  </fonts>
  <fills count="7">
    <fill>
      <patternFill patternType="none"/>
    </fill>
    <fill>
      <patternFill patternType="gray125"/>
    </fill>
    <fill>
      <patternFill patternType="solid">
        <fgColor theme="0"/>
        <bgColor indexed="64"/>
      </patternFill>
    </fill>
    <fill>
      <patternFill patternType="solid">
        <fgColor rgb="FFFFAA06"/>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0.499984740745262"/>
        <bgColor indexed="64"/>
      </patternFill>
    </fill>
  </fills>
  <borders count="11">
    <border>
      <left/>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1" fillId="0" borderId="0"/>
    <xf numFmtId="166" fontId="1" fillId="0" borderId="0" applyFont="0" applyFill="0" applyBorder="0" applyAlignment="0" applyProtection="0"/>
    <xf numFmtId="9" fontId="1" fillId="0" borderId="0" applyFont="0" applyFill="0" applyBorder="0" applyAlignment="0" applyProtection="0"/>
  </cellStyleXfs>
  <cellXfs count="572">
    <xf numFmtId="0" fontId="0" fillId="0" borderId="0" xfId="0"/>
    <xf numFmtId="49" fontId="2" fillId="2" borderId="0" xfId="1" applyNumberFormat="1" applyFont="1" applyFill="1" applyAlignment="1" applyProtection="1">
      <alignment horizontal="left" vertical="center"/>
      <protection hidden="1"/>
    </xf>
    <xf numFmtId="49" fontId="2" fillId="2" borderId="0" xfId="1" applyNumberFormat="1" applyFont="1" applyFill="1" applyAlignment="1" applyProtection="1">
      <alignment horizontal="center" vertical="center"/>
      <protection hidden="1"/>
    </xf>
    <xf numFmtId="49" fontId="2" fillId="0" borderId="0" xfId="1" applyNumberFormat="1" applyFont="1" applyAlignment="1" applyProtection="1">
      <alignment horizontal="left" vertical="center"/>
      <protection hidden="1"/>
    </xf>
    <xf numFmtId="49" fontId="7" fillId="0" borderId="0" xfId="1" applyNumberFormat="1" applyFont="1" applyAlignment="1" applyProtection="1">
      <alignment horizontal="center" vertical="center"/>
      <protection hidden="1"/>
    </xf>
    <xf numFmtId="49" fontId="2" fillId="0" borderId="0" xfId="1" applyNumberFormat="1" applyFont="1" applyAlignment="1" applyProtection="1">
      <alignment vertical="center"/>
      <protection hidden="1"/>
    </xf>
    <xf numFmtId="2" fontId="2" fillId="2" borderId="0" xfId="1" applyNumberFormat="1" applyFont="1" applyFill="1" applyAlignment="1" applyProtection="1">
      <alignment horizontal="left" vertical="center"/>
      <protection hidden="1"/>
    </xf>
    <xf numFmtId="1" fontId="2" fillId="2" borderId="0" xfId="1" applyNumberFormat="1" applyFont="1" applyFill="1" applyAlignment="1" applyProtection="1">
      <alignment horizontal="center" vertical="center"/>
      <protection hidden="1"/>
    </xf>
    <xf numFmtId="165" fontId="2" fillId="2" borderId="0" xfId="1" applyNumberFormat="1" applyFont="1" applyFill="1" applyAlignment="1" applyProtection="1">
      <alignment horizontal="right" vertical="center"/>
      <protection hidden="1"/>
    </xf>
    <xf numFmtId="2" fontId="2" fillId="2" borderId="0" xfId="1" applyNumberFormat="1" applyFont="1" applyFill="1" applyAlignment="1" applyProtection="1">
      <alignment vertical="center"/>
      <protection hidden="1"/>
    </xf>
    <xf numFmtId="49" fontId="7" fillId="2" borderId="0" xfId="1" applyNumberFormat="1" applyFont="1" applyFill="1" applyAlignment="1" applyProtection="1">
      <alignment horizontal="left" vertical="center"/>
      <protection hidden="1"/>
    </xf>
    <xf numFmtId="49" fontId="7" fillId="2" borderId="0" xfId="1" applyNumberFormat="1" applyFont="1" applyFill="1" applyAlignment="1" applyProtection="1">
      <alignment horizontal="center" vertical="center"/>
      <protection hidden="1"/>
    </xf>
    <xf numFmtId="49" fontId="7" fillId="2" borderId="0" xfId="1" applyNumberFormat="1" applyFont="1" applyFill="1" applyAlignment="1" applyProtection="1">
      <alignment vertical="center"/>
      <protection hidden="1"/>
    </xf>
    <xf numFmtId="2" fontId="7" fillId="2" borderId="0" xfId="1" applyNumberFormat="1" applyFont="1" applyFill="1" applyAlignment="1" applyProtection="1">
      <alignment horizontal="left" vertical="center"/>
      <protection hidden="1"/>
    </xf>
    <xf numFmtId="1" fontId="7" fillId="2" borderId="0" xfId="1" applyNumberFormat="1" applyFont="1" applyFill="1" applyAlignment="1" applyProtection="1">
      <alignment horizontal="center" vertical="center"/>
      <protection hidden="1"/>
    </xf>
    <xf numFmtId="165" fontId="7" fillId="2" borderId="0" xfId="1" applyNumberFormat="1" applyFont="1" applyFill="1" applyAlignment="1" applyProtection="1">
      <alignment horizontal="right" vertical="center"/>
      <protection hidden="1"/>
    </xf>
    <xf numFmtId="2" fontId="2" fillId="2" borderId="0" xfId="2" applyNumberFormat="1" applyFont="1" applyFill="1" applyBorder="1" applyAlignment="1" applyProtection="1">
      <alignment vertical="center"/>
      <protection hidden="1"/>
    </xf>
    <xf numFmtId="49" fontId="7" fillId="0" borderId="0" xfId="1" applyNumberFormat="1" applyFont="1" applyAlignment="1" applyProtection="1">
      <alignment horizontal="left" vertical="center"/>
      <protection hidden="1"/>
    </xf>
    <xf numFmtId="165" fontId="2" fillId="2" borderId="0" xfId="1" applyNumberFormat="1" applyFont="1" applyFill="1" applyAlignment="1" applyProtection="1">
      <alignment vertical="center"/>
      <protection hidden="1"/>
    </xf>
    <xf numFmtId="165" fontId="7" fillId="2" borderId="0" xfId="1" applyNumberFormat="1" applyFont="1" applyFill="1" applyAlignment="1" applyProtection="1">
      <alignment vertical="center"/>
      <protection hidden="1"/>
    </xf>
    <xf numFmtId="49" fontId="2" fillId="2" borderId="0" xfId="1" applyNumberFormat="1" applyFont="1" applyFill="1" applyAlignment="1" applyProtection="1">
      <alignment vertical="center"/>
      <protection hidden="1"/>
    </xf>
    <xf numFmtId="1" fontId="2" fillId="2" borderId="0" xfId="1" applyNumberFormat="1" applyFont="1" applyFill="1" applyAlignment="1" applyProtection="1">
      <alignment horizontal="left" vertical="center"/>
      <protection hidden="1"/>
    </xf>
    <xf numFmtId="1" fontId="2" fillId="2" borderId="0" xfId="1" applyNumberFormat="1" applyFont="1" applyFill="1" applyAlignment="1" applyProtection="1">
      <alignment vertical="center"/>
      <protection hidden="1"/>
    </xf>
    <xf numFmtId="49" fontId="10" fillId="2" borderId="0" xfId="1" applyNumberFormat="1" applyFont="1" applyFill="1" applyAlignment="1" applyProtection="1">
      <alignment vertical="center" wrapText="1"/>
      <protection hidden="1"/>
    </xf>
    <xf numFmtId="49" fontId="2" fillId="0" borderId="0" xfId="1" applyNumberFormat="1" applyFont="1" applyAlignment="1">
      <alignment horizontal="left" vertical="center"/>
    </xf>
    <xf numFmtId="49" fontId="2" fillId="0" borderId="0" xfId="1" applyNumberFormat="1" applyFont="1" applyAlignment="1">
      <alignment vertical="center"/>
    </xf>
    <xf numFmtId="0" fontId="11" fillId="0" borderId="0" xfId="1" applyFont="1"/>
    <xf numFmtId="2" fontId="2" fillId="0" borderId="0" xfId="1" quotePrefix="1" applyNumberFormat="1" applyFont="1" applyAlignment="1">
      <alignment vertical="center"/>
    </xf>
    <xf numFmtId="165" fontId="12" fillId="0" borderId="0" xfId="1" applyNumberFormat="1" applyFont="1" applyAlignment="1">
      <alignment vertical="center"/>
    </xf>
    <xf numFmtId="49" fontId="2" fillId="3" borderId="2" xfId="1" applyNumberFormat="1" applyFont="1" applyFill="1" applyBorder="1" applyAlignment="1">
      <alignment horizontal="left" vertical="center"/>
    </xf>
    <xf numFmtId="49" fontId="2" fillId="3" borderId="3" xfId="1" applyNumberFormat="1" applyFont="1" applyFill="1" applyBorder="1" applyAlignment="1">
      <alignment horizontal="left" vertical="center"/>
    </xf>
    <xf numFmtId="49" fontId="2" fillId="3" borderId="4" xfId="1" applyNumberFormat="1" applyFont="1" applyFill="1" applyBorder="1" applyAlignment="1">
      <alignment horizontal="left" vertical="center"/>
    </xf>
    <xf numFmtId="49" fontId="2" fillId="3" borderId="1" xfId="1" applyNumberFormat="1" applyFont="1" applyFill="1" applyBorder="1" applyAlignment="1">
      <alignment horizontal="left" vertical="center"/>
    </xf>
    <xf numFmtId="49" fontId="2" fillId="3" borderId="0" xfId="1" applyNumberFormat="1" applyFont="1" applyFill="1" applyAlignment="1">
      <alignment horizontal="left" vertical="center"/>
    </xf>
    <xf numFmtId="49" fontId="2" fillId="3" borderId="5" xfId="1" applyNumberFormat="1" applyFont="1" applyFill="1" applyBorder="1" applyAlignment="1">
      <alignment horizontal="left" vertical="center"/>
    </xf>
    <xf numFmtId="49" fontId="2" fillId="3" borderId="6" xfId="1" applyNumberFormat="1" applyFont="1" applyFill="1" applyBorder="1" applyAlignment="1">
      <alignment horizontal="left" vertical="center"/>
    </xf>
    <xf numFmtId="49" fontId="2" fillId="3" borderId="7" xfId="1" applyNumberFormat="1" applyFont="1" applyFill="1" applyBorder="1" applyAlignment="1">
      <alignment horizontal="left" vertical="center"/>
    </xf>
    <xf numFmtId="49" fontId="2" fillId="3" borderId="8" xfId="1" applyNumberFormat="1" applyFont="1" applyFill="1" applyBorder="1" applyAlignment="1">
      <alignment horizontal="left" vertical="center"/>
    </xf>
    <xf numFmtId="49" fontId="2" fillId="0" borderId="2" xfId="1" applyNumberFormat="1" applyFont="1" applyBorder="1" applyAlignment="1">
      <alignment horizontal="left" vertical="center"/>
    </xf>
    <xf numFmtId="49" fontId="2" fillId="0" borderId="3" xfId="1" applyNumberFormat="1" applyFont="1" applyBorder="1" applyAlignment="1">
      <alignment horizontal="left" vertical="center"/>
    </xf>
    <xf numFmtId="49" fontId="2" fillId="0" borderId="4" xfId="1" applyNumberFormat="1" applyFont="1" applyBorder="1" applyAlignment="1">
      <alignment horizontal="left" vertical="center"/>
    </xf>
    <xf numFmtId="49" fontId="2" fillId="0" borderId="5" xfId="1" applyNumberFormat="1" applyFont="1" applyBorder="1" applyAlignment="1">
      <alignment horizontal="left" vertical="center"/>
    </xf>
    <xf numFmtId="49" fontId="2" fillId="0" borderId="1" xfId="1" applyNumberFormat="1" applyFont="1" applyBorder="1" applyAlignment="1">
      <alignment horizontal="left" vertical="center"/>
    </xf>
    <xf numFmtId="1" fontId="2" fillId="0" borderId="0" xfId="1" applyNumberFormat="1" applyFont="1" applyAlignment="1">
      <alignment horizontal="left" vertical="center"/>
    </xf>
    <xf numFmtId="49" fontId="2" fillId="0" borderId="5" xfId="1" applyNumberFormat="1" applyFont="1" applyBorder="1" applyAlignment="1">
      <alignment vertical="center"/>
    </xf>
    <xf numFmtId="0" fontId="2" fillId="0" borderId="0" xfId="1" applyFont="1" applyAlignment="1">
      <alignment horizontal="left" vertical="center"/>
    </xf>
    <xf numFmtId="2" fontId="2" fillId="0" borderId="0" xfId="1" applyNumberFormat="1" applyFont="1" applyAlignment="1">
      <alignment vertical="center"/>
    </xf>
    <xf numFmtId="2" fontId="2" fillId="0" borderId="5" xfId="1" applyNumberFormat="1" applyFont="1" applyBorder="1" applyAlignment="1">
      <alignment vertical="center"/>
    </xf>
    <xf numFmtId="49" fontId="2" fillId="4" borderId="0" xfId="1" applyNumberFormat="1" applyFont="1" applyFill="1" applyAlignment="1">
      <alignment horizontal="left" vertical="center"/>
    </xf>
    <xf numFmtId="2" fontId="2" fillId="0" borderId="0" xfId="1" applyNumberFormat="1" applyFont="1" applyAlignment="1">
      <alignment horizontal="left" vertical="center"/>
    </xf>
    <xf numFmtId="49" fontId="2" fillId="0" borderId="6" xfId="1" applyNumberFormat="1" applyFont="1" applyBorder="1" applyAlignment="1">
      <alignment horizontal="left" vertical="center"/>
    </xf>
    <xf numFmtId="49" fontId="2" fillId="0" borderId="7" xfId="1" applyNumberFormat="1" applyFont="1" applyBorder="1" applyAlignment="1">
      <alignment horizontal="left" vertical="center"/>
    </xf>
    <xf numFmtId="49" fontId="2" fillId="0" borderId="8" xfId="1" applyNumberFormat="1" applyFont="1" applyBorder="1" applyAlignment="1">
      <alignment horizontal="left" vertical="center"/>
    </xf>
    <xf numFmtId="0" fontId="13" fillId="0" borderId="9" xfId="1" applyFont="1" applyBorder="1" applyProtection="1">
      <protection hidden="1"/>
    </xf>
    <xf numFmtId="0" fontId="13" fillId="4" borderId="9" xfId="1" applyFont="1" applyFill="1" applyBorder="1" applyProtection="1">
      <protection hidden="1"/>
    </xf>
    <xf numFmtId="49" fontId="2" fillId="0" borderId="0" xfId="1" applyNumberFormat="1" applyFont="1" applyAlignment="1">
      <alignment horizontal="center" vertical="center"/>
    </xf>
    <xf numFmtId="49" fontId="3" fillId="0" borderId="0" xfId="1" applyNumberFormat="1" applyFont="1" applyAlignment="1">
      <alignment horizontal="left" vertical="center"/>
    </xf>
    <xf numFmtId="49" fontId="2" fillId="0" borderId="7" xfId="1" applyNumberFormat="1" applyFont="1" applyBorder="1" applyAlignment="1">
      <alignment horizontal="center" vertical="center"/>
    </xf>
    <xf numFmtId="49" fontId="2" fillId="5" borderId="2" xfId="1" applyNumberFormat="1" applyFont="1" applyFill="1" applyBorder="1" applyAlignment="1">
      <alignment horizontal="left" vertical="center"/>
    </xf>
    <xf numFmtId="49" fontId="2" fillId="5" borderId="3" xfId="1" applyNumberFormat="1" applyFont="1" applyFill="1" applyBorder="1" applyAlignment="1">
      <alignment horizontal="left" vertical="center"/>
    </xf>
    <xf numFmtId="49" fontId="2" fillId="5" borderId="4" xfId="1" applyNumberFormat="1" applyFont="1" applyFill="1" applyBorder="1" applyAlignment="1">
      <alignment horizontal="left" vertical="center"/>
    </xf>
    <xf numFmtId="49" fontId="2" fillId="5" borderId="1" xfId="1" applyNumberFormat="1" applyFont="1" applyFill="1" applyBorder="1" applyAlignment="1">
      <alignment horizontal="left" vertical="center"/>
    </xf>
    <xf numFmtId="49" fontId="2" fillId="5" borderId="0" xfId="1" applyNumberFormat="1" applyFont="1" applyFill="1" applyAlignment="1">
      <alignment horizontal="left" vertical="center"/>
    </xf>
    <xf numFmtId="49" fontId="2" fillId="5" borderId="5" xfId="1" applyNumberFormat="1" applyFont="1" applyFill="1" applyBorder="1" applyAlignment="1">
      <alignment horizontal="left" vertical="center"/>
    </xf>
    <xf numFmtId="49" fontId="2" fillId="5" borderId="6" xfId="1" applyNumberFormat="1" applyFont="1" applyFill="1" applyBorder="1" applyAlignment="1">
      <alignment horizontal="left" vertical="center"/>
    </xf>
    <xf numFmtId="49" fontId="2" fillId="5" borderId="7" xfId="1" applyNumberFormat="1" applyFont="1" applyFill="1" applyBorder="1" applyAlignment="1">
      <alignment horizontal="left" vertical="center"/>
    </xf>
    <xf numFmtId="49" fontId="2" fillId="5" borderId="8" xfId="1" applyNumberFormat="1" applyFont="1" applyFill="1" applyBorder="1" applyAlignment="1">
      <alignment horizontal="left" vertical="center"/>
    </xf>
    <xf numFmtId="49" fontId="2" fillId="6" borderId="2" xfId="1" applyNumberFormat="1" applyFont="1" applyFill="1" applyBorder="1" applyAlignment="1">
      <alignment horizontal="left" vertical="center"/>
    </xf>
    <xf numFmtId="49" fontId="2" fillId="6" borderId="3" xfId="1" applyNumberFormat="1" applyFont="1" applyFill="1" applyBorder="1" applyAlignment="1">
      <alignment horizontal="left" vertical="center"/>
    </xf>
    <xf numFmtId="49" fontId="2" fillId="6" borderId="4" xfId="1" applyNumberFormat="1" applyFont="1" applyFill="1" applyBorder="1" applyAlignment="1">
      <alignment horizontal="left" vertical="center"/>
    </xf>
    <xf numFmtId="49" fontId="2" fillId="6" borderId="1" xfId="1" applyNumberFormat="1" applyFont="1" applyFill="1" applyBorder="1" applyAlignment="1">
      <alignment horizontal="left" vertical="center"/>
    </xf>
    <xf numFmtId="49" fontId="2" fillId="6" borderId="5" xfId="1" applyNumberFormat="1" applyFont="1" applyFill="1" applyBorder="1" applyAlignment="1">
      <alignment horizontal="left" vertical="center"/>
    </xf>
    <xf numFmtId="49" fontId="2" fillId="6" borderId="6" xfId="1" applyNumberFormat="1" applyFont="1" applyFill="1" applyBorder="1" applyAlignment="1">
      <alignment horizontal="left" vertical="center"/>
    </xf>
    <xf numFmtId="49" fontId="2" fillId="6" borderId="7" xfId="1" applyNumberFormat="1" applyFont="1" applyFill="1" applyBorder="1" applyAlignment="1">
      <alignment horizontal="left" vertical="center"/>
    </xf>
    <xf numFmtId="49" fontId="2" fillId="6" borderId="8" xfId="1" applyNumberFormat="1" applyFont="1" applyFill="1" applyBorder="1" applyAlignment="1">
      <alignment horizontal="left" vertical="center"/>
    </xf>
    <xf numFmtId="1" fontId="2" fillId="0" borderId="0" xfId="1" applyNumberFormat="1" applyFont="1" applyAlignment="1">
      <alignment horizontal="center" vertical="center"/>
    </xf>
    <xf numFmtId="1" fontId="2" fillId="0" borderId="4" xfId="1" applyNumberFormat="1" applyFont="1" applyBorder="1" applyAlignment="1">
      <alignment horizontal="left" vertical="center"/>
    </xf>
    <xf numFmtId="165" fontId="2" fillId="0" borderId="3" xfId="1" applyNumberFormat="1" applyFont="1" applyBorder="1" applyAlignment="1">
      <alignment vertical="center"/>
    </xf>
    <xf numFmtId="1" fontId="2" fillId="0" borderId="5" xfId="1" applyNumberFormat="1" applyFont="1" applyBorder="1" applyAlignment="1">
      <alignment horizontal="left" vertical="center"/>
    </xf>
    <xf numFmtId="165" fontId="2" fillId="0" borderId="0" xfId="1" applyNumberFormat="1" applyFont="1" applyAlignment="1">
      <alignment vertical="center"/>
    </xf>
    <xf numFmtId="165" fontId="3" fillId="5" borderId="1" xfId="1" applyNumberFormat="1" applyFont="1" applyFill="1" applyBorder="1" applyAlignment="1">
      <alignment vertical="center" wrapText="1"/>
    </xf>
    <xf numFmtId="165" fontId="2" fillId="0" borderId="2" xfId="1" applyNumberFormat="1" applyFont="1" applyBorder="1" applyAlignment="1">
      <alignment vertical="center"/>
    </xf>
    <xf numFmtId="165" fontId="3" fillId="5" borderId="2" xfId="1" applyNumberFormat="1" applyFont="1" applyFill="1" applyBorder="1" applyAlignment="1">
      <alignment vertical="center" wrapText="1"/>
    </xf>
    <xf numFmtId="165" fontId="3" fillId="5" borderId="6" xfId="1" applyNumberFormat="1" applyFont="1" applyFill="1" applyBorder="1" applyAlignment="1">
      <alignment vertical="center" wrapText="1"/>
    </xf>
    <xf numFmtId="1" fontId="2" fillId="0" borderId="7" xfId="1" applyNumberFormat="1" applyFont="1" applyBorder="1" applyAlignment="1">
      <alignment horizontal="left" vertical="center"/>
    </xf>
    <xf numFmtId="1" fontId="2" fillId="0" borderId="8" xfId="1" applyNumberFormat="1" applyFont="1" applyBorder="1" applyAlignment="1">
      <alignment horizontal="left" vertical="center"/>
    </xf>
    <xf numFmtId="49" fontId="3" fillId="0" borderId="3" xfId="1" applyNumberFormat="1" applyFont="1" applyBorder="1" applyAlignment="1">
      <alignment vertical="center" wrapText="1"/>
    </xf>
    <xf numFmtId="165" fontId="3" fillId="0" borderId="3" xfId="1" applyNumberFormat="1" applyFont="1" applyBorder="1" applyAlignment="1">
      <alignment vertical="center" wrapText="1"/>
    </xf>
    <xf numFmtId="165" fontId="3" fillId="0" borderId="4" xfId="1" applyNumberFormat="1" applyFont="1" applyBorder="1" applyAlignment="1">
      <alignment vertical="center" wrapText="1"/>
    </xf>
    <xf numFmtId="49" fontId="2" fillId="0" borderId="3" xfId="1" applyNumberFormat="1" applyFont="1" applyBorder="1" applyAlignment="1">
      <alignment vertical="center"/>
    </xf>
    <xf numFmtId="1" fontId="2" fillId="0" borderId="2" xfId="1" applyNumberFormat="1" applyFont="1" applyBorder="1" applyAlignment="1">
      <alignment horizontal="center" vertical="center"/>
    </xf>
    <xf numFmtId="1" fontId="2" fillId="0" borderId="3" xfId="1" applyNumberFormat="1" applyFont="1" applyBorder="1" applyAlignment="1">
      <alignment horizontal="center" vertical="center"/>
    </xf>
    <xf numFmtId="1" fontId="2" fillId="0" borderId="4" xfId="1" applyNumberFormat="1" applyFont="1" applyBorder="1" applyAlignment="1">
      <alignment horizontal="center" vertical="center"/>
    </xf>
    <xf numFmtId="1" fontId="2" fillId="0" borderId="6" xfId="1" applyNumberFormat="1" applyFont="1" applyBorder="1" applyAlignment="1">
      <alignment horizontal="center" vertical="center"/>
    </xf>
    <xf numFmtId="1" fontId="2" fillId="0" borderId="7" xfId="1" applyNumberFormat="1" applyFont="1" applyBorder="1" applyAlignment="1">
      <alignment horizontal="center" vertical="center"/>
    </xf>
    <xf numFmtId="1" fontId="2" fillId="0" borderId="8" xfId="1" applyNumberFormat="1" applyFont="1" applyBorder="1" applyAlignment="1">
      <alignment horizontal="center" vertical="center"/>
    </xf>
    <xf numFmtId="49" fontId="2" fillId="5" borderId="7" xfId="1" applyNumberFormat="1" applyFont="1" applyFill="1" applyBorder="1" applyAlignment="1">
      <alignment vertical="center"/>
    </xf>
    <xf numFmtId="49" fontId="2" fillId="0" borderId="7" xfId="1" applyNumberFormat="1" applyFont="1" applyBorder="1" applyAlignment="1">
      <alignment vertical="center"/>
    </xf>
    <xf numFmtId="49" fontId="2" fillId="0" borderId="8" xfId="1" applyNumberFormat="1" applyFont="1" applyBorder="1" applyAlignment="1">
      <alignment vertical="center"/>
    </xf>
    <xf numFmtId="49" fontId="3" fillId="0" borderId="7" xfId="1" applyNumberFormat="1" applyFont="1" applyBorder="1" applyAlignment="1">
      <alignment vertical="center" wrapText="1"/>
    </xf>
    <xf numFmtId="165" fontId="3" fillId="0" borderId="7" xfId="1" applyNumberFormat="1" applyFont="1" applyBorder="1" applyAlignment="1">
      <alignment vertical="center" wrapText="1"/>
    </xf>
    <xf numFmtId="165" fontId="3" fillId="0" borderId="8" xfId="1" applyNumberFormat="1" applyFont="1" applyBorder="1" applyAlignment="1">
      <alignment vertical="center" wrapText="1"/>
    </xf>
    <xf numFmtId="49" fontId="16" fillId="0" borderId="6" xfId="1" applyNumberFormat="1" applyFont="1" applyBorder="1" applyAlignment="1">
      <alignment vertical="center"/>
    </xf>
    <xf numFmtId="49" fontId="16" fillId="0" borderId="7" xfId="1" applyNumberFormat="1" applyFont="1" applyBorder="1" applyAlignment="1">
      <alignment vertical="center"/>
    </xf>
    <xf numFmtId="49" fontId="7" fillId="0" borderId="0" xfId="1" applyNumberFormat="1" applyFont="1" applyAlignment="1">
      <alignment vertical="center"/>
    </xf>
    <xf numFmtId="165" fontId="2" fillId="0" borderId="0" xfId="1" applyNumberFormat="1" applyFont="1" applyAlignment="1">
      <alignment horizontal="right" vertical="center"/>
    </xf>
    <xf numFmtId="2" fontId="2" fillId="3" borderId="1" xfId="1" applyNumberFormat="1" applyFont="1" applyFill="1" applyBorder="1" applyAlignment="1">
      <alignment horizontal="left" vertical="center"/>
    </xf>
    <xf numFmtId="1" fontId="3" fillId="0" borderId="5" xfId="1" applyNumberFormat="1" applyFont="1" applyBorder="1" applyAlignment="1">
      <alignment horizontal="center" vertical="center"/>
    </xf>
    <xf numFmtId="1" fontId="2" fillId="0" borderId="0" xfId="1" applyNumberFormat="1" applyFont="1" applyAlignment="1">
      <alignment vertical="center"/>
    </xf>
    <xf numFmtId="1" fontId="2" fillId="0" borderId="5" xfId="1" applyNumberFormat="1" applyFont="1" applyBorder="1" applyAlignment="1">
      <alignment horizontal="center" vertical="center"/>
    </xf>
    <xf numFmtId="2" fontId="2" fillId="0" borderId="5" xfId="1" applyNumberFormat="1" applyFont="1" applyBorder="1" applyAlignment="1">
      <alignment horizontal="left" vertical="center"/>
    </xf>
    <xf numFmtId="2" fontId="2" fillId="0" borderId="1" xfId="1" applyNumberFormat="1" applyFont="1" applyBorder="1" applyAlignment="1">
      <alignment vertical="center"/>
    </xf>
    <xf numFmtId="166" fontId="2" fillId="0" borderId="0" xfId="2" applyFont="1" applyBorder="1" applyAlignment="1">
      <alignment horizontal="center" vertical="center"/>
    </xf>
    <xf numFmtId="49" fontId="7" fillId="0" borderId="1" xfId="1" applyNumberFormat="1" applyFont="1" applyBorder="1" applyAlignment="1">
      <alignment horizontal="left" vertical="center"/>
    </xf>
    <xf numFmtId="49" fontId="7" fillId="0" borderId="0" xfId="1" applyNumberFormat="1" applyFont="1" applyAlignment="1">
      <alignment horizontal="center" vertical="center"/>
    </xf>
    <xf numFmtId="49" fontId="7" fillId="0" borderId="5" xfId="1" applyNumberFormat="1" applyFont="1" applyBorder="1" applyAlignment="1">
      <alignment horizontal="left" vertical="center"/>
    </xf>
    <xf numFmtId="2" fontId="7" fillId="0" borderId="0" xfId="1" applyNumberFormat="1" applyFont="1" applyAlignment="1">
      <alignment horizontal="left" vertical="center"/>
    </xf>
    <xf numFmtId="49" fontId="7" fillId="0" borderId="0" xfId="1" applyNumberFormat="1" applyFont="1" applyAlignment="1">
      <alignment horizontal="left" vertical="center"/>
    </xf>
    <xf numFmtId="1" fontId="7" fillId="0" borderId="0" xfId="1" applyNumberFormat="1" applyFont="1" applyAlignment="1">
      <alignment horizontal="center" vertical="center"/>
    </xf>
    <xf numFmtId="166" fontId="2" fillId="0" borderId="0" xfId="2" applyFont="1" applyBorder="1" applyAlignment="1">
      <alignment vertical="center"/>
    </xf>
    <xf numFmtId="2" fontId="3" fillId="0" borderId="0" xfId="1" applyNumberFormat="1" applyFont="1" applyAlignment="1">
      <alignment horizontal="left" vertical="center"/>
    </xf>
    <xf numFmtId="2" fontId="3" fillId="0" borderId="5" xfId="1" applyNumberFormat="1" applyFont="1" applyBorder="1" applyAlignment="1">
      <alignment horizontal="left" vertical="center"/>
    </xf>
    <xf numFmtId="1" fontId="17" fillId="0" borderId="0" xfId="1" applyNumberFormat="1" applyFont="1" applyAlignment="1">
      <alignment vertical="center"/>
    </xf>
    <xf numFmtId="1" fontId="17" fillId="0" borderId="0" xfId="1" applyNumberFormat="1" applyFont="1" applyAlignment="1">
      <alignment horizontal="left" vertical="center"/>
    </xf>
    <xf numFmtId="165" fontId="2" fillId="0" borderId="5" xfId="1" applyNumberFormat="1" applyFont="1" applyBorder="1" applyAlignment="1">
      <alignment vertical="center"/>
    </xf>
    <xf numFmtId="165" fontId="7" fillId="0" borderId="5" xfId="1" applyNumberFormat="1" applyFont="1" applyBorder="1" applyAlignment="1">
      <alignment vertical="center"/>
    </xf>
    <xf numFmtId="49" fontId="3" fillId="0" borderId="5" xfId="1" applyNumberFormat="1" applyFont="1" applyBorder="1" applyAlignment="1">
      <alignment horizontal="left" vertical="center"/>
    </xf>
    <xf numFmtId="1" fontId="5" fillId="0" borderId="0" xfId="1" applyNumberFormat="1" applyFont="1" applyAlignment="1">
      <alignment horizontal="center" vertical="center"/>
    </xf>
    <xf numFmtId="2" fontId="2" fillId="0" borderId="1" xfId="1" applyNumberFormat="1" applyFont="1" applyBorder="1" applyAlignment="1">
      <alignment horizontal="center" vertical="center"/>
    </xf>
    <xf numFmtId="166" fontId="5" fillId="0" borderId="0" xfId="2" applyFont="1" applyBorder="1" applyAlignment="1">
      <alignment horizontal="right" vertical="center"/>
    </xf>
    <xf numFmtId="2" fontId="2" fillId="0" borderId="0" xfId="1" applyNumberFormat="1" applyFont="1" applyAlignment="1">
      <alignment horizontal="center" vertical="center"/>
    </xf>
    <xf numFmtId="166" fontId="2" fillId="0" borderId="0" xfId="2" applyFont="1" applyBorder="1" applyAlignment="1">
      <alignment horizontal="right" vertical="center"/>
    </xf>
    <xf numFmtId="49" fontId="3" fillId="0" borderId="7" xfId="1" applyNumberFormat="1" applyFont="1" applyBorder="1" applyAlignment="1">
      <alignment horizontal="left" vertical="center"/>
    </xf>
    <xf numFmtId="49" fontId="7" fillId="0" borderId="8" xfId="1" applyNumberFormat="1" applyFont="1" applyBorder="1" applyAlignment="1">
      <alignment horizontal="left" vertical="center"/>
    </xf>
    <xf numFmtId="1" fontId="2" fillId="0" borderId="7" xfId="1" applyNumberFormat="1" applyFont="1" applyBorder="1" applyAlignment="1">
      <alignment vertical="center"/>
    </xf>
    <xf numFmtId="165" fontId="2" fillId="0" borderId="7" xfId="1" applyNumberFormat="1" applyFont="1" applyBorder="1" applyAlignment="1">
      <alignment vertical="center"/>
    </xf>
    <xf numFmtId="2" fontId="3" fillId="0" borderId="0" xfId="1" applyNumberFormat="1" applyFont="1" applyAlignment="1">
      <alignment horizontal="center" vertical="center"/>
    </xf>
    <xf numFmtId="1" fontId="2" fillId="5" borderId="2" xfId="1" applyNumberFormat="1" applyFont="1" applyFill="1" applyBorder="1" applyAlignment="1">
      <alignment vertical="center"/>
    </xf>
    <xf numFmtId="165" fontId="2" fillId="0" borderId="4" xfId="1" applyNumberFormat="1" applyFont="1" applyBorder="1" applyAlignment="1">
      <alignment vertical="center"/>
    </xf>
    <xf numFmtId="49" fontId="2" fillId="5" borderId="1" xfId="1" applyNumberFormat="1" applyFont="1" applyFill="1" applyBorder="1" applyAlignment="1">
      <alignment vertical="center"/>
    </xf>
    <xf numFmtId="49" fontId="3" fillId="0" borderId="3" xfId="1" applyNumberFormat="1" applyFont="1" applyBorder="1" applyAlignment="1">
      <alignment horizontal="left" vertical="center"/>
    </xf>
    <xf numFmtId="168" fontId="10" fillId="0" borderId="0" xfId="1" applyNumberFormat="1" applyFont="1" applyAlignment="1">
      <alignment vertical="center" wrapText="1"/>
    </xf>
    <xf numFmtId="1" fontId="2" fillId="5" borderId="1" xfId="1" applyNumberFormat="1" applyFont="1" applyFill="1" applyBorder="1" applyAlignment="1">
      <alignment vertical="center"/>
    </xf>
    <xf numFmtId="165" fontId="7" fillId="0" borderId="3" xfId="1" applyNumberFormat="1" applyFont="1" applyBorder="1" applyAlignment="1">
      <alignment vertical="center" wrapText="1"/>
    </xf>
    <xf numFmtId="165" fontId="7" fillId="0" borderId="4" xfId="1" applyNumberFormat="1" applyFont="1" applyBorder="1" applyAlignment="1">
      <alignment vertical="center" wrapText="1"/>
    </xf>
    <xf numFmtId="49" fontId="2" fillId="5" borderId="6" xfId="1" applyNumberFormat="1" applyFont="1" applyFill="1" applyBorder="1" applyAlignment="1">
      <alignment vertical="center"/>
    </xf>
    <xf numFmtId="165" fontId="7" fillId="0" borderId="7" xfId="1" applyNumberFormat="1" applyFont="1" applyBorder="1" applyAlignment="1">
      <alignment vertical="center" wrapText="1"/>
    </xf>
    <xf numFmtId="165" fontId="7" fillId="0" borderId="8" xfId="1" applyNumberFormat="1" applyFont="1" applyBorder="1" applyAlignment="1">
      <alignment vertical="center" wrapText="1"/>
    </xf>
    <xf numFmtId="49" fontId="2" fillId="5" borderId="3" xfId="1" applyNumberFormat="1" applyFont="1" applyFill="1" applyBorder="1" applyAlignment="1">
      <alignment vertical="center"/>
    </xf>
    <xf numFmtId="49" fontId="2" fillId="5" borderId="4" xfId="1" applyNumberFormat="1" applyFont="1" applyFill="1" applyBorder="1" applyAlignment="1">
      <alignment vertical="center"/>
    </xf>
    <xf numFmtId="165" fontId="2" fillId="5" borderId="4" xfId="1" applyNumberFormat="1" applyFont="1" applyFill="1" applyBorder="1" applyAlignment="1">
      <alignment vertical="center"/>
    </xf>
    <xf numFmtId="49" fontId="2" fillId="5" borderId="5" xfId="1" applyNumberFormat="1" applyFont="1" applyFill="1" applyBorder="1" applyAlignment="1">
      <alignment vertical="center"/>
    </xf>
    <xf numFmtId="165" fontId="2" fillId="5" borderId="5" xfId="1" applyNumberFormat="1" applyFont="1" applyFill="1" applyBorder="1" applyAlignment="1">
      <alignment vertical="center"/>
    </xf>
    <xf numFmtId="49" fontId="17" fillId="0" borderId="0" xfId="1" applyNumberFormat="1" applyFont="1" applyAlignment="1">
      <alignment horizontal="left" vertical="center"/>
    </xf>
    <xf numFmtId="49" fontId="17" fillId="0" borderId="0" xfId="1" applyNumberFormat="1" applyFont="1" applyAlignment="1">
      <alignment vertical="center"/>
    </xf>
    <xf numFmtId="165" fontId="17" fillId="0" borderId="0" xfId="1" applyNumberFormat="1" applyFont="1" applyAlignment="1">
      <alignment vertical="center"/>
    </xf>
    <xf numFmtId="49" fontId="2" fillId="5" borderId="8" xfId="1" applyNumberFormat="1" applyFont="1" applyFill="1" applyBorder="1" applyAlignment="1">
      <alignment vertical="center"/>
    </xf>
    <xf numFmtId="165" fontId="2" fillId="5" borderId="8" xfId="1" applyNumberFormat="1" applyFont="1" applyFill="1" applyBorder="1" applyAlignment="1">
      <alignment vertical="center"/>
    </xf>
    <xf numFmtId="165" fontId="2" fillId="0" borderId="8" xfId="1" applyNumberFormat="1" applyFont="1" applyBorder="1" applyAlignment="1">
      <alignment vertical="center"/>
    </xf>
    <xf numFmtId="49" fontId="2" fillId="5" borderId="0" xfId="1" applyNumberFormat="1" applyFont="1" applyFill="1" applyAlignment="1">
      <alignment vertical="center"/>
    </xf>
    <xf numFmtId="165" fontId="2" fillId="5" borderId="0" xfId="1" applyNumberFormat="1" applyFont="1" applyFill="1" applyAlignment="1">
      <alignment vertical="center"/>
    </xf>
    <xf numFmtId="165" fontId="5" fillId="0" borderId="6" xfId="1" applyNumberFormat="1" applyFont="1" applyBorder="1" applyAlignment="1">
      <alignment vertical="center"/>
    </xf>
    <xf numFmtId="165" fontId="5" fillId="0" borderId="7" xfId="1" applyNumberFormat="1" applyFont="1" applyBorder="1" applyAlignment="1">
      <alignment vertical="center"/>
    </xf>
    <xf numFmtId="49" fontId="5" fillId="0" borderId="8" xfId="1" applyNumberFormat="1" applyFont="1" applyBorder="1" applyAlignment="1">
      <alignment horizontal="left" vertical="center"/>
    </xf>
    <xf numFmtId="1" fontId="5" fillId="0" borderId="6" xfId="1" applyNumberFormat="1" applyFont="1" applyBorder="1" applyAlignment="1">
      <alignment vertical="center"/>
    </xf>
    <xf numFmtId="1" fontId="5" fillId="0" borderId="7" xfId="1" applyNumberFormat="1" applyFont="1" applyBorder="1" applyAlignment="1">
      <alignment vertical="center"/>
    </xf>
    <xf numFmtId="1" fontId="5" fillId="0" borderId="8" xfId="1" applyNumberFormat="1" applyFont="1" applyBorder="1" applyAlignment="1">
      <alignment horizontal="left" vertical="center"/>
    </xf>
    <xf numFmtId="165" fontId="5" fillId="0" borderId="2" xfId="1" applyNumberFormat="1" applyFont="1" applyBorder="1" applyAlignment="1">
      <alignment vertical="center"/>
    </xf>
    <xf numFmtId="165" fontId="5" fillId="0" borderId="3" xfId="1" applyNumberFormat="1" applyFont="1" applyBorder="1" applyAlignment="1">
      <alignment vertical="center"/>
    </xf>
    <xf numFmtId="49" fontId="5" fillId="0" borderId="4" xfId="1" applyNumberFormat="1" applyFont="1" applyBorder="1" applyAlignment="1">
      <alignment horizontal="left" vertical="center"/>
    </xf>
    <xf numFmtId="1" fontId="5" fillId="0" borderId="2" xfId="1" applyNumberFormat="1" applyFont="1" applyBorder="1" applyAlignment="1">
      <alignment vertical="center"/>
    </xf>
    <xf numFmtId="1" fontId="5" fillId="0" borderId="3" xfId="1" applyNumberFormat="1" applyFont="1" applyBorder="1" applyAlignment="1">
      <alignment vertical="center"/>
    </xf>
    <xf numFmtId="1" fontId="5" fillId="0" borderId="4" xfId="1" applyNumberFormat="1" applyFont="1" applyBorder="1" applyAlignment="1">
      <alignment horizontal="left" vertical="center"/>
    </xf>
    <xf numFmtId="165" fontId="2" fillId="5" borderId="7" xfId="1" applyNumberFormat="1" applyFont="1" applyFill="1" applyBorder="1" applyAlignment="1">
      <alignment vertical="center"/>
    </xf>
    <xf numFmtId="165" fontId="2" fillId="0" borderId="6" xfId="1" applyNumberFormat="1" applyFont="1" applyBorder="1" applyAlignment="1">
      <alignment vertical="center"/>
    </xf>
    <xf numFmtId="49" fontId="2" fillId="3" borderId="5" xfId="1" applyNumberFormat="1" applyFont="1" applyFill="1" applyBorder="1" applyAlignment="1">
      <alignment vertical="center"/>
    </xf>
    <xf numFmtId="49" fontId="2" fillId="0" borderId="4" xfId="1" applyNumberFormat="1" applyFont="1" applyBorder="1" applyAlignment="1">
      <alignment vertical="center"/>
    </xf>
    <xf numFmtId="49" fontId="10" fillId="5" borderId="7" xfId="1" applyNumberFormat="1" applyFont="1" applyFill="1" applyBorder="1" applyAlignment="1">
      <alignment vertical="center" wrapText="1"/>
    </xf>
    <xf numFmtId="49" fontId="3" fillId="5" borderId="4" xfId="1" applyNumberFormat="1" applyFont="1" applyFill="1" applyBorder="1" applyAlignment="1">
      <alignment vertical="center" wrapText="1"/>
    </xf>
    <xf numFmtId="49" fontId="3" fillId="5" borderId="5" xfId="1" applyNumberFormat="1" applyFont="1" applyFill="1" applyBorder="1" applyAlignment="1">
      <alignment vertical="center" wrapText="1"/>
    </xf>
    <xf numFmtId="49" fontId="10" fillId="5" borderId="0" xfId="1" applyNumberFormat="1" applyFont="1" applyFill="1" applyAlignment="1">
      <alignment vertical="center" wrapText="1"/>
    </xf>
    <xf numFmtId="167" fontId="2" fillId="0" borderId="0" xfId="1" applyNumberFormat="1" applyFont="1" applyAlignment="1">
      <alignment horizontal="left" vertical="center"/>
    </xf>
    <xf numFmtId="1" fontId="7" fillId="0" borderId="0" xfId="1" applyNumberFormat="1" applyFont="1" applyAlignment="1">
      <alignment horizontal="left" vertical="center"/>
    </xf>
    <xf numFmtId="1" fontId="15" fillId="0" borderId="0" xfId="1" applyNumberFormat="1" applyFont="1" applyAlignment="1">
      <alignment horizontal="center" vertical="center"/>
    </xf>
    <xf numFmtId="165" fontId="2" fillId="0" borderId="0" xfId="1" applyNumberFormat="1" applyFont="1" applyAlignment="1">
      <alignment horizontal="center" vertical="center"/>
    </xf>
    <xf numFmtId="167" fontId="19" fillId="0" borderId="9" xfId="1" applyNumberFormat="1" applyFont="1" applyBorder="1" applyAlignment="1">
      <alignment horizontal="center" vertical="center"/>
    </xf>
    <xf numFmtId="1" fontId="3" fillId="0" borderId="0" xfId="1" applyNumberFormat="1" applyFont="1" applyAlignment="1">
      <alignment vertical="center"/>
    </xf>
    <xf numFmtId="2" fontId="2" fillId="0" borderId="9" xfId="1" applyNumberFormat="1" applyFont="1" applyBorder="1" applyAlignment="1">
      <alignment vertical="center"/>
    </xf>
    <xf numFmtId="167" fontId="2" fillId="0" borderId="9" xfId="1" applyNumberFormat="1" applyFont="1" applyBorder="1" applyAlignment="1">
      <alignment horizontal="center" vertical="center"/>
    </xf>
    <xf numFmtId="2" fontId="17" fillId="0" borderId="0" xfId="1" applyNumberFormat="1" applyFont="1" applyAlignment="1">
      <alignment horizontal="left" vertical="center"/>
    </xf>
    <xf numFmtId="167" fontId="2" fillId="0" borderId="9" xfId="1" applyNumberFormat="1" applyFont="1" applyBorder="1" applyAlignment="1">
      <alignment horizontal="left" vertical="center"/>
    </xf>
    <xf numFmtId="49" fontId="20" fillId="0" borderId="0" xfId="1" applyNumberFormat="1" applyFont="1" applyAlignment="1">
      <alignment horizontal="left" vertical="center"/>
    </xf>
    <xf numFmtId="49" fontId="20" fillId="0" borderId="0" xfId="1" applyNumberFormat="1" applyFont="1" applyAlignment="1">
      <alignment vertical="center"/>
    </xf>
    <xf numFmtId="49" fontId="3" fillId="0" borderId="4" xfId="1" applyNumberFormat="1" applyFont="1" applyBorder="1" applyAlignment="1">
      <alignment horizontal="left" vertical="center"/>
    </xf>
    <xf numFmtId="1" fontId="17" fillId="0" borderId="1" xfId="1" applyNumberFormat="1" applyFont="1" applyBorder="1" applyAlignment="1">
      <alignment horizontal="left" vertical="center"/>
    </xf>
    <xf numFmtId="1" fontId="17" fillId="0" borderId="5" xfId="1" applyNumberFormat="1" applyFont="1" applyBorder="1" applyAlignment="1">
      <alignment horizontal="left" vertical="center"/>
    </xf>
    <xf numFmtId="49" fontId="17" fillId="0" borderId="1" xfId="1" applyNumberFormat="1" applyFont="1" applyBorder="1" applyAlignment="1">
      <alignment horizontal="left" vertical="center"/>
    </xf>
    <xf numFmtId="49" fontId="17" fillId="0" borderId="5" xfId="1" applyNumberFormat="1" applyFont="1" applyBorder="1" applyAlignment="1">
      <alignment horizontal="left" vertical="center"/>
    </xf>
    <xf numFmtId="1" fontId="17" fillId="0" borderId="1" xfId="1" applyNumberFormat="1" applyFont="1" applyBorder="1" applyAlignment="1">
      <alignment horizontal="center" vertical="center"/>
    </xf>
    <xf numFmtId="1" fontId="17" fillId="0" borderId="0" xfId="1" applyNumberFormat="1" applyFont="1" applyAlignment="1">
      <alignment horizontal="center" vertical="center"/>
    </xf>
    <xf numFmtId="1" fontId="17" fillId="0" borderId="5" xfId="1" applyNumberFormat="1" applyFont="1" applyBorder="1" applyAlignment="1">
      <alignment horizontal="center" vertical="center"/>
    </xf>
    <xf numFmtId="2" fontId="20" fillId="0" borderId="0" xfId="1" applyNumberFormat="1" applyFont="1" applyAlignment="1">
      <alignment horizontal="center" vertical="center"/>
    </xf>
    <xf numFmtId="2" fontId="3" fillId="0" borderId="0" xfId="1" applyNumberFormat="1" applyFont="1" applyAlignment="1">
      <alignment vertical="center"/>
    </xf>
    <xf numFmtId="2" fontId="3" fillId="0" borderId="5" xfId="1" applyNumberFormat="1" applyFont="1" applyBorder="1" applyAlignment="1">
      <alignment vertical="center"/>
    </xf>
    <xf numFmtId="49" fontId="3" fillId="0" borderId="8" xfId="1" applyNumberFormat="1" applyFont="1" applyBorder="1" applyAlignment="1">
      <alignment horizontal="left" vertical="center"/>
    </xf>
    <xf numFmtId="1" fontId="17" fillId="0" borderId="6" xfId="1" applyNumberFormat="1" applyFont="1" applyBorder="1" applyAlignment="1">
      <alignment vertical="center"/>
    </xf>
    <xf numFmtId="1" fontId="17" fillId="0" borderId="7" xfId="1" applyNumberFormat="1" applyFont="1" applyBorder="1" applyAlignment="1">
      <alignment vertical="center"/>
    </xf>
    <xf numFmtId="1" fontId="17" fillId="0" borderId="8" xfId="1" applyNumberFormat="1" applyFont="1" applyBorder="1" applyAlignment="1">
      <alignment horizontal="left" vertical="center"/>
    </xf>
    <xf numFmtId="165" fontId="2" fillId="0" borderId="7" xfId="1" applyNumberFormat="1" applyFont="1" applyBorder="1" applyAlignment="1">
      <alignment horizontal="right" vertical="center"/>
    </xf>
    <xf numFmtId="1" fontId="2" fillId="5" borderId="3" xfId="1" applyNumberFormat="1" applyFont="1" applyFill="1" applyBorder="1" applyAlignment="1">
      <alignment vertical="center"/>
    </xf>
    <xf numFmtId="165" fontId="2" fillId="5" borderId="3" xfId="1" applyNumberFormat="1" applyFont="1" applyFill="1" applyBorder="1" applyAlignment="1">
      <alignment vertical="center"/>
    </xf>
    <xf numFmtId="1" fontId="2" fillId="0" borderId="1" xfId="1" applyNumberFormat="1" applyFont="1" applyBorder="1" applyAlignment="1">
      <alignment vertical="center"/>
    </xf>
    <xf numFmtId="1" fontId="2" fillId="0" borderId="3" xfId="1" applyNumberFormat="1" applyFont="1" applyBorder="1" applyAlignment="1">
      <alignment vertical="center"/>
    </xf>
    <xf numFmtId="49" fontId="3" fillId="5" borderId="3" xfId="1" applyNumberFormat="1" applyFont="1" applyFill="1" applyBorder="1" applyAlignment="1">
      <alignment vertical="center" wrapText="1"/>
    </xf>
    <xf numFmtId="49" fontId="3" fillId="5" borderId="0" xfId="1" applyNumberFormat="1" applyFont="1" applyFill="1" applyAlignment="1">
      <alignment vertical="center" wrapText="1"/>
    </xf>
    <xf numFmtId="49" fontId="10" fillId="5" borderId="5" xfId="1" applyNumberFormat="1" applyFont="1" applyFill="1" applyBorder="1" applyAlignment="1">
      <alignment vertical="center" wrapText="1"/>
    </xf>
    <xf numFmtId="49" fontId="10" fillId="5" borderId="0" xfId="1" applyNumberFormat="1" applyFont="1" applyFill="1" applyAlignment="1">
      <alignment vertical="center"/>
    </xf>
    <xf numFmtId="49" fontId="10" fillId="5" borderId="5" xfId="1" applyNumberFormat="1" applyFont="1" applyFill="1" applyBorder="1" applyAlignment="1">
      <alignment vertical="center"/>
    </xf>
    <xf numFmtId="49" fontId="10" fillId="5" borderId="7" xfId="1" applyNumberFormat="1" applyFont="1" applyFill="1" applyBorder="1" applyAlignment="1">
      <alignment vertical="center"/>
    </xf>
    <xf numFmtId="49" fontId="10" fillId="5" borderId="8" xfId="1" applyNumberFormat="1" applyFont="1" applyFill="1" applyBorder="1" applyAlignment="1">
      <alignment vertical="center"/>
    </xf>
    <xf numFmtId="1" fontId="2" fillId="0" borderId="6" xfId="1" applyNumberFormat="1" applyFont="1" applyBorder="1" applyAlignment="1">
      <alignment vertical="center"/>
    </xf>
    <xf numFmtId="2" fontId="2" fillId="0" borderId="5" xfId="1" applyNumberFormat="1" applyFont="1" applyBorder="1" applyAlignment="1">
      <alignment horizontal="center" vertical="center"/>
    </xf>
    <xf numFmtId="2" fontId="3" fillId="0" borderId="0" xfId="1" applyNumberFormat="1" applyFont="1" applyAlignment="1">
      <alignment vertical="center" wrapText="1"/>
    </xf>
    <xf numFmtId="2" fontId="3" fillId="0" borderId="0" xfId="1" applyNumberFormat="1" applyFont="1" applyAlignment="1">
      <alignment horizontal="center" vertical="center" wrapText="1"/>
    </xf>
    <xf numFmtId="165" fontId="10" fillId="0" borderId="0" xfId="1" applyNumberFormat="1" applyFont="1" applyAlignment="1">
      <alignment vertical="center"/>
    </xf>
    <xf numFmtId="165" fontId="7" fillId="0" borderId="0" xfId="1" applyNumberFormat="1" applyFont="1" applyAlignment="1">
      <alignment vertical="center" wrapText="1"/>
    </xf>
    <xf numFmtId="165" fontId="7" fillId="0" borderId="5" xfId="1" applyNumberFormat="1" applyFont="1" applyBorder="1" applyAlignment="1">
      <alignment vertical="center" wrapText="1"/>
    </xf>
    <xf numFmtId="165" fontId="2" fillId="0" borderId="3" xfId="1" applyNumberFormat="1" applyFont="1" applyBorder="1" applyAlignment="1">
      <alignment horizontal="right" vertical="center"/>
    </xf>
    <xf numFmtId="2" fontId="7" fillId="0" borderId="0" xfId="1" applyNumberFormat="1" applyFont="1" applyAlignment="1">
      <alignment vertical="center"/>
    </xf>
    <xf numFmtId="165" fontId="2" fillId="0" borderId="1" xfId="1" applyNumberFormat="1" applyFont="1" applyBorder="1" applyAlignment="1">
      <alignment vertical="center"/>
    </xf>
    <xf numFmtId="49" fontId="3" fillId="0" borderId="0" xfId="1" applyNumberFormat="1" applyFont="1" applyAlignment="1">
      <alignment vertical="center"/>
    </xf>
    <xf numFmtId="49" fontId="3" fillId="0" borderId="8" xfId="1" applyNumberFormat="1" applyFont="1" applyBorder="1" applyAlignment="1">
      <alignment vertical="center"/>
    </xf>
    <xf numFmtId="49" fontId="3" fillId="0" borderId="7" xfId="1" applyNumberFormat="1" applyFont="1" applyBorder="1" applyAlignment="1">
      <alignment vertical="center"/>
    </xf>
    <xf numFmtId="49" fontId="3" fillId="0" borderId="6" xfId="1" applyNumberFormat="1" applyFont="1" applyBorder="1" applyAlignment="1">
      <alignment vertical="center"/>
    </xf>
    <xf numFmtId="49" fontId="5" fillId="0" borderId="3" xfId="1" applyNumberFormat="1" applyFont="1" applyBorder="1" applyAlignment="1">
      <alignment horizontal="left" vertical="center"/>
    </xf>
    <xf numFmtId="49" fontId="5" fillId="0" borderId="7" xfId="1" applyNumberFormat="1" applyFont="1" applyBorder="1" applyAlignment="1">
      <alignment horizontal="left" vertical="center"/>
    </xf>
    <xf numFmtId="49" fontId="5" fillId="0" borderId="5" xfId="1" applyNumberFormat="1" applyFont="1" applyBorder="1" applyAlignment="1">
      <alignment horizontal="left" vertical="center"/>
    </xf>
    <xf numFmtId="49" fontId="5" fillId="0" borderId="0" xfId="1" applyNumberFormat="1" applyFont="1" applyAlignment="1">
      <alignment horizontal="left" vertical="center"/>
    </xf>
    <xf numFmtId="165" fontId="2" fillId="3" borderId="8" xfId="1" applyNumberFormat="1" applyFont="1" applyFill="1" applyBorder="1" applyAlignment="1">
      <alignment vertical="center"/>
    </xf>
    <xf numFmtId="165" fontId="2" fillId="3" borderId="6" xfId="1" applyNumberFormat="1" applyFont="1" applyFill="1" applyBorder="1" applyAlignment="1">
      <alignment vertical="center"/>
    </xf>
    <xf numFmtId="165" fontId="2" fillId="3" borderId="5" xfId="1" applyNumberFormat="1" applyFont="1" applyFill="1" applyBorder="1" applyAlignment="1">
      <alignment vertical="center"/>
    </xf>
    <xf numFmtId="49" fontId="2" fillId="3" borderId="1" xfId="1" applyNumberFormat="1" applyFont="1" applyFill="1" applyBorder="1" applyAlignment="1">
      <alignment vertical="center"/>
    </xf>
    <xf numFmtId="165" fontId="2" fillId="3" borderId="4" xfId="1" applyNumberFormat="1" applyFont="1" applyFill="1" applyBorder="1" applyAlignment="1">
      <alignment vertical="center"/>
    </xf>
    <xf numFmtId="165" fontId="2" fillId="3" borderId="2" xfId="1" applyNumberFormat="1" applyFont="1" applyFill="1" applyBorder="1" applyAlignment="1">
      <alignment vertical="center"/>
    </xf>
    <xf numFmtId="0" fontId="2" fillId="0" borderId="5" xfId="1" applyFont="1" applyBorder="1" applyAlignment="1">
      <alignment horizontal="left" vertical="center"/>
    </xf>
    <xf numFmtId="49" fontId="2" fillId="0" borderId="3" xfId="1" applyNumberFormat="1" applyFont="1" applyBorder="1" applyAlignment="1">
      <alignment horizontal="right" vertical="center"/>
    </xf>
    <xf numFmtId="1" fontId="17" fillId="0" borderId="1" xfId="1" applyNumberFormat="1" applyFont="1" applyBorder="1" applyAlignment="1">
      <alignment vertical="center"/>
    </xf>
    <xf numFmtId="1" fontId="17" fillId="0" borderId="5" xfId="1" applyNumberFormat="1" applyFont="1" applyBorder="1" applyAlignment="1">
      <alignment vertical="center"/>
    </xf>
    <xf numFmtId="49" fontId="3" fillId="5" borderId="3" xfId="1" applyNumberFormat="1" applyFont="1" applyFill="1" applyBorder="1" applyAlignment="1">
      <alignment vertical="center"/>
    </xf>
    <xf numFmtId="49" fontId="3" fillId="5" borderId="4" xfId="1" applyNumberFormat="1" applyFont="1" applyFill="1" applyBorder="1" applyAlignment="1">
      <alignment vertical="center"/>
    </xf>
    <xf numFmtId="49" fontId="3" fillId="5" borderId="0" xfId="1" applyNumberFormat="1" applyFont="1" applyFill="1" applyAlignment="1">
      <alignment vertical="center"/>
    </xf>
    <xf numFmtId="49" fontId="3" fillId="5" borderId="5" xfId="1" applyNumberFormat="1" applyFont="1" applyFill="1" applyBorder="1" applyAlignment="1">
      <alignment vertical="center"/>
    </xf>
    <xf numFmtId="167" fontId="2" fillId="0" borderId="0" xfId="1" applyNumberFormat="1" applyFont="1" applyAlignment="1">
      <alignment vertical="center"/>
    </xf>
    <xf numFmtId="49" fontId="7" fillId="0" borderId="0" xfId="1" applyNumberFormat="1" applyFont="1" applyAlignment="1">
      <alignment vertical="center" wrapText="1"/>
    </xf>
    <xf numFmtId="49" fontId="3" fillId="0" borderId="0" xfId="1" applyNumberFormat="1" applyFont="1" applyAlignment="1">
      <alignment vertical="center" wrapText="1"/>
    </xf>
    <xf numFmtId="9" fontId="2" fillId="0" borderId="5" xfId="1" applyNumberFormat="1" applyFont="1" applyBorder="1" applyAlignment="1">
      <alignment horizontal="left" vertical="center"/>
    </xf>
    <xf numFmtId="49" fontId="5" fillId="0" borderId="0" xfId="1" applyNumberFormat="1" applyFont="1" applyAlignment="1">
      <alignment horizontal="center" vertical="center"/>
    </xf>
    <xf numFmtId="0" fontId="7" fillId="0" borderId="0" xfId="1" applyFont="1" applyAlignment="1">
      <alignment horizontal="left" vertical="center"/>
    </xf>
    <xf numFmtId="0" fontId="3" fillId="0" borderId="0" xfId="1" applyFont="1" applyAlignment="1">
      <alignment horizontal="left" vertical="center" wrapText="1"/>
    </xf>
    <xf numFmtId="165" fontId="3" fillId="0" borderId="0" xfId="1" applyNumberFormat="1" applyFont="1" applyAlignment="1">
      <alignment vertical="center"/>
    </xf>
    <xf numFmtId="1" fontId="2" fillId="0" borderId="2" xfId="1" applyNumberFormat="1" applyFont="1" applyBorder="1" applyAlignment="1">
      <alignment vertical="center"/>
    </xf>
    <xf numFmtId="49" fontId="10" fillId="0" borderId="0" xfId="1" applyNumberFormat="1" applyFont="1" applyAlignment="1">
      <alignment vertical="center" wrapText="1"/>
    </xf>
    <xf numFmtId="2" fontId="2" fillId="0" borderId="7" xfId="1" applyNumberFormat="1" applyFont="1" applyBorder="1" applyAlignment="1">
      <alignment vertical="center"/>
    </xf>
    <xf numFmtId="166" fontId="2" fillId="0" borderId="7" xfId="2" applyFont="1" applyBorder="1" applyAlignment="1">
      <alignment vertical="center"/>
    </xf>
    <xf numFmtId="9" fontId="5" fillId="0" borderId="0" xfId="1" applyNumberFormat="1" applyFont="1" applyAlignment="1">
      <alignment horizontal="center" vertical="center"/>
    </xf>
    <xf numFmtId="49" fontId="5" fillId="0" borderId="3" xfId="1" applyNumberFormat="1" applyFont="1" applyBorder="1" applyAlignment="1">
      <alignment vertical="center"/>
    </xf>
    <xf numFmtId="49" fontId="5" fillId="0" borderId="4" xfId="1" applyNumberFormat="1" applyFont="1" applyBorder="1" applyAlignment="1">
      <alignment vertical="center"/>
    </xf>
    <xf numFmtId="49" fontId="5" fillId="0" borderId="6" xfId="1" applyNumberFormat="1" applyFont="1" applyBorder="1" applyAlignment="1">
      <alignment vertical="center"/>
    </xf>
    <xf numFmtId="49" fontId="5" fillId="0" borderId="7" xfId="1" applyNumberFormat="1" applyFont="1" applyBorder="1" applyAlignment="1">
      <alignment vertical="center"/>
    </xf>
    <xf numFmtId="49" fontId="5" fillId="0" borderId="8" xfId="1" applyNumberFormat="1" applyFont="1" applyBorder="1" applyAlignment="1">
      <alignment vertical="center"/>
    </xf>
    <xf numFmtId="49" fontId="10" fillId="0" borderId="0" xfId="1" applyNumberFormat="1" applyFont="1" applyAlignment="1">
      <alignment horizontal="center" vertical="center"/>
    </xf>
    <xf numFmtId="165" fontId="2" fillId="0" borderId="7" xfId="1" applyNumberFormat="1" applyFont="1" applyBorder="1" applyAlignment="1">
      <alignment horizontal="center" vertical="center"/>
    </xf>
    <xf numFmtId="2" fontId="2" fillId="0" borderId="0" xfId="1" applyNumberFormat="1" applyFont="1" applyAlignment="1">
      <alignment horizontal="right" vertical="center"/>
    </xf>
    <xf numFmtId="2" fontId="2" fillId="0" borderId="0" xfId="2" applyNumberFormat="1" applyFont="1" applyBorder="1" applyAlignment="1">
      <alignment horizontal="right" vertical="center"/>
    </xf>
    <xf numFmtId="2" fontId="2" fillId="0" borderId="0" xfId="2" applyNumberFormat="1" applyFont="1" applyBorder="1" applyAlignment="1">
      <alignment vertical="center"/>
    </xf>
    <xf numFmtId="2" fontId="5" fillId="0" borderId="0" xfId="1" applyNumberFormat="1" applyFont="1" applyAlignment="1">
      <alignment horizontal="right" vertical="center"/>
    </xf>
    <xf numFmtId="49" fontId="2" fillId="0" borderId="1" xfId="1" applyNumberFormat="1" applyFont="1" applyBorder="1" applyAlignment="1">
      <alignment vertical="center"/>
    </xf>
    <xf numFmtId="49" fontId="7" fillId="0" borderId="1" xfId="1" applyNumberFormat="1" applyFont="1" applyBorder="1" applyAlignment="1">
      <alignment vertical="center"/>
    </xf>
    <xf numFmtId="49" fontId="7" fillId="0" borderId="5" xfId="1" applyNumberFormat="1" applyFont="1" applyBorder="1" applyAlignment="1">
      <alignment vertical="center"/>
    </xf>
    <xf numFmtId="165" fontId="7" fillId="0" borderId="0" xfId="1" applyNumberFormat="1" applyFont="1" applyAlignment="1">
      <alignment horizontal="right" vertical="center"/>
    </xf>
    <xf numFmtId="2" fontId="2" fillId="0" borderId="0" xfId="2" applyNumberFormat="1" applyFont="1" applyAlignment="1">
      <alignment vertical="center"/>
    </xf>
    <xf numFmtId="0" fontId="7" fillId="0" borderId="0" xfId="1" applyFont="1" applyAlignment="1">
      <alignment horizontal="center" vertical="center"/>
    </xf>
    <xf numFmtId="166" fontId="20" fillId="0" borderId="0" xfId="2" applyFont="1" applyBorder="1" applyAlignment="1">
      <alignment horizontal="right" vertical="center"/>
    </xf>
    <xf numFmtId="49" fontId="23" fillId="0" borderId="0" xfId="1" applyNumberFormat="1" applyFont="1" applyAlignment="1">
      <alignment horizontal="left" vertical="center"/>
    </xf>
    <xf numFmtId="165" fontId="20" fillId="0" borderId="0" xfId="1" applyNumberFormat="1" applyFont="1" applyAlignment="1">
      <alignment vertical="center"/>
    </xf>
    <xf numFmtId="166" fontId="24" fillId="0" borderId="0" xfId="2" applyFont="1" applyBorder="1" applyAlignment="1">
      <alignment horizontal="right" vertical="center"/>
    </xf>
    <xf numFmtId="49" fontId="2" fillId="0" borderId="0" xfId="0" applyNumberFormat="1" applyFont="1" applyAlignment="1">
      <alignment horizontal="left" vertical="center"/>
    </xf>
    <xf numFmtId="0" fontId="2" fillId="0" borderId="7" xfId="1" applyFont="1" applyBorder="1" applyAlignment="1">
      <alignment horizontal="left" vertical="center"/>
    </xf>
    <xf numFmtId="1" fontId="17" fillId="0" borderId="1" xfId="0" applyNumberFormat="1" applyFont="1" applyBorder="1" applyAlignment="1">
      <alignment horizontal="center" vertical="center"/>
    </xf>
    <xf numFmtId="1" fontId="17" fillId="0" borderId="0" xfId="0" applyNumberFormat="1" applyFont="1" applyAlignment="1">
      <alignment horizontal="center" vertical="center"/>
    </xf>
    <xf numFmtId="1" fontId="17" fillId="0" borderId="5" xfId="0" applyNumberFormat="1" applyFont="1" applyBorder="1" applyAlignment="1">
      <alignment horizontal="center" vertical="center"/>
    </xf>
    <xf numFmtId="0" fontId="1" fillId="0" borderId="0" xfId="1" applyAlignment="1">
      <alignment vertical="center"/>
    </xf>
    <xf numFmtId="2" fontId="2" fillId="0" borderId="7" xfId="1" applyNumberFormat="1" applyFont="1" applyBorder="1" applyAlignment="1">
      <alignment horizontal="left" vertical="center"/>
    </xf>
    <xf numFmtId="168" fontId="2" fillId="0" borderId="0" xfId="1" applyNumberFormat="1" applyFont="1" applyAlignment="1">
      <alignment vertical="center"/>
    </xf>
    <xf numFmtId="49" fontId="5" fillId="0" borderId="0" xfId="1" applyNumberFormat="1" applyFont="1" applyAlignment="1" applyProtection="1">
      <alignment vertical="center"/>
      <protection locked="0"/>
    </xf>
    <xf numFmtId="49" fontId="5" fillId="0" borderId="0" xfId="1" applyNumberFormat="1" applyFont="1" applyAlignment="1">
      <alignment vertical="center"/>
    </xf>
    <xf numFmtId="2" fontId="2" fillId="0" borderId="7" xfId="2" applyNumberFormat="1" applyFont="1" applyBorder="1" applyAlignment="1">
      <alignment vertical="center"/>
    </xf>
    <xf numFmtId="2" fontId="3" fillId="0" borderId="0" xfId="1" applyNumberFormat="1" applyFont="1" applyAlignment="1">
      <alignment horizontal="center" vertical="center"/>
    </xf>
    <xf numFmtId="49" fontId="7" fillId="0" borderId="0" xfId="1" applyNumberFormat="1" applyFont="1" applyAlignment="1">
      <alignment horizontal="center" vertical="center"/>
    </xf>
    <xf numFmtId="49" fontId="2" fillId="3" borderId="2" xfId="1" applyNumberFormat="1" applyFont="1" applyFill="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166" fontId="20" fillId="0" borderId="0" xfId="2" applyFont="1" applyBorder="1" applyAlignment="1">
      <alignment horizontal="right" vertical="center"/>
    </xf>
    <xf numFmtId="0" fontId="22" fillId="0" borderId="0" xfId="0" applyFont="1" applyAlignment="1">
      <alignment vertical="center"/>
    </xf>
    <xf numFmtId="1" fontId="2" fillId="0" borderId="1" xfId="1" applyNumberFormat="1" applyFont="1" applyBorder="1" applyAlignment="1">
      <alignment horizontal="center" vertical="center"/>
    </xf>
    <xf numFmtId="1" fontId="2" fillId="0" borderId="0" xfId="1" applyNumberFormat="1" applyFont="1" applyAlignment="1">
      <alignment horizontal="center" vertical="center"/>
    </xf>
    <xf numFmtId="1" fontId="2" fillId="0" borderId="5" xfId="1" applyNumberFormat="1" applyFont="1" applyBorder="1" applyAlignment="1">
      <alignment horizontal="center" vertical="center"/>
    </xf>
    <xf numFmtId="165" fontId="2" fillId="0" borderId="0" xfId="1" applyNumberFormat="1" applyFont="1" applyAlignment="1">
      <alignment vertical="center"/>
    </xf>
    <xf numFmtId="49" fontId="3" fillId="0" borderId="0" xfId="1" applyNumberFormat="1" applyFont="1" applyAlignment="1">
      <alignment horizontal="left" vertical="center"/>
    </xf>
    <xf numFmtId="49" fontId="3" fillId="0" borderId="5" xfId="1" applyNumberFormat="1" applyFont="1" applyBorder="1" applyAlignment="1">
      <alignment horizontal="left" vertical="center"/>
    </xf>
    <xf numFmtId="2" fontId="2" fillId="0" borderId="0" xfId="1" applyNumberFormat="1" applyFont="1" applyAlignment="1">
      <alignment horizontal="left" vertical="center"/>
    </xf>
    <xf numFmtId="2" fontId="2" fillId="0" borderId="5" xfId="1" applyNumberFormat="1" applyFont="1" applyBorder="1" applyAlignment="1">
      <alignment horizontal="left" vertical="center"/>
    </xf>
    <xf numFmtId="1" fontId="5" fillId="0" borderId="0" xfId="1" applyNumberFormat="1" applyFont="1" applyAlignment="1" applyProtection="1">
      <alignment horizontal="center" vertical="center"/>
      <protection locked="0"/>
    </xf>
    <xf numFmtId="2" fontId="3" fillId="0" borderId="0" xfId="1" applyNumberFormat="1" applyFont="1" applyAlignment="1">
      <alignment horizontal="left" vertical="center"/>
    </xf>
    <xf numFmtId="2" fontId="3" fillId="0" borderId="5" xfId="1" applyNumberFormat="1" applyFont="1" applyBorder="1" applyAlignment="1">
      <alignment horizontal="left" vertical="center"/>
    </xf>
    <xf numFmtId="165" fontId="2" fillId="0" borderId="0" xfId="1" applyNumberFormat="1" applyFont="1" applyAlignment="1">
      <alignment horizontal="right" vertical="center"/>
    </xf>
    <xf numFmtId="0" fontId="3" fillId="0" borderId="0" xfId="1" applyFont="1" applyAlignment="1">
      <alignment horizontal="left" vertical="center"/>
    </xf>
    <xf numFmtId="0" fontId="3" fillId="0" borderId="5" xfId="1" applyFont="1" applyBorder="1" applyAlignment="1">
      <alignment horizontal="left" vertical="center"/>
    </xf>
    <xf numFmtId="2" fontId="2" fillId="3" borderId="3" xfId="1" applyNumberFormat="1" applyFont="1" applyFill="1" applyBorder="1" applyAlignment="1">
      <alignment horizontal="left" vertical="center"/>
    </xf>
    <xf numFmtId="2" fontId="2" fillId="3" borderId="4" xfId="1" applyNumberFormat="1" applyFont="1" applyFill="1" applyBorder="1" applyAlignment="1">
      <alignment horizontal="left" vertical="center"/>
    </xf>
    <xf numFmtId="2" fontId="2" fillId="3" borderId="0" xfId="1" applyNumberFormat="1" applyFont="1" applyFill="1" applyAlignment="1">
      <alignment horizontal="left" vertical="center"/>
    </xf>
    <xf numFmtId="2" fontId="2" fillId="3" borderId="5" xfId="1" applyNumberFormat="1" applyFont="1" applyFill="1" applyBorder="1" applyAlignment="1">
      <alignment horizontal="left" vertical="center"/>
    </xf>
    <xf numFmtId="2" fontId="2" fillId="3" borderId="7" xfId="1" applyNumberFormat="1" applyFont="1" applyFill="1" applyBorder="1" applyAlignment="1">
      <alignment horizontal="left" vertical="center"/>
    </xf>
    <xf numFmtId="2" fontId="2" fillId="3" borderId="8" xfId="1" applyNumberFormat="1" applyFont="1" applyFill="1" applyBorder="1" applyAlignment="1">
      <alignment horizontal="left" vertical="center"/>
    </xf>
    <xf numFmtId="1" fontId="3" fillId="0" borderId="1" xfId="1" applyNumberFormat="1" applyFont="1" applyBorder="1" applyAlignment="1">
      <alignment horizontal="center" vertical="center"/>
    </xf>
    <xf numFmtId="1" fontId="3" fillId="0" borderId="0" xfId="1" applyNumberFormat="1" applyFont="1" applyAlignment="1">
      <alignment horizontal="center" vertical="center"/>
    </xf>
    <xf numFmtId="1" fontId="3" fillId="0" borderId="5" xfId="1" applyNumberFormat="1" applyFont="1" applyBorder="1" applyAlignment="1">
      <alignment horizontal="center" vertical="center"/>
    </xf>
    <xf numFmtId="49" fontId="2" fillId="0" borderId="0" xfId="1" applyNumberFormat="1" applyFont="1" applyAlignment="1">
      <alignment horizontal="center" vertical="center"/>
    </xf>
    <xf numFmtId="49" fontId="10" fillId="0" borderId="0" xfId="1" applyNumberFormat="1" applyFont="1" applyAlignment="1">
      <alignment horizontal="center" vertical="center"/>
    </xf>
    <xf numFmtId="2" fontId="5" fillId="6" borderId="0" xfId="1" applyNumberFormat="1" applyFont="1" applyFill="1" applyAlignment="1">
      <alignment horizontal="center" vertical="center"/>
    </xf>
    <xf numFmtId="2" fontId="5" fillId="0" borderId="0" xfId="1" applyNumberFormat="1" applyFont="1" applyAlignment="1">
      <alignment horizontal="center" vertical="center"/>
    </xf>
    <xf numFmtId="49" fontId="3" fillId="0" borderId="0" xfId="1" applyNumberFormat="1" applyFont="1" applyAlignment="1">
      <alignment horizontal="center" vertical="center"/>
    </xf>
    <xf numFmtId="49" fontId="3" fillId="0" borderId="9" xfId="1" applyNumberFormat="1" applyFont="1" applyBorder="1" applyAlignment="1">
      <alignment horizontal="center" vertical="center"/>
    </xf>
    <xf numFmtId="2" fontId="2" fillId="0" borderId="0" xfId="1" applyNumberFormat="1" applyFont="1" applyAlignment="1">
      <alignment horizontal="center" vertical="center"/>
    </xf>
    <xf numFmtId="9" fontId="2" fillId="0" borderId="0" xfId="3" applyFont="1" applyBorder="1" applyAlignment="1">
      <alignment horizontal="center" vertical="center"/>
    </xf>
    <xf numFmtId="9" fontId="2" fillId="0" borderId="0" xfId="1" applyNumberFormat="1" applyFont="1" applyAlignment="1">
      <alignment horizontal="center" vertical="center"/>
    </xf>
    <xf numFmtId="2" fontId="2" fillId="0" borderId="9" xfId="1" applyNumberFormat="1" applyFont="1" applyBorder="1" applyAlignment="1">
      <alignment horizontal="center" vertical="center"/>
    </xf>
    <xf numFmtId="49" fontId="2" fillId="5" borderId="1" xfId="1" applyNumberFormat="1" applyFont="1" applyFill="1" applyBorder="1" applyAlignment="1">
      <alignment horizontal="center" vertical="center"/>
    </xf>
    <xf numFmtId="49" fontId="2" fillId="5" borderId="0" xfId="1" applyNumberFormat="1" applyFont="1" applyFill="1" applyAlignment="1">
      <alignment horizontal="center" vertical="center"/>
    </xf>
    <xf numFmtId="49" fontId="2" fillId="5" borderId="5" xfId="1" applyNumberFormat="1" applyFont="1" applyFill="1" applyBorder="1" applyAlignment="1">
      <alignment horizontal="center" vertical="center"/>
    </xf>
    <xf numFmtId="49" fontId="15" fillId="0" borderId="1" xfId="1" applyNumberFormat="1" applyFont="1" applyBorder="1" applyAlignment="1" applyProtection="1">
      <alignment horizontal="center" vertical="center"/>
      <protection locked="0"/>
    </xf>
    <xf numFmtId="49" fontId="15" fillId="0" borderId="0" xfId="1" applyNumberFormat="1" applyFont="1" applyAlignment="1" applyProtection="1">
      <alignment horizontal="center" vertical="center"/>
      <protection locked="0"/>
    </xf>
    <xf numFmtId="49" fontId="15" fillId="0" borderId="5" xfId="1" applyNumberFormat="1" applyFont="1" applyBorder="1" applyAlignment="1" applyProtection="1">
      <alignment horizontal="center" vertical="center"/>
      <protection locked="0"/>
    </xf>
    <xf numFmtId="1" fontId="5" fillId="0" borderId="1" xfId="1" applyNumberFormat="1" applyFont="1" applyBorder="1" applyAlignment="1" applyProtection="1">
      <alignment horizontal="center" vertical="center"/>
      <protection locked="0"/>
    </xf>
    <xf numFmtId="1" fontId="5" fillId="0" borderId="5" xfId="1" applyNumberFormat="1" applyFont="1" applyBorder="1" applyAlignment="1" applyProtection="1">
      <alignment horizontal="center" vertical="center"/>
      <protection locked="0"/>
    </xf>
    <xf numFmtId="1" fontId="2" fillId="0" borderId="2" xfId="1" applyNumberFormat="1" applyFont="1" applyBorder="1" applyAlignment="1">
      <alignment horizontal="center" vertical="center"/>
    </xf>
    <xf numFmtId="1" fontId="2" fillId="0" borderId="3" xfId="1" applyNumberFormat="1" applyFont="1" applyBorder="1" applyAlignment="1">
      <alignment horizontal="center" vertical="center"/>
    </xf>
    <xf numFmtId="1" fontId="2" fillId="0" borderId="4" xfId="1" applyNumberFormat="1" applyFont="1" applyBorder="1" applyAlignment="1">
      <alignment horizontal="center" vertical="center"/>
    </xf>
    <xf numFmtId="1" fontId="2" fillId="0" borderId="6" xfId="1" applyNumberFormat="1" applyFont="1" applyBorder="1" applyAlignment="1">
      <alignment horizontal="center" vertical="center"/>
    </xf>
    <xf numFmtId="1" fontId="2" fillId="0" borderId="7" xfId="1" applyNumberFormat="1" applyFont="1" applyBorder="1" applyAlignment="1">
      <alignment horizontal="center" vertical="center"/>
    </xf>
    <xf numFmtId="1" fontId="2" fillId="0" borderId="8" xfId="1" applyNumberFormat="1" applyFont="1" applyBorder="1" applyAlignment="1">
      <alignment horizontal="center" vertical="center"/>
    </xf>
    <xf numFmtId="2" fontId="7" fillId="0" borderId="1" xfId="1" applyNumberFormat="1" applyFont="1" applyBorder="1" applyAlignment="1">
      <alignment horizontal="center" vertical="center"/>
    </xf>
    <xf numFmtId="2" fontId="7" fillId="0" borderId="0" xfId="1" applyNumberFormat="1" applyFont="1" applyAlignment="1">
      <alignment horizontal="center" vertical="center"/>
    </xf>
    <xf numFmtId="2" fontId="7" fillId="0" borderId="5" xfId="1" applyNumberFormat="1" applyFont="1" applyBorder="1" applyAlignment="1">
      <alignment horizontal="center" vertical="center"/>
    </xf>
    <xf numFmtId="2" fontId="7" fillId="0" borderId="6" xfId="1" applyNumberFormat="1" applyFont="1" applyBorder="1" applyAlignment="1">
      <alignment horizontal="center" vertical="center"/>
    </xf>
    <xf numFmtId="2" fontId="7" fillId="0" borderId="7" xfId="1" applyNumberFormat="1" applyFont="1" applyBorder="1" applyAlignment="1">
      <alignment horizontal="center" vertical="center"/>
    </xf>
    <xf numFmtId="2" fontId="7" fillId="0" borderId="8" xfId="1" applyNumberFormat="1" applyFont="1" applyBorder="1" applyAlignment="1">
      <alignment horizontal="center" vertical="center"/>
    </xf>
    <xf numFmtId="49" fontId="2" fillId="3" borderId="3" xfId="1" applyNumberFormat="1" applyFont="1" applyFill="1" applyBorder="1" applyAlignment="1">
      <alignment horizontal="center" vertical="center"/>
    </xf>
    <xf numFmtId="49" fontId="2" fillId="3" borderId="4" xfId="1" applyNumberFormat="1" applyFont="1" applyFill="1" applyBorder="1" applyAlignment="1">
      <alignment horizontal="center" vertical="center"/>
    </xf>
    <xf numFmtId="49" fontId="2" fillId="3" borderId="1" xfId="1" applyNumberFormat="1" applyFont="1" applyFill="1" applyBorder="1" applyAlignment="1">
      <alignment horizontal="center" vertical="center"/>
    </xf>
    <xf numFmtId="49" fontId="2" fillId="3" borderId="0" xfId="1" applyNumberFormat="1" applyFont="1" applyFill="1" applyAlignment="1">
      <alignment horizontal="center" vertical="center"/>
    </xf>
    <xf numFmtId="49" fontId="2" fillId="3" borderId="5" xfId="1" applyNumberFormat="1" applyFont="1" applyFill="1" applyBorder="1" applyAlignment="1">
      <alignment horizontal="center" vertical="center"/>
    </xf>
    <xf numFmtId="49" fontId="2" fillId="3" borderId="6" xfId="1" applyNumberFormat="1" applyFont="1" applyFill="1" applyBorder="1" applyAlignment="1">
      <alignment horizontal="center" vertical="center"/>
    </xf>
    <xf numFmtId="49" fontId="2" fillId="3" borderId="7" xfId="1" applyNumberFormat="1" applyFont="1" applyFill="1" applyBorder="1" applyAlignment="1">
      <alignment horizontal="center" vertical="center"/>
    </xf>
    <xf numFmtId="49" fontId="2" fillId="3" borderId="8" xfId="1" applyNumberFormat="1" applyFont="1" applyFill="1" applyBorder="1" applyAlignment="1">
      <alignment horizontal="center" vertical="center"/>
    </xf>
    <xf numFmtId="49" fontId="3" fillId="0" borderId="2" xfId="1" applyNumberFormat="1" applyFont="1" applyBorder="1" applyAlignment="1">
      <alignment horizontal="center" vertical="center"/>
    </xf>
    <xf numFmtId="49" fontId="3" fillId="0" borderId="3" xfId="1" applyNumberFormat="1" applyFont="1" applyBorder="1" applyAlignment="1">
      <alignment horizontal="center" vertical="center"/>
    </xf>
    <xf numFmtId="49" fontId="3" fillId="0" borderId="4" xfId="1" applyNumberFormat="1" applyFont="1" applyBorder="1" applyAlignment="1">
      <alignment horizontal="center" vertical="center"/>
    </xf>
    <xf numFmtId="49" fontId="3" fillId="0" borderId="6" xfId="1" applyNumberFormat="1" applyFont="1" applyBorder="1" applyAlignment="1">
      <alignment horizontal="center" vertical="center"/>
    </xf>
    <xf numFmtId="49" fontId="3" fillId="0" borderId="7" xfId="1" applyNumberFormat="1" applyFont="1" applyBorder="1" applyAlignment="1">
      <alignment horizontal="center" vertical="center"/>
    </xf>
    <xf numFmtId="49" fontId="3" fillId="0" borderId="8" xfId="1" applyNumberFormat="1" applyFont="1" applyBorder="1" applyAlignment="1">
      <alignment horizontal="center" vertical="center"/>
    </xf>
    <xf numFmtId="9" fontId="5" fillId="0" borderId="1" xfId="1" applyNumberFormat="1" applyFont="1" applyBorder="1" applyAlignment="1" applyProtection="1">
      <alignment horizontal="center" vertical="center"/>
      <protection locked="0"/>
    </xf>
    <xf numFmtId="9" fontId="5" fillId="0" borderId="0" xfId="1" applyNumberFormat="1" applyFont="1" applyAlignment="1" applyProtection="1">
      <alignment horizontal="center" vertical="center"/>
      <protection locked="0"/>
    </xf>
    <xf numFmtId="9" fontId="5" fillId="0" borderId="5" xfId="1" applyNumberFormat="1" applyFont="1" applyBorder="1" applyAlignment="1" applyProtection="1">
      <alignment horizontal="center" vertical="center"/>
      <protection locked="0"/>
    </xf>
    <xf numFmtId="1" fontId="2" fillId="0" borderId="3" xfId="1" applyNumberFormat="1" applyFont="1" applyBorder="1" applyAlignment="1">
      <alignment horizontal="left" vertical="center"/>
    </xf>
    <xf numFmtId="1" fontId="2" fillId="0" borderId="4" xfId="1" applyNumberFormat="1" applyFont="1" applyBorder="1" applyAlignment="1">
      <alignment horizontal="left" vertical="center"/>
    </xf>
    <xf numFmtId="1" fontId="2" fillId="0" borderId="0" xfId="1" applyNumberFormat="1" applyFont="1" applyAlignment="1">
      <alignment horizontal="left" vertical="center"/>
    </xf>
    <xf numFmtId="1" fontId="2" fillId="0" borderId="5" xfId="1" applyNumberFormat="1" applyFont="1" applyBorder="1" applyAlignment="1">
      <alignment horizontal="left" vertical="center"/>
    </xf>
    <xf numFmtId="165" fontId="3" fillId="5" borderId="0" xfId="1" applyNumberFormat="1" applyFont="1" applyFill="1" applyAlignment="1">
      <alignment horizontal="left" vertical="center" wrapText="1"/>
    </xf>
    <xf numFmtId="165" fontId="3" fillId="5" borderId="7" xfId="1" applyNumberFormat="1" applyFont="1" applyFill="1" applyBorder="1" applyAlignment="1">
      <alignment horizontal="left" vertical="center" wrapText="1"/>
    </xf>
    <xf numFmtId="1" fontId="5" fillId="0" borderId="3" xfId="1" applyNumberFormat="1" applyFont="1" applyBorder="1" applyAlignment="1" applyProtection="1">
      <alignment horizontal="center" vertical="center"/>
      <protection locked="0"/>
    </xf>
    <xf numFmtId="1" fontId="5" fillId="0" borderId="7" xfId="1" applyNumberFormat="1" applyFont="1" applyBorder="1" applyAlignment="1" applyProtection="1">
      <alignment horizontal="center" vertical="center"/>
      <protection locked="0"/>
    </xf>
    <xf numFmtId="1" fontId="2" fillId="0" borderId="7" xfId="1" applyNumberFormat="1" applyFont="1" applyBorder="1" applyAlignment="1">
      <alignment horizontal="left" vertical="center"/>
    </xf>
    <xf numFmtId="1" fontId="2" fillId="0" borderId="8" xfId="1" applyNumberFormat="1" applyFont="1" applyBorder="1" applyAlignment="1">
      <alignment horizontal="left" vertical="center"/>
    </xf>
    <xf numFmtId="165" fontId="3" fillId="5" borderId="3" xfId="1" applyNumberFormat="1" applyFont="1" applyFill="1" applyBorder="1" applyAlignment="1">
      <alignment horizontal="left" vertical="center" wrapText="1"/>
    </xf>
    <xf numFmtId="49" fontId="14" fillId="0" borderId="2" xfId="1" applyNumberFormat="1" applyFont="1" applyBorder="1" applyAlignment="1" applyProtection="1">
      <alignment horizontal="center" vertical="center"/>
      <protection locked="0"/>
    </xf>
    <xf numFmtId="49" fontId="14" fillId="0" borderId="3" xfId="1" applyNumberFormat="1" applyFont="1" applyBorder="1" applyAlignment="1" applyProtection="1">
      <alignment horizontal="center" vertical="center"/>
      <protection locked="0"/>
    </xf>
    <xf numFmtId="49" fontId="14" fillId="0" borderId="4" xfId="1" applyNumberFormat="1" applyFont="1" applyBorder="1" applyAlignment="1" applyProtection="1">
      <alignment horizontal="center" vertical="center"/>
      <protection locked="0"/>
    </xf>
    <xf numFmtId="49" fontId="14" fillId="0" borderId="1" xfId="1" applyNumberFormat="1" applyFont="1" applyBorder="1" applyAlignment="1" applyProtection="1">
      <alignment horizontal="center" vertical="center"/>
      <protection locked="0"/>
    </xf>
    <xf numFmtId="49" fontId="14" fillId="0" borderId="0" xfId="1" applyNumberFormat="1" applyFont="1" applyAlignment="1" applyProtection="1">
      <alignment horizontal="center" vertical="center"/>
      <protection locked="0"/>
    </xf>
    <xf numFmtId="49" fontId="14" fillId="0" borderId="5" xfId="1" applyNumberFormat="1" applyFont="1" applyBorder="1" applyAlignment="1" applyProtection="1">
      <alignment horizontal="center" vertical="center"/>
      <protection locked="0"/>
    </xf>
    <xf numFmtId="49" fontId="14" fillId="0" borderId="6" xfId="1" applyNumberFormat="1" applyFont="1" applyBorder="1" applyAlignment="1" applyProtection="1">
      <alignment horizontal="center" vertical="center"/>
      <protection locked="0"/>
    </xf>
    <xf numFmtId="49" fontId="14" fillId="0" borderId="7" xfId="1" applyNumberFormat="1" applyFont="1" applyBorder="1" applyAlignment="1" applyProtection="1">
      <alignment horizontal="center" vertical="center"/>
      <protection locked="0"/>
    </xf>
    <xf numFmtId="49" fontId="14" fillId="0" borderId="8" xfId="1" applyNumberFormat="1" applyFont="1" applyBorder="1" applyAlignment="1" applyProtection="1">
      <alignment horizontal="center" vertical="center"/>
      <protection locked="0"/>
    </xf>
    <xf numFmtId="49" fontId="2" fillId="5" borderId="0" xfId="1" applyNumberFormat="1" applyFont="1" applyFill="1" applyAlignment="1">
      <alignment horizontal="left" vertical="center"/>
    </xf>
    <xf numFmtId="49" fontId="5" fillId="5" borderId="0" xfId="1" applyNumberFormat="1" applyFont="1" applyFill="1" applyAlignment="1" applyProtection="1">
      <alignment horizontal="left" vertical="center"/>
      <protection locked="0"/>
    </xf>
    <xf numFmtId="164" fontId="5" fillId="5" borderId="0" xfId="1" applyNumberFormat="1" applyFont="1" applyFill="1" applyAlignment="1" applyProtection="1">
      <alignment horizontal="left" vertical="center"/>
      <protection locked="0"/>
    </xf>
    <xf numFmtId="164" fontId="5" fillId="5" borderId="0" xfId="1" quotePrefix="1" applyNumberFormat="1" applyFont="1" applyFill="1" applyAlignment="1" applyProtection="1">
      <alignment horizontal="left" vertical="center"/>
      <protection locked="0"/>
    </xf>
    <xf numFmtId="49" fontId="2" fillId="0" borderId="7" xfId="1" applyNumberFormat="1" applyFont="1" applyBorder="1" applyAlignment="1">
      <alignment horizontal="center" vertical="center"/>
    </xf>
    <xf numFmtId="49" fontId="2" fillId="0" borderId="0" xfId="1" applyNumberFormat="1" applyFont="1" applyAlignment="1">
      <alignment horizontal="left" vertical="center"/>
    </xf>
    <xf numFmtId="49" fontId="3" fillId="0" borderId="0" xfId="1" quotePrefix="1" applyNumberFormat="1" applyFont="1" applyAlignment="1">
      <alignment horizontal="left" vertical="center"/>
    </xf>
    <xf numFmtId="49" fontId="4" fillId="3" borderId="2" xfId="1" applyNumberFormat="1" applyFont="1" applyFill="1" applyBorder="1" applyAlignment="1">
      <alignment horizontal="center" vertical="center"/>
    </xf>
    <xf numFmtId="49" fontId="2" fillId="3" borderId="0" xfId="1" applyNumberFormat="1" applyFont="1" applyFill="1" applyAlignment="1">
      <alignment horizontal="left" vertical="center"/>
    </xf>
    <xf numFmtId="2" fontId="5" fillId="3" borderId="0" xfId="1" applyNumberFormat="1" applyFont="1" applyFill="1" applyAlignment="1" applyProtection="1">
      <alignment horizontal="left" vertical="center"/>
      <protection locked="0"/>
    </xf>
    <xf numFmtId="49" fontId="5" fillId="3" borderId="0" xfId="1" applyNumberFormat="1" applyFont="1" applyFill="1" applyAlignment="1" applyProtection="1">
      <alignment horizontal="left" vertical="center"/>
      <protection locked="0"/>
    </xf>
    <xf numFmtId="49" fontId="2" fillId="0" borderId="5" xfId="1" applyNumberFormat="1" applyFont="1" applyBorder="1" applyAlignment="1">
      <alignment horizontal="left" vertical="center"/>
    </xf>
    <xf numFmtId="1" fontId="17" fillId="0" borderId="1" xfId="1" applyNumberFormat="1" applyFont="1" applyBorder="1" applyAlignment="1">
      <alignment horizontal="center" vertical="center"/>
    </xf>
    <xf numFmtId="1" fontId="17" fillId="0" borderId="0" xfId="1" applyNumberFormat="1" applyFont="1" applyAlignment="1">
      <alignment horizontal="center" vertical="center"/>
    </xf>
    <xf numFmtId="1" fontId="17" fillId="0" borderId="5" xfId="1" applyNumberFormat="1" applyFont="1" applyBorder="1" applyAlignment="1">
      <alignment horizontal="center" vertical="center"/>
    </xf>
    <xf numFmtId="2" fontId="17" fillId="0" borderId="1" xfId="1" applyNumberFormat="1" applyFont="1" applyBorder="1" applyAlignment="1">
      <alignment horizontal="center" vertical="center"/>
    </xf>
    <xf numFmtId="2" fontId="17" fillId="0" borderId="0" xfId="1" applyNumberFormat="1" applyFont="1" applyAlignment="1">
      <alignment horizontal="center" vertical="center"/>
    </xf>
    <xf numFmtId="2" fontId="17" fillId="0" borderId="5" xfId="1" applyNumberFormat="1" applyFont="1" applyBorder="1" applyAlignment="1">
      <alignment horizontal="center" vertical="center"/>
    </xf>
    <xf numFmtId="0" fontId="1" fillId="0" borderId="0" xfId="1" applyAlignment="1">
      <alignment horizontal="left" vertical="center"/>
    </xf>
    <xf numFmtId="0" fontId="2" fillId="0" borderId="0" xfId="1" applyFont="1" applyAlignment="1">
      <alignment horizontal="center" vertical="center"/>
    </xf>
    <xf numFmtId="49" fontId="2" fillId="0" borderId="1" xfId="1" applyNumberFormat="1" applyFont="1" applyBorder="1" applyAlignment="1">
      <alignment horizontal="center" vertical="center"/>
    </xf>
    <xf numFmtId="49" fontId="2" fillId="0" borderId="5" xfId="1" applyNumberFormat="1" applyFont="1" applyBorder="1" applyAlignment="1">
      <alignment horizontal="center" vertical="center"/>
    </xf>
    <xf numFmtId="49" fontId="2" fillId="3" borderId="3" xfId="1" applyNumberFormat="1" applyFont="1" applyFill="1" applyBorder="1" applyAlignment="1">
      <alignment horizontal="left" vertical="center"/>
    </xf>
    <xf numFmtId="49" fontId="2" fillId="3" borderId="4" xfId="1" applyNumberFormat="1" applyFont="1" applyFill="1" applyBorder="1" applyAlignment="1">
      <alignment horizontal="left" vertical="center"/>
    </xf>
    <xf numFmtId="49" fontId="2" fillId="3" borderId="5" xfId="1" applyNumberFormat="1" applyFont="1" applyFill="1" applyBorder="1" applyAlignment="1">
      <alignment horizontal="left" vertical="center"/>
    </xf>
    <xf numFmtId="49" fontId="2" fillId="3" borderId="7" xfId="1" applyNumberFormat="1" applyFont="1" applyFill="1" applyBorder="1" applyAlignment="1">
      <alignment horizontal="left" vertical="center"/>
    </xf>
    <xf numFmtId="49" fontId="2" fillId="3" borderId="8" xfId="1" applyNumberFormat="1" applyFont="1" applyFill="1" applyBorder="1" applyAlignment="1">
      <alignment horizontal="left" vertical="center"/>
    </xf>
    <xf numFmtId="9" fontId="5" fillId="0" borderId="0" xfId="1" applyNumberFormat="1" applyFont="1" applyAlignment="1">
      <alignment horizontal="center" vertical="center"/>
    </xf>
    <xf numFmtId="169" fontId="2" fillId="0" borderId="0" xfId="1" applyNumberFormat="1" applyFont="1" applyAlignment="1">
      <alignment horizontal="center" vertical="center"/>
    </xf>
    <xf numFmtId="2" fontId="10" fillId="0" borderId="0" xfId="1" applyNumberFormat="1" applyFont="1" applyAlignment="1">
      <alignment horizontal="center" vertical="center"/>
    </xf>
    <xf numFmtId="1" fontId="7" fillId="0" borderId="1" xfId="1" applyNumberFormat="1" applyFont="1" applyBorder="1" applyAlignment="1">
      <alignment horizontal="center" vertical="center"/>
    </xf>
    <xf numFmtId="1" fontId="7" fillId="0" borderId="0" xfId="1" applyNumberFormat="1" applyFont="1" applyAlignment="1">
      <alignment horizontal="center" vertical="center"/>
    </xf>
    <xf numFmtId="1" fontId="7" fillId="0" borderId="5" xfId="1" applyNumberFormat="1" applyFont="1" applyBorder="1" applyAlignment="1">
      <alignment horizontal="center" vertical="center"/>
    </xf>
    <xf numFmtId="1" fontId="7" fillId="0" borderId="6" xfId="1" applyNumberFormat="1" applyFont="1" applyBorder="1" applyAlignment="1">
      <alignment horizontal="center" vertical="center"/>
    </xf>
    <xf numFmtId="1" fontId="7" fillId="0" borderId="7" xfId="1" applyNumberFormat="1" applyFont="1" applyBorder="1" applyAlignment="1">
      <alignment horizontal="center" vertical="center"/>
    </xf>
    <xf numFmtId="1" fontId="7" fillId="0" borderId="8" xfId="1" applyNumberFormat="1" applyFont="1" applyBorder="1" applyAlignment="1">
      <alignment horizontal="center" vertical="center"/>
    </xf>
    <xf numFmtId="1" fontId="7" fillId="0" borderId="0" xfId="1" applyNumberFormat="1" applyFont="1" applyAlignment="1">
      <alignment horizontal="left" vertical="center"/>
    </xf>
    <xf numFmtId="1" fontId="7" fillId="0" borderId="5" xfId="1" applyNumberFormat="1" applyFont="1" applyBorder="1" applyAlignment="1">
      <alignment horizontal="left" vertical="center"/>
    </xf>
    <xf numFmtId="1" fontId="7" fillId="0" borderId="7" xfId="1" applyNumberFormat="1" applyFont="1" applyBorder="1" applyAlignment="1">
      <alignment horizontal="left" vertical="center"/>
    </xf>
    <xf numFmtId="1" fontId="7" fillId="0" borderId="8" xfId="1" applyNumberFormat="1" applyFont="1" applyBorder="1" applyAlignment="1">
      <alignment horizontal="left" vertical="center"/>
    </xf>
    <xf numFmtId="167" fontId="7" fillId="0" borderId="1" xfId="1" applyNumberFormat="1" applyFont="1" applyBorder="1" applyAlignment="1">
      <alignment horizontal="center" vertical="center"/>
    </xf>
    <xf numFmtId="167" fontId="7" fillId="0" borderId="0" xfId="1" applyNumberFormat="1" applyFont="1" applyAlignment="1">
      <alignment horizontal="center" vertical="center"/>
    </xf>
    <xf numFmtId="167" fontId="7" fillId="0" borderId="5" xfId="1" applyNumberFormat="1" applyFont="1" applyBorder="1" applyAlignment="1">
      <alignment horizontal="center" vertical="center"/>
    </xf>
    <xf numFmtId="167" fontId="2" fillId="0" borderId="0" xfId="1" applyNumberFormat="1" applyFont="1" applyAlignment="1">
      <alignment horizontal="center" vertical="center"/>
    </xf>
    <xf numFmtId="167" fontId="2" fillId="0" borderId="0" xfId="1" applyNumberFormat="1" applyFont="1" applyAlignment="1">
      <alignment horizontal="left" vertical="center"/>
    </xf>
    <xf numFmtId="2" fontId="7" fillId="0" borderId="2" xfId="1" applyNumberFormat="1" applyFont="1" applyBorder="1" applyAlignment="1">
      <alignment horizontal="center" vertical="center"/>
    </xf>
    <xf numFmtId="2" fontId="7" fillId="0" borderId="3" xfId="1" applyNumberFormat="1" applyFont="1" applyBorder="1" applyAlignment="1">
      <alignment horizontal="center" vertical="center"/>
    </xf>
    <xf numFmtId="2" fontId="7" fillId="0" borderId="4" xfId="1" applyNumberFormat="1" applyFont="1" applyBorder="1" applyAlignment="1">
      <alignment horizontal="center" vertical="center"/>
    </xf>
    <xf numFmtId="49" fontId="2" fillId="5" borderId="5" xfId="1" applyNumberFormat="1" applyFont="1" applyFill="1" applyBorder="1" applyAlignment="1">
      <alignment horizontal="left" vertical="center"/>
    </xf>
    <xf numFmtId="9" fontId="5" fillId="0" borderId="0" xfId="3" applyFont="1" applyBorder="1" applyAlignment="1" applyProtection="1">
      <alignment horizontal="left" vertical="center"/>
      <protection locked="0"/>
    </xf>
    <xf numFmtId="9" fontId="5" fillId="0" borderId="5" xfId="3" applyFont="1" applyBorder="1" applyAlignment="1" applyProtection="1">
      <alignment horizontal="left" vertical="center"/>
      <protection locked="0"/>
    </xf>
    <xf numFmtId="49" fontId="10" fillId="5" borderId="0" xfId="1" applyNumberFormat="1" applyFont="1" applyFill="1" applyAlignment="1">
      <alignment horizontal="left" vertical="center"/>
    </xf>
    <xf numFmtId="49" fontId="5" fillId="0" borderId="1" xfId="1" applyNumberFormat="1" applyFont="1" applyBorder="1" applyAlignment="1" applyProtection="1">
      <alignment horizontal="center" vertical="center"/>
      <protection locked="0"/>
    </xf>
    <xf numFmtId="49" fontId="5" fillId="0" borderId="0" xfId="1" applyNumberFormat="1" applyFont="1" applyAlignment="1" applyProtection="1">
      <alignment horizontal="center" vertical="center"/>
      <protection locked="0"/>
    </xf>
    <xf numFmtId="49" fontId="5" fillId="0" borderId="5" xfId="1" applyNumberFormat="1" applyFont="1" applyBorder="1" applyAlignment="1" applyProtection="1">
      <alignment horizontal="center" vertical="center"/>
      <protection locked="0"/>
    </xf>
    <xf numFmtId="49" fontId="7" fillId="5" borderId="0" xfId="1" applyNumberFormat="1" applyFont="1" applyFill="1" applyAlignment="1">
      <alignment horizontal="left" vertical="center" wrapText="1"/>
    </xf>
    <xf numFmtId="49" fontId="3" fillId="5" borderId="3" xfId="1" applyNumberFormat="1" applyFont="1" applyFill="1" applyBorder="1" applyAlignment="1">
      <alignment horizontal="left" vertical="center" wrapText="1"/>
    </xf>
    <xf numFmtId="49" fontId="3" fillId="5" borderId="0" xfId="1" applyNumberFormat="1" applyFont="1" applyFill="1" applyAlignment="1">
      <alignment horizontal="left" vertical="center" wrapText="1"/>
    </xf>
    <xf numFmtId="49" fontId="7" fillId="5" borderId="5" xfId="1" applyNumberFormat="1" applyFont="1" applyFill="1" applyBorder="1" applyAlignment="1">
      <alignment horizontal="left" vertical="center" wrapText="1"/>
    </xf>
    <xf numFmtId="1" fontId="10" fillId="0" borderId="0" xfId="1" applyNumberFormat="1" applyFont="1" applyAlignment="1">
      <alignment horizontal="center" vertical="center"/>
    </xf>
    <xf numFmtId="165" fontId="10" fillId="0" borderId="0" xfId="1" applyNumberFormat="1" applyFont="1" applyAlignment="1">
      <alignment horizontal="center" vertical="center"/>
    </xf>
    <xf numFmtId="1" fontId="8" fillId="0" borderId="1" xfId="1" applyNumberFormat="1" applyFont="1" applyBorder="1" applyAlignment="1" applyProtection="1">
      <alignment horizontal="center" vertical="center"/>
      <protection locked="0"/>
    </xf>
    <xf numFmtId="1" fontId="8" fillId="0" borderId="0" xfId="1" applyNumberFormat="1" applyFont="1" applyAlignment="1" applyProtection="1">
      <alignment horizontal="center" vertical="center"/>
      <protection locked="0"/>
    </xf>
    <xf numFmtId="49" fontId="7" fillId="0" borderId="2" xfId="1" applyNumberFormat="1" applyFont="1" applyBorder="1" applyAlignment="1">
      <alignment horizontal="center" vertical="center" wrapText="1"/>
    </xf>
    <xf numFmtId="49" fontId="7" fillId="0" borderId="3" xfId="1" applyNumberFormat="1" applyFont="1" applyBorder="1" applyAlignment="1">
      <alignment horizontal="center" vertical="center" wrapText="1"/>
    </xf>
    <xf numFmtId="49" fontId="7" fillId="0" borderId="4" xfId="1" applyNumberFormat="1" applyFont="1" applyBorder="1" applyAlignment="1">
      <alignment horizontal="center" vertical="center" wrapText="1"/>
    </xf>
    <xf numFmtId="49" fontId="7" fillId="0" borderId="1" xfId="1" applyNumberFormat="1" applyFont="1" applyBorder="1" applyAlignment="1">
      <alignment horizontal="center" vertical="center" wrapText="1"/>
    </xf>
    <xf numFmtId="49" fontId="7" fillId="0" borderId="0" xfId="1" applyNumberFormat="1" applyFont="1" applyAlignment="1">
      <alignment horizontal="center" vertical="center" wrapText="1"/>
    </xf>
    <xf numFmtId="49" fontId="7" fillId="0" borderId="5" xfId="1" applyNumberFormat="1" applyFont="1" applyBorder="1" applyAlignment="1">
      <alignment horizontal="center" vertical="center" wrapText="1"/>
    </xf>
    <xf numFmtId="2" fontId="2" fillId="5" borderId="0" xfId="1" applyNumberFormat="1" applyFont="1" applyFill="1" applyAlignment="1">
      <alignment horizontal="left" vertical="center"/>
    </xf>
    <xf numFmtId="2" fontId="2" fillId="5" borderId="5" xfId="1" applyNumberFormat="1" applyFont="1" applyFill="1" applyBorder="1" applyAlignment="1">
      <alignment horizontal="left" vertical="center"/>
    </xf>
    <xf numFmtId="0" fontId="5" fillId="0" borderId="0" xfId="1" applyFont="1" applyAlignment="1" applyProtection="1">
      <alignment horizontal="center" vertical="center"/>
      <protection locked="0"/>
    </xf>
    <xf numFmtId="1" fontId="18" fillId="0" borderId="0" xfId="1" applyNumberFormat="1" applyFont="1" applyAlignment="1" applyProtection="1">
      <alignment horizontal="center" vertical="center"/>
      <protection locked="0"/>
    </xf>
    <xf numFmtId="1" fontId="2" fillId="5" borderId="1" xfId="1" applyNumberFormat="1" applyFont="1" applyFill="1" applyBorder="1" applyAlignment="1">
      <alignment horizontal="center" vertical="center"/>
    </xf>
    <xf numFmtId="1" fontId="2" fillId="5" borderId="0" xfId="1" applyNumberFormat="1" applyFont="1" applyFill="1" applyAlignment="1">
      <alignment horizontal="center" vertical="center"/>
    </xf>
    <xf numFmtId="1" fontId="2" fillId="5" borderId="5" xfId="1" applyNumberFormat="1" applyFont="1" applyFill="1" applyBorder="1" applyAlignment="1">
      <alignment horizontal="center" vertical="center"/>
    </xf>
    <xf numFmtId="49" fontId="3" fillId="5" borderId="0" xfId="1" applyNumberFormat="1" applyFont="1" applyFill="1" applyAlignment="1">
      <alignment horizontal="left" vertical="center"/>
    </xf>
    <xf numFmtId="49" fontId="3" fillId="5" borderId="5" xfId="1" applyNumberFormat="1" applyFont="1" applyFill="1" applyBorder="1" applyAlignment="1">
      <alignment horizontal="left" vertical="center"/>
    </xf>
    <xf numFmtId="49" fontId="3" fillId="5" borderId="7" xfId="1" applyNumberFormat="1" applyFont="1" applyFill="1" applyBorder="1" applyAlignment="1">
      <alignment horizontal="left" vertical="center"/>
    </xf>
    <xf numFmtId="49" fontId="3" fillId="5" borderId="8" xfId="1" applyNumberFormat="1" applyFont="1" applyFill="1" applyBorder="1" applyAlignment="1">
      <alignment horizontal="left" vertical="center"/>
    </xf>
    <xf numFmtId="1" fontId="5" fillId="0" borderId="0" xfId="1" applyNumberFormat="1" applyFont="1" applyAlignment="1" applyProtection="1">
      <alignment horizontal="left" vertical="center"/>
      <protection locked="0"/>
    </xf>
    <xf numFmtId="165" fontId="7" fillId="0" borderId="3" xfId="1" applyNumberFormat="1" applyFont="1" applyBorder="1" applyAlignment="1">
      <alignment horizontal="center" vertical="center" wrapText="1"/>
    </xf>
    <xf numFmtId="165" fontId="7" fillId="0" borderId="4" xfId="1" applyNumberFormat="1" applyFont="1" applyBorder="1" applyAlignment="1">
      <alignment horizontal="center" vertical="center" wrapText="1"/>
    </xf>
    <xf numFmtId="165" fontId="7" fillId="0" borderId="0" xfId="1" applyNumberFormat="1" applyFont="1" applyAlignment="1">
      <alignment horizontal="center" vertical="center" wrapText="1"/>
    </xf>
    <xf numFmtId="165" fontId="7" fillId="0" borderId="5" xfId="1" applyNumberFormat="1" applyFont="1" applyBorder="1" applyAlignment="1">
      <alignment horizontal="center" vertical="center" wrapText="1"/>
    </xf>
    <xf numFmtId="165" fontId="7" fillId="0" borderId="7" xfId="1" applyNumberFormat="1" applyFont="1" applyBorder="1" applyAlignment="1">
      <alignment horizontal="center" vertical="center" wrapText="1"/>
    </xf>
    <xf numFmtId="165" fontId="7" fillId="0" borderId="8" xfId="1" applyNumberFormat="1" applyFont="1" applyBorder="1" applyAlignment="1">
      <alignment horizontal="center" vertical="center" wrapText="1"/>
    </xf>
    <xf numFmtId="49" fontId="2" fillId="5" borderId="7" xfId="1" applyNumberFormat="1" applyFont="1" applyFill="1" applyBorder="1" applyAlignment="1">
      <alignment horizontal="left" vertical="center"/>
    </xf>
    <xf numFmtId="49" fontId="2" fillId="5" borderId="8" xfId="1" applyNumberFormat="1" applyFont="1" applyFill="1" applyBorder="1" applyAlignment="1">
      <alignment horizontal="left" vertical="center"/>
    </xf>
    <xf numFmtId="49" fontId="2" fillId="0" borderId="3" xfId="1" applyNumberFormat="1" applyFont="1" applyBorder="1" applyAlignment="1">
      <alignment horizontal="left" vertical="center"/>
    </xf>
    <xf numFmtId="49" fontId="2" fillId="0" borderId="4" xfId="1" applyNumberFormat="1" applyFont="1" applyBorder="1" applyAlignment="1">
      <alignment horizontal="left" vertical="center"/>
    </xf>
    <xf numFmtId="49" fontId="2" fillId="0" borderId="7" xfId="1" applyNumberFormat="1" applyFont="1" applyBorder="1" applyAlignment="1">
      <alignment horizontal="left" vertical="center"/>
    </xf>
    <xf numFmtId="49" fontId="2" fillId="0" borderId="8" xfId="1" applyNumberFormat="1" applyFont="1" applyBorder="1" applyAlignment="1">
      <alignment horizontal="left" vertical="center"/>
    </xf>
    <xf numFmtId="1" fontId="5" fillId="0" borderId="3" xfId="1" applyNumberFormat="1" applyFont="1" applyBorder="1" applyAlignment="1" applyProtection="1">
      <alignment horizontal="left" vertical="center"/>
      <protection locked="0"/>
    </xf>
    <xf numFmtId="1" fontId="5" fillId="0" borderId="7" xfId="1" applyNumberFormat="1" applyFont="1" applyBorder="1" applyAlignment="1" applyProtection="1">
      <alignment horizontal="left" vertical="center"/>
      <protection locked="0"/>
    </xf>
    <xf numFmtId="49" fontId="3" fillId="0" borderId="3" xfId="1" applyNumberFormat="1" applyFont="1" applyBorder="1" applyAlignment="1">
      <alignment horizontal="left" vertical="center"/>
    </xf>
    <xf numFmtId="49" fontId="3" fillId="0" borderId="7" xfId="1" applyNumberFormat="1" applyFont="1" applyBorder="1" applyAlignment="1">
      <alignment horizontal="left" vertical="center"/>
    </xf>
    <xf numFmtId="165" fontId="10" fillId="0" borderId="3" xfId="1" applyNumberFormat="1" applyFont="1" applyBorder="1" applyAlignment="1">
      <alignment horizontal="left" vertical="center"/>
    </xf>
    <xf numFmtId="165" fontId="10" fillId="0" borderId="0" xfId="1" applyNumberFormat="1" applyFont="1" applyAlignment="1">
      <alignment horizontal="left" vertical="center"/>
    </xf>
    <xf numFmtId="165" fontId="10" fillId="0" borderId="7" xfId="1" applyNumberFormat="1" applyFont="1" applyBorder="1" applyAlignment="1">
      <alignment horizontal="left" vertical="center"/>
    </xf>
    <xf numFmtId="1" fontId="17" fillId="0" borderId="1" xfId="0" applyNumberFormat="1" applyFont="1" applyBorder="1" applyAlignment="1">
      <alignment horizontal="center" vertical="center"/>
    </xf>
    <xf numFmtId="1" fontId="17" fillId="0" borderId="0" xfId="0" applyNumberFormat="1" applyFont="1" applyAlignment="1">
      <alignment horizontal="center" vertical="center"/>
    </xf>
    <xf numFmtId="1" fontId="17" fillId="0" borderId="5" xfId="0" applyNumberFormat="1" applyFont="1" applyBorder="1" applyAlignment="1">
      <alignment horizontal="center" vertical="center"/>
    </xf>
    <xf numFmtId="49" fontId="2" fillId="5" borderId="3" xfId="1" applyNumberFormat="1" applyFont="1" applyFill="1" applyBorder="1" applyAlignment="1">
      <alignment horizontal="left" vertical="center"/>
    </xf>
    <xf numFmtId="49" fontId="2" fillId="5" borderId="4" xfId="1" applyNumberFormat="1" applyFont="1" applyFill="1" applyBorder="1" applyAlignment="1">
      <alignment horizontal="left" vertical="center"/>
    </xf>
    <xf numFmtId="2" fontId="3" fillId="0" borderId="0" xfId="1" applyNumberFormat="1" applyFont="1" applyAlignment="1">
      <alignment horizontal="center" vertical="center" wrapText="1"/>
    </xf>
    <xf numFmtId="2" fontId="7" fillId="0" borderId="0" xfId="1" applyNumberFormat="1" applyFont="1" applyAlignment="1">
      <alignment horizontal="center" vertical="center" wrapText="1"/>
    </xf>
    <xf numFmtId="0" fontId="1" fillId="0" borderId="0" xfId="1" applyAlignment="1">
      <alignment horizontal="center" vertical="center"/>
    </xf>
    <xf numFmtId="2" fontId="2" fillId="0" borderId="5" xfId="1" applyNumberFormat="1" applyFont="1" applyBorder="1" applyAlignment="1">
      <alignment horizontal="center" vertical="center"/>
    </xf>
    <xf numFmtId="1" fontId="5" fillId="6" borderId="0" xfId="1" applyNumberFormat="1" applyFont="1" applyFill="1" applyAlignment="1">
      <alignment horizontal="center" vertical="center"/>
    </xf>
    <xf numFmtId="170" fontId="2" fillId="0" borderId="0" xfId="1" applyNumberFormat="1" applyFont="1" applyAlignment="1">
      <alignment horizontal="center" vertical="center"/>
    </xf>
    <xf numFmtId="49" fontId="7" fillId="5" borderId="3" xfId="1" applyNumberFormat="1" applyFont="1" applyFill="1" applyBorder="1" applyAlignment="1">
      <alignment horizontal="left" vertical="center" wrapText="1"/>
    </xf>
    <xf numFmtId="49" fontId="7" fillId="5" borderId="4" xfId="1" applyNumberFormat="1" applyFont="1" applyFill="1" applyBorder="1" applyAlignment="1">
      <alignment horizontal="left" vertical="center" wrapText="1"/>
    </xf>
    <xf numFmtId="49" fontId="10" fillId="5" borderId="0" xfId="1" applyNumberFormat="1" applyFont="1" applyFill="1" applyAlignment="1">
      <alignment horizontal="left" vertical="center" wrapText="1"/>
    </xf>
    <xf numFmtId="49" fontId="10" fillId="5" borderId="5" xfId="1" applyNumberFormat="1" applyFont="1" applyFill="1" applyBorder="1" applyAlignment="1">
      <alignment horizontal="left" vertical="center" wrapText="1"/>
    </xf>
    <xf numFmtId="49" fontId="7" fillId="0" borderId="6" xfId="1" applyNumberFormat="1" applyFont="1" applyBorder="1" applyAlignment="1">
      <alignment horizontal="center" vertical="center" wrapText="1"/>
    </xf>
    <xf numFmtId="49" fontId="7" fillId="0" borderId="7" xfId="1" applyNumberFormat="1" applyFont="1" applyBorder="1" applyAlignment="1">
      <alignment horizontal="center" vertical="center" wrapText="1"/>
    </xf>
    <xf numFmtId="49" fontId="7" fillId="0" borderId="8" xfId="1" applyNumberFormat="1" applyFont="1" applyBorder="1" applyAlignment="1">
      <alignment horizontal="center" vertical="center" wrapText="1"/>
    </xf>
    <xf numFmtId="9" fontId="5" fillId="0" borderId="0" xfId="3" applyFont="1" applyAlignment="1" applyProtection="1">
      <alignment horizontal="left" vertical="center"/>
      <protection locked="0"/>
    </xf>
    <xf numFmtId="49" fontId="3" fillId="0" borderId="1" xfId="1" applyNumberFormat="1" applyFont="1" applyBorder="1" applyAlignment="1">
      <alignment horizontal="center" vertical="center"/>
    </xf>
    <xf numFmtId="49" fontId="3" fillId="0" borderId="5" xfId="1" applyNumberFormat="1" applyFont="1" applyBorder="1" applyAlignment="1">
      <alignment horizontal="center" vertical="center"/>
    </xf>
    <xf numFmtId="0" fontId="2" fillId="0" borderId="0" xfId="1" applyFont="1" applyAlignment="1">
      <alignment horizontal="left" vertical="center"/>
    </xf>
    <xf numFmtId="0" fontId="2" fillId="0" borderId="5" xfId="1" applyFont="1" applyBorder="1" applyAlignment="1">
      <alignment horizontal="left" vertical="center"/>
    </xf>
    <xf numFmtId="1" fontId="15" fillId="0" borderId="1" xfId="1" applyNumberFormat="1" applyFont="1" applyBorder="1" applyAlignment="1">
      <alignment horizontal="center" vertical="center"/>
    </xf>
    <xf numFmtId="1" fontId="15" fillId="0" borderId="0" xfId="1" applyNumberFormat="1" applyFont="1" applyAlignment="1">
      <alignment horizontal="center" vertical="center"/>
    </xf>
    <xf numFmtId="1" fontId="15" fillId="0" borderId="5" xfId="1" applyNumberFormat="1" applyFont="1" applyBorder="1" applyAlignment="1">
      <alignment horizontal="center" vertical="center"/>
    </xf>
    <xf numFmtId="1" fontId="15" fillId="0" borderId="6" xfId="1" applyNumberFormat="1" applyFont="1" applyBorder="1" applyAlignment="1">
      <alignment horizontal="center" vertical="center"/>
    </xf>
    <xf numFmtId="1" fontId="15" fillId="0" borderId="7" xfId="1" applyNumberFormat="1" applyFont="1" applyBorder="1" applyAlignment="1">
      <alignment horizontal="center" vertical="center"/>
    </xf>
    <xf numFmtId="1" fontId="15" fillId="0" borderId="8" xfId="1" applyNumberFormat="1" applyFont="1" applyBorder="1" applyAlignment="1">
      <alignment horizontal="center" vertical="center"/>
    </xf>
    <xf numFmtId="2" fontId="2" fillId="0" borderId="0" xfId="1" applyNumberFormat="1" applyFont="1" applyAlignment="1">
      <alignment vertical="center"/>
    </xf>
    <xf numFmtId="0" fontId="1" fillId="0" borderId="0" xfId="1" applyAlignment="1">
      <alignment vertical="center"/>
    </xf>
    <xf numFmtId="9" fontId="5" fillId="0" borderId="0" xfId="1" applyNumberFormat="1" applyFont="1" applyAlignment="1" applyProtection="1">
      <alignment horizontal="left" vertical="center"/>
      <protection locked="0"/>
    </xf>
    <xf numFmtId="9" fontId="5" fillId="0" borderId="5" xfId="1" applyNumberFormat="1" applyFont="1" applyBorder="1" applyAlignment="1" applyProtection="1">
      <alignment horizontal="left" vertical="center"/>
      <protection locked="0"/>
    </xf>
    <xf numFmtId="49" fontId="3" fillId="0" borderId="0" xfId="1" applyNumberFormat="1" applyFont="1" applyAlignment="1">
      <alignment horizontal="left" vertical="center" wrapText="1"/>
    </xf>
    <xf numFmtId="2" fontId="2" fillId="0" borderId="3" xfId="1" applyNumberFormat="1" applyFont="1" applyBorder="1" applyAlignment="1">
      <alignment horizontal="left" vertical="center"/>
    </xf>
    <xf numFmtId="2" fontId="2" fillId="0" borderId="4" xfId="1" applyNumberFormat="1" applyFont="1" applyBorder="1" applyAlignment="1">
      <alignment horizontal="left" vertical="center"/>
    </xf>
    <xf numFmtId="2" fontId="2" fillId="0" borderId="7" xfId="1" applyNumberFormat="1" applyFont="1" applyBorder="1" applyAlignment="1">
      <alignment horizontal="left" vertical="center"/>
    </xf>
    <xf numFmtId="2" fontId="2" fillId="0" borderId="8" xfId="1" applyNumberFormat="1" applyFont="1" applyBorder="1" applyAlignment="1">
      <alignment horizontal="left" vertical="center"/>
    </xf>
    <xf numFmtId="1" fontId="21" fillId="0" borderId="0" xfId="1" applyNumberFormat="1" applyFont="1" applyAlignment="1">
      <alignment horizontal="center" vertical="center"/>
    </xf>
    <xf numFmtId="171" fontId="21" fillId="0" borderId="0" xfId="1" applyNumberFormat="1" applyFont="1" applyAlignment="1">
      <alignment horizontal="center" vertical="center"/>
    </xf>
    <xf numFmtId="2" fontId="21" fillId="0" borderId="0" xfId="1" applyNumberFormat="1" applyFont="1" applyAlignment="1">
      <alignment horizontal="center" vertical="center"/>
    </xf>
    <xf numFmtId="49" fontId="15" fillId="0" borderId="0" xfId="1" applyNumberFormat="1" applyFont="1" applyAlignment="1" applyProtection="1">
      <alignment horizontal="left" vertical="center"/>
      <protection locked="0"/>
    </xf>
    <xf numFmtId="166" fontId="2" fillId="0" borderId="0" xfId="2" applyFont="1" applyAlignment="1">
      <alignment horizontal="center" vertical="center"/>
    </xf>
    <xf numFmtId="49" fontId="8" fillId="0" borderId="0" xfId="1" applyNumberFormat="1" applyFont="1" applyAlignment="1" applyProtection="1">
      <alignment horizontal="left" vertical="center"/>
      <protection locked="0"/>
    </xf>
    <xf numFmtId="49" fontId="8" fillId="0" borderId="5" xfId="1" applyNumberFormat="1" applyFont="1" applyBorder="1" applyAlignment="1" applyProtection="1">
      <alignment horizontal="left" vertical="center"/>
      <protection locked="0"/>
    </xf>
    <xf numFmtId="167" fontId="2" fillId="0" borderId="1" xfId="1" applyNumberFormat="1" applyFont="1" applyBorder="1" applyAlignment="1">
      <alignment horizontal="center" vertical="center"/>
    </xf>
    <xf numFmtId="2" fontId="5" fillId="0" borderId="0" xfId="1" applyNumberFormat="1" applyFont="1" applyAlignment="1" applyProtection="1">
      <alignment horizontal="center" vertical="center"/>
      <protection locked="0"/>
    </xf>
    <xf numFmtId="2" fontId="2" fillId="3" borderId="10" xfId="1" applyNumberFormat="1" applyFont="1" applyFill="1" applyBorder="1" applyAlignment="1">
      <alignment horizontal="left" vertical="center"/>
    </xf>
    <xf numFmtId="49" fontId="2" fillId="5" borderId="0" xfId="1" applyNumberFormat="1" applyFont="1" applyFill="1" applyAlignment="1" applyProtection="1">
      <alignment horizontal="left" vertical="center"/>
      <protection locked="0"/>
    </xf>
    <xf numFmtId="164" fontId="2" fillId="5" borderId="0" xfId="1" applyNumberFormat="1" applyFont="1" applyFill="1" applyAlignment="1">
      <alignment horizontal="left" vertical="center"/>
    </xf>
    <xf numFmtId="49" fontId="9" fillId="3" borderId="0" xfId="1" applyNumberFormat="1" applyFont="1" applyFill="1" applyAlignment="1" applyProtection="1">
      <alignment horizontal="center" vertical="center"/>
      <protection hidden="1"/>
    </xf>
    <xf numFmtId="49" fontId="9" fillId="0" borderId="0" xfId="1" applyNumberFormat="1" applyFont="1" applyAlignment="1" applyProtection="1">
      <alignment horizontal="center" vertical="center"/>
      <protection hidden="1"/>
    </xf>
    <xf numFmtId="2" fontId="7" fillId="2" borderId="0" xfId="1" applyNumberFormat="1" applyFont="1" applyFill="1" applyAlignment="1" applyProtection="1">
      <alignment horizontal="center" vertical="center" wrapText="1"/>
      <protection hidden="1"/>
    </xf>
    <xf numFmtId="1" fontId="2" fillId="2" borderId="0" xfId="1" applyNumberFormat="1" applyFont="1" applyFill="1" applyAlignment="1" applyProtection="1">
      <alignment horizontal="center" vertical="center"/>
      <protection hidden="1"/>
    </xf>
    <xf numFmtId="49" fontId="8" fillId="2" borderId="0" xfId="1" applyNumberFormat="1" applyFont="1" applyFill="1" applyAlignment="1" applyProtection="1">
      <alignment horizontal="left" vertical="center"/>
      <protection locked="0" hidden="1"/>
    </xf>
    <xf numFmtId="2" fontId="2" fillId="2" borderId="0" xfId="1" applyNumberFormat="1" applyFont="1" applyFill="1" applyAlignment="1" applyProtection="1">
      <alignment horizontal="left" vertical="center"/>
      <protection hidden="1"/>
    </xf>
    <xf numFmtId="1" fontId="5" fillId="2" borderId="0" xfId="1" applyNumberFormat="1" applyFont="1" applyFill="1" applyAlignment="1" applyProtection="1">
      <alignment horizontal="center" vertical="center"/>
      <protection locked="0" hidden="1"/>
    </xf>
    <xf numFmtId="166" fontId="2" fillId="2" borderId="0" xfId="2" applyFont="1" applyFill="1" applyBorder="1" applyAlignment="1" applyProtection="1">
      <alignment horizontal="center" vertical="center"/>
      <protection hidden="1"/>
    </xf>
    <xf numFmtId="167" fontId="2" fillId="0" borderId="0" xfId="1" applyNumberFormat="1" applyFont="1" applyAlignment="1" applyProtection="1">
      <alignment horizontal="center" vertical="center"/>
      <protection hidden="1"/>
    </xf>
    <xf numFmtId="2" fontId="2" fillId="0" borderId="0" xfId="1" applyNumberFormat="1" applyFont="1" applyAlignment="1" applyProtection="1">
      <alignment horizontal="center" vertical="center"/>
      <protection hidden="1"/>
    </xf>
    <xf numFmtId="167" fontId="2" fillId="0" borderId="1" xfId="1" applyNumberFormat="1" applyFont="1" applyBorder="1" applyAlignment="1" applyProtection="1">
      <alignment horizontal="center" vertical="center"/>
      <protection hidden="1"/>
    </xf>
    <xf numFmtId="49" fontId="7" fillId="2" borderId="0" xfId="1" applyNumberFormat="1" applyFont="1" applyFill="1" applyAlignment="1" applyProtection="1">
      <alignment horizontal="center" vertical="center"/>
      <protection hidden="1"/>
    </xf>
    <xf numFmtId="49" fontId="2" fillId="2" borderId="0" xfId="1" applyNumberFormat="1" applyFont="1" applyFill="1" applyAlignment="1" applyProtection="1">
      <alignment horizontal="center" vertical="center"/>
      <protection hidden="1"/>
    </xf>
    <xf numFmtId="2" fontId="2" fillId="2" borderId="0" xfId="1" applyNumberFormat="1" applyFont="1" applyFill="1" applyAlignment="1" applyProtection="1">
      <alignment horizontal="center" vertical="center"/>
      <protection hidden="1"/>
    </xf>
    <xf numFmtId="2" fontId="5" fillId="2" borderId="0" xfId="1" applyNumberFormat="1" applyFont="1" applyFill="1" applyAlignment="1" applyProtection="1">
      <alignment horizontal="center" vertical="center"/>
      <protection locked="0" hidden="1"/>
    </xf>
    <xf numFmtId="49" fontId="2" fillId="2" borderId="0" xfId="1" applyNumberFormat="1" applyFont="1" applyFill="1" applyAlignment="1" applyProtection="1">
      <alignment horizontal="left" vertical="center"/>
      <protection hidden="1"/>
    </xf>
    <xf numFmtId="49" fontId="6" fillId="2" borderId="0" xfId="1" applyNumberFormat="1" applyFont="1" applyFill="1" applyAlignment="1" applyProtection="1">
      <alignment horizontal="left" vertical="center"/>
      <protection locked="0" hidden="1"/>
    </xf>
    <xf numFmtId="164" fontId="2" fillId="2" borderId="0" xfId="1" applyNumberFormat="1" applyFont="1" applyFill="1" applyAlignment="1" applyProtection="1">
      <alignment horizontal="left" vertical="center"/>
      <protection hidden="1"/>
    </xf>
    <xf numFmtId="49" fontId="3" fillId="2" borderId="0" xfId="1" applyNumberFormat="1" applyFont="1" applyFill="1" applyAlignment="1" applyProtection="1">
      <alignment horizontal="left" vertical="center"/>
      <protection hidden="1"/>
    </xf>
    <xf numFmtId="49" fontId="3" fillId="2" borderId="0" xfId="1" quotePrefix="1" applyNumberFormat="1" applyFont="1" applyFill="1" applyAlignment="1" applyProtection="1">
      <alignment horizontal="left" vertical="center"/>
      <protection hidden="1"/>
    </xf>
    <xf numFmtId="49" fontId="4" fillId="2" borderId="0" xfId="1" applyNumberFormat="1" applyFont="1" applyFill="1" applyAlignment="1" applyProtection="1">
      <alignment horizontal="center" vertical="center"/>
      <protection hidden="1"/>
    </xf>
    <xf numFmtId="2" fontId="5" fillId="2" borderId="0" xfId="1" applyNumberFormat="1" applyFont="1" applyFill="1" applyAlignment="1" applyProtection="1">
      <alignment horizontal="left" vertical="center"/>
      <protection hidden="1"/>
    </xf>
  </cellXfs>
  <cellStyles count="4">
    <cellStyle name="Comma 2" xfId="2" xr:uid="{5233AA38-6CD4-4ABA-9028-A190FABD6A2D}"/>
    <cellStyle name="Normal" xfId="0" builtinId="0"/>
    <cellStyle name="Normal 2" xfId="1" xr:uid="{10C042AD-8D9D-4E52-9373-285E159148AC}"/>
    <cellStyle name="Percent 2" xfId="3" xr:uid="{0863E6E1-FDD1-49F6-9E54-40C0A16D807A}"/>
  </cellStyles>
  <dxfs count="3">
    <dxf>
      <font>
        <color rgb="FF9C0006"/>
      </font>
      <fill>
        <patternFill>
          <bgColor rgb="FFFFC7CE"/>
        </patternFill>
      </fill>
    </dxf>
    <dxf>
      <font>
        <color rgb="FF9C0006"/>
      </font>
      <fill>
        <patternFill>
          <bgColor rgb="FFFFC7CE"/>
        </patternFill>
      </fill>
    </dxf>
    <dxf>
      <fill>
        <patternFill>
          <bgColor rgb="FFFFAA06"/>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22/10/relationships/richValueRel" Target="richData/richValueRel.xml"/><Relationship Id="rId3" Type="http://schemas.openxmlformats.org/officeDocument/2006/relationships/worksheet" Target="worksheets/sheet3.xml"/><Relationship Id="rId21" Type="http://schemas.microsoft.com/office/2017/06/relationships/rdRichValueTypes" Target="richData/rdRichValueTyp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eetMetadata" Target="metadata.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sharedStrings" Target="sharedStrings.xml"/><Relationship Id="rId20" Type="http://schemas.microsoft.com/office/2017/06/relationships/rdRichValueStructure" Target="richData/rdrichvaluestructure.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styles" Target="styles.xml"/><Relationship Id="rId23" Type="http://schemas.openxmlformats.org/officeDocument/2006/relationships/customXml" Target="../customXml/item1.xml"/><Relationship Id="rId10" Type="http://schemas.openxmlformats.org/officeDocument/2006/relationships/worksheet" Target="worksheets/sheet10.xml"/><Relationship Id="rId19" Type="http://schemas.microsoft.com/office/2017/06/relationships/rdRichValue" Target="richData/rdrichvalue.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image" Target="../media/image17.png"/><Relationship Id="rId13" Type="http://schemas.openxmlformats.org/officeDocument/2006/relationships/image" Target="../media/image22.png"/><Relationship Id="rId18" Type="http://schemas.openxmlformats.org/officeDocument/2006/relationships/image" Target="../media/image27.png"/><Relationship Id="rId3" Type="http://schemas.openxmlformats.org/officeDocument/2006/relationships/image" Target="../media/image12.png"/><Relationship Id="rId7" Type="http://schemas.openxmlformats.org/officeDocument/2006/relationships/image" Target="../media/image16.png"/><Relationship Id="rId12" Type="http://schemas.openxmlformats.org/officeDocument/2006/relationships/image" Target="../media/image21.png"/><Relationship Id="rId17" Type="http://schemas.openxmlformats.org/officeDocument/2006/relationships/image" Target="../media/image26.png"/><Relationship Id="rId2" Type="http://schemas.openxmlformats.org/officeDocument/2006/relationships/image" Target="../media/image11.png"/><Relationship Id="rId16" Type="http://schemas.openxmlformats.org/officeDocument/2006/relationships/image" Target="../media/image25.png"/><Relationship Id="rId1" Type="http://schemas.openxmlformats.org/officeDocument/2006/relationships/image" Target="../media/image10.png"/><Relationship Id="rId6" Type="http://schemas.openxmlformats.org/officeDocument/2006/relationships/image" Target="../media/image15.png"/><Relationship Id="rId11" Type="http://schemas.openxmlformats.org/officeDocument/2006/relationships/image" Target="../media/image20.png"/><Relationship Id="rId5" Type="http://schemas.openxmlformats.org/officeDocument/2006/relationships/image" Target="../media/image14.png"/><Relationship Id="rId15" Type="http://schemas.openxmlformats.org/officeDocument/2006/relationships/image" Target="../media/image24.png"/><Relationship Id="rId10" Type="http://schemas.openxmlformats.org/officeDocument/2006/relationships/image" Target="../media/image19.png"/><Relationship Id="rId19" Type="http://schemas.openxmlformats.org/officeDocument/2006/relationships/image" Target="../media/image28.png"/><Relationship Id="rId4" Type="http://schemas.openxmlformats.org/officeDocument/2006/relationships/image" Target="../media/image13.png"/><Relationship Id="rId9" Type="http://schemas.openxmlformats.org/officeDocument/2006/relationships/image" Target="../media/image18.png"/><Relationship Id="rId14" Type="http://schemas.openxmlformats.org/officeDocument/2006/relationships/image" Target="../media/image2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28972</xdr:rowOff>
    </xdr:from>
    <xdr:to>
      <xdr:col>60</xdr:col>
      <xdr:colOff>91440</xdr:colOff>
      <xdr:row>22</xdr:row>
      <xdr:rowOff>12779</xdr:rowOff>
    </xdr:to>
    <xdr:pic>
      <xdr:nvPicPr>
        <xdr:cNvPr id="3" name="Picture 2">
          <a:extLst>
            <a:ext uri="{FF2B5EF4-FFF2-40B4-BE49-F238E27FC236}">
              <a16:creationId xmlns:a16="http://schemas.microsoft.com/office/drawing/2014/main" id="{F9C47500-9B1D-44CA-8C14-359EE40D866E}"/>
            </a:ext>
          </a:extLst>
        </xdr:cNvPr>
        <xdr:cNvPicPr>
          <a:picLocks noChangeAspect="1"/>
        </xdr:cNvPicPr>
      </xdr:nvPicPr>
      <xdr:blipFill>
        <a:blip xmlns:r="http://schemas.openxmlformats.org/officeDocument/2006/relationships" r:embed="rId1"/>
        <a:stretch>
          <a:fillRect/>
        </a:stretch>
      </xdr:blipFill>
      <xdr:spPr>
        <a:xfrm>
          <a:off x="0" y="28972"/>
          <a:ext cx="6610112" cy="1948338"/>
        </a:xfrm>
        <a:prstGeom prst="rect">
          <a:avLst/>
        </a:prstGeom>
      </xdr:spPr>
    </xdr:pic>
    <xdr:clientData/>
  </xdr:twoCellAnchor>
  <xdr:twoCellAnchor editAs="oneCell">
    <xdr:from>
      <xdr:col>3</xdr:col>
      <xdr:colOff>91440</xdr:colOff>
      <xdr:row>129</xdr:row>
      <xdr:rowOff>59056</xdr:rowOff>
    </xdr:from>
    <xdr:to>
      <xdr:col>60</xdr:col>
      <xdr:colOff>17144</xdr:colOff>
      <xdr:row>150</xdr:row>
      <xdr:rowOff>53578</xdr:rowOff>
    </xdr:to>
    <xdr:pic>
      <xdr:nvPicPr>
        <xdr:cNvPr id="4" name="Picture 3">
          <a:extLst>
            <a:ext uri="{FF2B5EF4-FFF2-40B4-BE49-F238E27FC236}">
              <a16:creationId xmlns:a16="http://schemas.microsoft.com/office/drawing/2014/main" id="{8990B019-7A04-40EE-BF61-3452AC6E2BF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t="924" b="924"/>
        <a:stretch/>
      </xdr:blipFill>
      <xdr:spPr>
        <a:xfrm>
          <a:off x="415290" y="11527156"/>
          <a:ext cx="6059804" cy="1861422"/>
        </a:xfrm>
        <a:prstGeom prst="rect">
          <a:avLst/>
        </a:prstGeom>
      </xdr:spPr>
    </xdr:pic>
    <xdr:clientData/>
  </xdr:twoCellAnchor>
  <xdr:twoCellAnchor editAs="oneCell">
    <xdr:from>
      <xdr:col>0</xdr:col>
      <xdr:colOff>19050</xdr:colOff>
      <xdr:row>119</xdr:row>
      <xdr:rowOff>38100</xdr:rowOff>
    </xdr:from>
    <xdr:to>
      <xdr:col>5</xdr:col>
      <xdr:colOff>18970</xdr:colOff>
      <xdr:row>125</xdr:row>
      <xdr:rowOff>19050</xdr:rowOff>
    </xdr:to>
    <xdr:pic>
      <xdr:nvPicPr>
        <xdr:cNvPr id="5" name="Picture 4">
          <a:extLst>
            <a:ext uri="{FF2B5EF4-FFF2-40B4-BE49-F238E27FC236}">
              <a16:creationId xmlns:a16="http://schemas.microsoft.com/office/drawing/2014/main" id="{53A0AA0A-701E-4FD5-AB0D-69BBCA9EB8F3}"/>
            </a:ext>
          </a:extLst>
        </xdr:cNvPr>
        <xdr:cNvPicPr>
          <a:picLocks noChangeAspect="1"/>
        </xdr:cNvPicPr>
      </xdr:nvPicPr>
      <xdr:blipFill>
        <a:blip xmlns:r="http://schemas.openxmlformats.org/officeDocument/2006/relationships" r:embed="rId3"/>
        <a:stretch>
          <a:fillRect/>
        </a:stretch>
      </xdr:blipFill>
      <xdr:spPr>
        <a:xfrm>
          <a:off x="19050" y="10617200"/>
          <a:ext cx="539670" cy="514350"/>
        </a:xfrm>
        <a:prstGeom prst="rect">
          <a:avLst/>
        </a:prstGeom>
      </xdr:spPr>
    </xdr:pic>
    <xdr:clientData/>
  </xdr:twoCellAnchor>
  <xdr:twoCellAnchor editAs="oneCell">
    <xdr:from>
      <xdr:col>0</xdr:col>
      <xdr:colOff>0</xdr:colOff>
      <xdr:row>22</xdr:row>
      <xdr:rowOff>38100</xdr:rowOff>
    </xdr:from>
    <xdr:to>
      <xdr:col>60</xdr:col>
      <xdr:colOff>77391</xdr:colOff>
      <xdr:row>43</xdr:row>
      <xdr:rowOff>54639</xdr:rowOff>
    </xdr:to>
    <xdr:pic>
      <xdr:nvPicPr>
        <xdr:cNvPr id="6" name="Picture 5">
          <a:extLst>
            <a:ext uri="{FF2B5EF4-FFF2-40B4-BE49-F238E27FC236}">
              <a16:creationId xmlns:a16="http://schemas.microsoft.com/office/drawing/2014/main" id="{1B7500C9-371B-41DF-93B0-377C257D92C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t="489" b="489"/>
        <a:stretch/>
      </xdr:blipFill>
      <xdr:spPr>
        <a:xfrm>
          <a:off x="0" y="1993900"/>
          <a:ext cx="6535341" cy="1883439"/>
        </a:xfrm>
        <a:prstGeom prst="rect">
          <a:avLst/>
        </a:prstGeom>
      </xdr:spPr>
    </xdr:pic>
    <xdr:clientData/>
  </xdr:twoCellAnchor>
  <xdr:twoCellAnchor editAs="oneCell">
    <xdr:from>
      <xdr:col>3</xdr:col>
      <xdr:colOff>104775</xdr:colOff>
      <xdr:row>152</xdr:row>
      <xdr:rowOff>11430</xdr:rowOff>
    </xdr:from>
    <xdr:to>
      <xdr:col>60</xdr:col>
      <xdr:colOff>36195</xdr:colOff>
      <xdr:row>199</xdr:row>
      <xdr:rowOff>3299</xdr:rowOff>
    </xdr:to>
    <xdr:pic>
      <xdr:nvPicPr>
        <xdr:cNvPr id="7" name="Picture 6">
          <a:extLst>
            <a:ext uri="{FF2B5EF4-FFF2-40B4-BE49-F238E27FC236}">
              <a16:creationId xmlns:a16="http://schemas.microsoft.com/office/drawing/2014/main" id="{4625F253-E23B-40B2-8EB5-DDCA4544E456}"/>
            </a:ext>
          </a:extLst>
        </xdr:cNvPr>
        <xdr:cNvPicPr>
          <a:picLocks noChangeAspect="1"/>
        </xdr:cNvPicPr>
      </xdr:nvPicPr>
      <xdr:blipFill rotWithShape="1">
        <a:blip xmlns:r="http://schemas.openxmlformats.org/officeDocument/2006/relationships" r:embed="rId5"/>
        <a:srcRect r="17944"/>
        <a:stretch/>
      </xdr:blipFill>
      <xdr:spPr>
        <a:xfrm>
          <a:off x="428625" y="13524230"/>
          <a:ext cx="6065520" cy="4170169"/>
        </a:xfrm>
        <a:prstGeom prst="rect">
          <a:avLst/>
        </a:prstGeom>
      </xdr:spPr>
    </xdr:pic>
    <xdr:clientData/>
  </xdr:twoCellAnchor>
  <xdr:twoCellAnchor editAs="oneCell">
    <xdr:from>
      <xdr:col>4</xdr:col>
      <xdr:colOff>22861</xdr:colOff>
      <xdr:row>86</xdr:row>
      <xdr:rowOff>22859</xdr:rowOff>
    </xdr:from>
    <xdr:to>
      <xdr:col>60</xdr:col>
      <xdr:colOff>95250</xdr:colOff>
      <xdr:row>129</xdr:row>
      <xdr:rowOff>38100</xdr:rowOff>
    </xdr:to>
    <xdr:pic>
      <xdr:nvPicPr>
        <xdr:cNvPr id="8" name="Picture 7">
          <a:extLst>
            <a:ext uri="{FF2B5EF4-FFF2-40B4-BE49-F238E27FC236}">
              <a16:creationId xmlns:a16="http://schemas.microsoft.com/office/drawing/2014/main" id="{121A8CDB-CADA-465E-A4C4-12E0EC6A02A4}"/>
            </a:ext>
          </a:extLst>
        </xdr:cNvPr>
        <xdr:cNvPicPr>
          <a:picLocks noChangeAspect="1"/>
        </xdr:cNvPicPr>
      </xdr:nvPicPr>
      <xdr:blipFill rotWithShape="1">
        <a:blip xmlns:r="http://schemas.openxmlformats.org/officeDocument/2006/relationships" r:embed="rId6"/>
        <a:srcRect r="10380" b="13574"/>
        <a:stretch/>
      </xdr:blipFill>
      <xdr:spPr>
        <a:xfrm>
          <a:off x="454661" y="7668259"/>
          <a:ext cx="6098539" cy="3837941"/>
        </a:xfrm>
        <a:prstGeom prst="rect">
          <a:avLst/>
        </a:prstGeom>
      </xdr:spPr>
    </xdr:pic>
    <xdr:clientData/>
  </xdr:twoCellAnchor>
  <xdr:twoCellAnchor editAs="oneCell">
    <xdr:from>
      <xdr:col>4</xdr:col>
      <xdr:colOff>45720</xdr:colOff>
      <xdr:row>242</xdr:row>
      <xdr:rowOff>60960</xdr:rowOff>
    </xdr:from>
    <xdr:to>
      <xdr:col>60</xdr:col>
      <xdr:colOff>95250</xdr:colOff>
      <xdr:row>265</xdr:row>
      <xdr:rowOff>58540</xdr:rowOff>
    </xdr:to>
    <xdr:pic>
      <xdr:nvPicPr>
        <xdr:cNvPr id="10" name="Picture 9">
          <a:extLst>
            <a:ext uri="{FF2B5EF4-FFF2-40B4-BE49-F238E27FC236}">
              <a16:creationId xmlns:a16="http://schemas.microsoft.com/office/drawing/2014/main" id="{F362AB15-CFBB-43EF-80E1-B15DB9E495A7}"/>
            </a:ext>
          </a:extLst>
        </xdr:cNvPr>
        <xdr:cNvPicPr>
          <a:picLocks noChangeAspect="1"/>
        </xdr:cNvPicPr>
      </xdr:nvPicPr>
      <xdr:blipFill>
        <a:blip xmlns:r="http://schemas.openxmlformats.org/officeDocument/2006/relationships" r:embed="rId7"/>
        <a:stretch>
          <a:fillRect/>
        </a:stretch>
      </xdr:blipFill>
      <xdr:spPr>
        <a:xfrm>
          <a:off x="477520" y="21574760"/>
          <a:ext cx="6075680" cy="2042280"/>
        </a:xfrm>
        <a:prstGeom prst="rect">
          <a:avLst/>
        </a:prstGeom>
      </xdr:spPr>
    </xdr:pic>
    <xdr:clientData/>
  </xdr:twoCellAnchor>
  <xdr:twoCellAnchor editAs="oneCell">
    <xdr:from>
      <xdr:col>5</xdr:col>
      <xdr:colOff>4844</xdr:colOff>
      <xdr:row>266</xdr:row>
      <xdr:rowOff>31750</xdr:rowOff>
    </xdr:from>
    <xdr:to>
      <xdr:col>58</xdr:col>
      <xdr:colOff>72546</xdr:colOff>
      <xdr:row>305</xdr:row>
      <xdr:rowOff>71268</xdr:rowOff>
    </xdr:to>
    <xdr:pic>
      <xdr:nvPicPr>
        <xdr:cNvPr id="11" name="Picture 10">
          <a:extLst>
            <a:ext uri="{FF2B5EF4-FFF2-40B4-BE49-F238E27FC236}">
              <a16:creationId xmlns:a16="http://schemas.microsoft.com/office/drawing/2014/main" id="{55F3D306-2A49-44A4-B6E7-6382B7AD3605}"/>
            </a:ext>
          </a:extLst>
        </xdr:cNvPr>
        <xdr:cNvPicPr>
          <a:picLocks noChangeAspect="1"/>
        </xdr:cNvPicPr>
      </xdr:nvPicPr>
      <xdr:blipFill rotWithShape="1">
        <a:blip xmlns:r="http://schemas.openxmlformats.org/officeDocument/2006/relationships" r:embed="rId8"/>
        <a:srcRect l="1014"/>
        <a:stretch/>
      </xdr:blipFill>
      <xdr:spPr>
        <a:xfrm>
          <a:off x="544594" y="23679150"/>
          <a:ext cx="5770002" cy="3506618"/>
        </a:xfrm>
        <a:prstGeom prst="rect">
          <a:avLst/>
        </a:prstGeom>
      </xdr:spPr>
    </xdr:pic>
    <xdr:clientData/>
  </xdr:twoCellAnchor>
  <xdr:twoCellAnchor editAs="oneCell">
    <xdr:from>
      <xdr:col>5</xdr:col>
      <xdr:colOff>7580</xdr:colOff>
      <xdr:row>296</xdr:row>
      <xdr:rowOff>50773</xdr:rowOff>
    </xdr:from>
    <xdr:to>
      <xdr:col>60</xdr:col>
      <xdr:colOff>11190</xdr:colOff>
      <xdr:row>305</xdr:row>
      <xdr:rowOff>38100</xdr:rowOff>
    </xdr:to>
    <xdr:pic>
      <xdr:nvPicPr>
        <xdr:cNvPr id="13" name="Picture 12">
          <a:extLst>
            <a:ext uri="{FF2B5EF4-FFF2-40B4-BE49-F238E27FC236}">
              <a16:creationId xmlns:a16="http://schemas.microsoft.com/office/drawing/2014/main" id="{80F204A3-4752-4892-BD15-1DE6772400F7}"/>
            </a:ext>
          </a:extLst>
        </xdr:cNvPr>
        <xdr:cNvPicPr>
          <a:picLocks noChangeAspect="1"/>
        </xdr:cNvPicPr>
      </xdr:nvPicPr>
      <xdr:blipFill>
        <a:blip xmlns:r="http://schemas.openxmlformats.org/officeDocument/2006/relationships" r:embed="rId9"/>
        <a:stretch>
          <a:fillRect/>
        </a:stretch>
      </xdr:blipFill>
      <xdr:spPr>
        <a:xfrm>
          <a:off x="547330" y="26365173"/>
          <a:ext cx="5921810" cy="787427"/>
        </a:xfrm>
        <a:prstGeom prst="rect">
          <a:avLst/>
        </a:prstGeom>
      </xdr:spPr>
    </xdr:pic>
    <xdr:clientData/>
  </xdr:twoCellAnchor>
  <xdr:twoCellAnchor editAs="oneCell">
    <xdr:from>
      <xdr:col>4</xdr:col>
      <xdr:colOff>85724</xdr:colOff>
      <xdr:row>366</xdr:row>
      <xdr:rowOff>76200</xdr:rowOff>
    </xdr:from>
    <xdr:to>
      <xdr:col>60</xdr:col>
      <xdr:colOff>69850</xdr:colOff>
      <xdr:row>397</xdr:row>
      <xdr:rowOff>76200</xdr:rowOff>
    </xdr:to>
    <xdr:pic>
      <xdr:nvPicPr>
        <xdr:cNvPr id="16" name="Picture 15">
          <a:extLst>
            <a:ext uri="{FF2B5EF4-FFF2-40B4-BE49-F238E27FC236}">
              <a16:creationId xmlns:a16="http://schemas.microsoft.com/office/drawing/2014/main" id="{8B13F578-4E44-40FD-897A-4195D940F141}"/>
            </a:ext>
          </a:extLst>
        </xdr:cNvPr>
        <xdr:cNvPicPr>
          <a:picLocks noChangeAspect="1"/>
        </xdr:cNvPicPr>
      </xdr:nvPicPr>
      <xdr:blipFill>
        <a:blip xmlns:r="http://schemas.openxmlformats.org/officeDocument/2006/relationships" r:embed="rId10"/>
        <a:stretch>
          <a:fillRect/>
        </a:stretch>
      </xdr:blipFill>
      <xdr:spPr>
        <a:xfrm>
          <a:off x="517524" y="32613600"/>
          <a:ext cx="6010276" cy="2755900"/>
        </a:xfrm>
        <a:prstGeom prst="rect">
          <a:avLst/>
        </a:prstGeom>
      </xdr:spPr>
    </xdr:pic>
    <xdr:clientData/>
  </xdr:twoCellAnchor>
  <xdr:twoCellAnchor editAs="oneCell">
    <xdr:from>
      <xdr:col>5</xdr:col>
      <xdr:colOff>44450</xdr:colOff>
      <xdr:row>399</xdr:row>
      <xdr:rowOff>52400</xdr:rowOff>
    </xdr:from>
    <xdr:to>
      <xdr:col>44</xdr:col>
      <xdr:colOff>62547</xdr:colOff>
      <xdr:row>435</xdr:row>
      <xdr:rowOff>55869</xdr:rowOff>
    </xdr:to>
    <xdr:pic>
      <xdr:nvPicPr>
        <xdr:cNvPr id="17" name="Picture 16">
          <a:extLst>
            <a:ext uri="{FF2B5EF4-FFF2-40B4-BE49-F238E27FC236}">
              <a16:creationId xmlns:a16="http://schemas.microsoft.com/office/drawing/2014/main" id="{8E9251BE-BDDD-46A6-9610-59762A9873C6}"/>
            </a:ext>
          </a:extLst>
        </xdr:cNvPr>
        <xdr:cNvPicPr>
          <a:picLocks noChangeAspect="1"/>
        </xdr:cNvPicPr>
      </xdr:nvPicPr>
      <xdr:blipFill>
        <a:blip xmlns:r="http://schemas.openxmlformats.org/officeDocument/2006/relationships" r:embed="rId11"/>
        <a:stretch>
          <a:fillRect/>
        </a:stretch>
      </xdr:blipFill>
      <xdr:spPr>
        <a:xfrm>
          <a:off x="584200" y="35523500"/>
          <a:ext cx="4221797" cy="3203869"/>
        </a:xfrm>
        <a:prstGeom prst="rect">
          <a:avLst/>
        </a:prstGeom>
      </xdr:spPr>
    </xdr:pic>
    <xdr:clientData/>
  </xdr:twoCellAnchor>
  <xdr:twoCellAnchor editAs="oneCell">
    <xdr:from>
      <xdr:col>5</xdr:col>
      <xdr:colOff>18561</xdr:colOff>
      <xdr:row>436</xdr:row>
      <xdr:rowOff>29431</xdr:rowOff>
    </xdr:from>
    <xdr:to>
      <xdr:col>44</xdr:col>
      <xdr:colOff>51898</xdr:colOff>
      <xdr:row>468</xdr:row>
      <xdr:rowOff>78854</xdr:rowOff>
    </xdr:to>
    <xdr:pic>
      <xdr:nvPicPr>
        <xdr:cNvPr id="18" name="Picture 17">
          <a:extLst>
            <a:ext uri="{FF2B5EF4-FFF2-40B4-BE49-F238E27FC236}">
              <a16:creationId xmlns:a16="http://schemas.microsoft.com/office/drawing/2014/main" id="{E4AEECAD-7573-4F14-B422-24D20A805A5E}"/>
            </a:ext>
          </a:extLst>
        </xdr:cNvPr>
        <xdr:cNvPicPr>
          <a:picLocks noChangeAspect="1"/>
        </xdr:cNvPicPr>
      </xdr:nvPicPr>
      <xdr:blipFill>
        <a:blip xmlns:r="http://schemas.openxmlformats.org/officeDocument/2006/relationships" r:embed="rId12"/>
        <a:stretch>
          <a:fillRect/>
        </a:stretch>
      </xdr:blipFill>
      <xdr:spPr>
        <a:xfrm>
          <a:off x="558311" y="38789831"/>
          <a:ext cx="4237037" cy="2894223"/>
        </a:xfrm>
        <a:prstGeom prst="rect">
          <a:avLst/>
        </a:prstGeom>
      </xdr:spPr>
    </xdr:pic>
    <xdr:clientData/>
  </xdr:twoCellAnchor>
  <xdr:twoCellAnchor editAs="oneCell">
    <xdr:from>
      <xdr:col>5</xdr:col>
      <xdr:colOff>245</xdr:colOff>
      <xdr:row>469</xdr:row>
      <xdr:rowOff>78533</xdr:rowOff>
    </xdr:from>
    <xdr:to>
      <xdr:col>44</xdr:col>
      <xdr:colOff>99989</xdr:colOff>
      <xdr:row>503</xdr:row>
      <xdr:rowOff>12861</xdr:rowOff>
    </xdr:to>
    <xdr:pic>
      <xdr:nvPicPr>
        <xdr:cNvPr id="19" name="Picture 18">
          <a:extLst>
            <a:ext uri="{FF2B5EF4-FFF2-40B4-BE49-F238E27FC236}">
              <a16:creationId xmlns:a16="http://schemas.microsoft.com/office/drawing/2014/main" id="{F5582EDD-986B-423B-9D53-585545AD549A}"/>
            </a:ext>
          </a:extLst>
        </xdr:cNvPr>
        <xdr:cNvPicPr>
          <a:picLocks noChangeAspect="1"/>
        </xdr:cNvPicPr>
      </xdr:nvPicPr>
      <xdr:blipFill>
        <a:blip xmlns:r="http://schemas.openxmlformats.org/officeDocument/2006/relationships" r:embed="rId13"/>
        <a:stretch>
          <a:fillRect/>
        </a:stretch>
      </xdr:blipFill>
      <xdr:spPr>
        <a:xfrm>
          <a:off x="539995" y="41772633"/>
          <a:ext cx="4303444" cy="2956928"/>
        </a:xfrm>
        <a:prstGeom prst="rect">
          <a:avLst/>
        </a:prstGeom>
      </xdr:spPr>
    </xdr:pic>
    <xdr:clientData/>
  </xdr:twoCellAnchor>
  <xdr:twoCellAnchor editAs="oneCell">
    <xdr:from>
      <xdr:col>4</xdr:col>
      <xdr:colOff>7620</xdr:colOff>
      <xdr:row>505</xdr:row>
      <xdr:rowOff>45739</xdr:rowOff>
    </xdr:from>
    <xdr:to>
      <xdr:col>60</xdr:col>
      <xdr:colOff>76200</xdr:colOff>
      <xdr:row>541</xdr:row>
      <xdr:rowOff>39795</xdr:rowOff>
    </xdr:to>
    <xdr:pic>
      <xdr:nvPicPr>
        <xdr:cNvPr id="20" name="Picture 19">
          <a:extLst>
            <a:ext uri="{FF2B5EF4-FFF2-40B4-BE49-F238E27FC236}">
              <a16:creationId xmlns:a16="http://schemas.microsoft.com/office/drawing/2014/main" id="{EB0B9E3B-234C-4F59-A639-4C9B79D51C24}"/>
            </a:ext>
          </a:extLst>
        </xdr:cNvPr>
        <xdr:cNvPicPr>
          <a:picLocks noChangeAspect="1"/>
        </xdr:cNvPicPr>
      </xdr:nvPicPr>
      <xdr:blipFill>
        <a:blip xmlns:r="http://schemas.openxmlformats.org/officeDocument/2006/relationships" r:embed="rId14"/>
        <a:stretch>
          <a:fillRect/>
        </a:stretch>
      </xdr:blipFill>
      <xdr:spPr>
        <a:xfrm>
          <a:off x="439420" y="44940239"/>
          <a:ext cx="6094730" cy="3194456"/>
        </a:xfrm>
        <a:prstGeom prst="rect">
          <a:avLst/>
        </a:prstGeom>
      </xdr:spPr>
    </xdr:pic>
    <xdr:clientData/>
  </xdr:twoCellAnchor>
  <xdr:twoCellAnchor editAs="oneCell">
    <xdr:from>
      <xdr:col>4</xdr:col>
      <xdr:colOff>46831</xdr:colOff>
      <xdr:row>332</xdr:row>
      <xdr:rowOff>50005</xdr:rowOff>
    </xdr:from>
    <xdr:to>
      <xdr:col>60</xdr:col>
      <xdr:colOff>32790</xdr:colOff>
      <xdr:row>364</xdr:row>
      <xdr:rowOff>27463</xdr:rowOff>
    </xdr:to>
    <xdr:pic>
      <xdr:nvPicPr>
        <xdr:cNvPr id="21" name="Picture 20">
          <a:extLst>
            <a:ext uri="{FF2B5EF4-FFF2-40B4-BE49-F238E27FC236}">
              <a16:creationId xmlns:a16="http://schemas.microsoft.com/office/drawing/2014/main" id="{0E9FE110-632A-405E-A50B-2F41AC1D72BF}"/>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xdr:blipFill>
      <xdr:spPr>
        <a:xfrm>
          <a:off x="478631" y="29564805"/>
          <a:ext cx="6012109" cy="2822258"/>
        </a:xfrm>
        <a:prstGeom prst="rect">
          <a:avLst/>
        </a:prstGeom>
      </xdr:spPr>
    </xdr:pic>
    <xdr:clientData/>
  </xdr:twoCellAnchor>
  <xdr:twoCellAnchor editAs="oneCell">
    <xdr:from>
      <xdr:col>4</xdr:col>
      <xdr:colOff>80962</xdr:colOff>
      <xdr:row>309</xdr:row>
      <xdr:rowOff>88107</xdr:rowOff>
    </xdr:from>
    <xdr:to>
      <xdr:col>60</xdr:col>
      <xdr:colOff>19050</xdr:colOff>
      <xdr:row>330</xdr:row>
      <xdr:rowOff>28773</xdr:rowOff>
    </xdr:to>
    <xdr:pic>
      <xdr:nvPicPr>
        <xdr:cNvPr id="22" name="Picture 21">
          <a:extLst>
            <a:ext uri="{FF2B5EF4-FFF2-40B4-BE49-F238E27FC236}">
              <a16:creationId xmlns:a16="http://schemas.microsoft.com/office/drawing/2014/main" id="{0140BF1F-62DA-4F71-87C6-EFEF009F7131}"/>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xdr:blipFill>
      <xdr:spPr>
        <a:xfrm>
          <a:off x="512762" y="27558207"/>
          <a:ext cx="5964238" cy="1807566"/>
        </a:xfrm>
        <a:prstGeom prst="rect">
          <a:avLst/>
        </a:prstGeom>
      </xdr:spPr>
    </xdr:pic>
    <xdr:clientData/>
  </xdr:twoCellAnchor>
  <xdr:twoCellAnchor editAs="oneCell">
    <xdr:from>
      <xdr:col>4</xdr:col>
      <xdr:colOff>87586</xdr:colOff>
      <xdr:row>273</xdr:row>
      <xdr:rowOff>34749</xdr:rowOff>
    </xdr:from>
    <xdr:to>
      <xdr:col>59</xdr:col>
      <xdr:colOff>6851</xdr:colOff>
      <xdr:row>295</xdr:row>
      <xdr:rowOff>67660</xdr:rowOff>
    </xdr:to>
    <xdr:pic>
      <xdr:nvPicPr>
        <xdr:cNvPr id="23" name="Picture 22">
          <a:extLst>
            <a:ext uri="{FF2B5EF4-FFF2-40B4-BE49-F238E27FC236}">
              <a16:creationId xmlns:a16="http://schemas.microsoft.com/office/drawing/2014/main" id="{3E2CD557-B9D1-4F52-9EFB-ED582152AE1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xdr:blipFill>
      <xdr:spPr>
        <a:xfrm>
          <a:off x="519386" y="24304449"/>
          <a:ext cx="5837465" cy="1988711"/>
        </a:xfrm>
        <a:prstGeom prst="rect">
          <a:avLst/>
        </a:prstGeom>
      </xdr:spPr>
    </xdr:pic>
    <xdr:clientData/>
  </xdr:twoCellAnchor>
  <xdr:twoCellAnchor editAs="oneCell">
    <xdr:from>
      <xdr:col>4</xdr:col>
      <xdr:colOff>65691</xdr:colOff>
      <xdr:row>200</xdr:row>
      <xdr:rowOff>1</xdr:rowOff>
    </xdr:from>
    <xdr:to>
      <xdr:col>59</xdr:col>
      <xdr:colOff>103299</xdr:colOff>
      <xdr:row>240</xdr:row>
      <xdr:rowOff>46103</xdr:rowOff>
    </xdr:to>
    <xdr:pic>
      <xdr:nvPicPr>
        <xdr:cNvPr id="24" name="Picture 23">
          <a:extLst>
            <a:ext uri="{FF2B5EF4-FFF2-40B4-BE49-F238E27FC236}">
              <a16:creationId xmlns:a16="http://schemas.microsoft.com/office/drawing/2014/main" id="{2A36F39D-2371-4B4D-AA07-2A53BCFB395B}"/>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xdr:blipFill>
      <xdr:spPr>
        <a:xfrm>
          <a:off x="503622" y="17517242"/>
          <a:ext cx="6032884" cy="3549551"/>
        </a:xfrm>
        <a:prstGeom prst="rect">
          <a:avLst/>
        </a:prstGeom>
      </xdr:spPr>
    </xdr:pic>
    <xdr:clientData/>
  </xdr:twoCellAnchor>
  <xdr:twoCellAnchor editAs="oneCell">
    <xdr:from>
      <xdr:col>1</xdr:col>
      <xdr:colOff>4379</xdr:colOff>
      <xdr:row>45</xdr:row>
      <xdr:rowOff>26279</xdr:rowOff>
    </xdr:from>
    <xdr:to>
      <xdr:col>60</xdr:col>
      <xdr:colOff>89911</xdr:colOff>
      <xdr:row>84</xdr:row>
      <xdr:rowOff>19245</xdr:rowOff>
    </xdr:to>
    <xdr:pic>
      <xdr:nvPicPr>
        <xdr:cNvPr id="25" name="Picture 24">
          <a:extLst>
            <a:ext uri="{FF2B5EF4-FFF2-40B4-BE49-F238E27FC236}">
              <a16:creationId xmlns:a16="http://schemas.microsoft.com/office/drawing/2014/main" id="{E80BDDAB-96A4-44E1-9EA5-1195867D04A1}"/>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xdr:blipFill>
      <xdr:spPr>
        <a:xfrm>
          <a:off x="113862" y="3967658"/>
          <a:ext cx="6518739" cy="3408828"/>
        </a:xfrm>
        <a:prstGeom prst="rect">
          <a:avLst/>
        </a:prstGeom>
      </xdr:spPr>
    </xdr:pic>
    <xdr:clientData/>
  </xdr:twoCellAnchor>
  <xdr:twoCellAnchor>
    <xdr:from>
      <xdr:col>40</xdr:col>
      <xdr:colOff>57150</xdr:colOff>
      <xdr:row>6</xdr:row>
      <xdr:rowOff>76200</xdr:rowOff>
    </xdr:from>
    <xdr:to>
      <xdr:col>47</xdr:col>
      <xdr:colOff>101600</xdr:colOff>
      <xdr:row>8</xdr:row>
      <xdr:rowOff>25400</xdr:rowOff>
    </xdr:to>
    <xdr:sp macro="" textlink="">
      <xdr:nvSpPr>
        <xdr:cNvPr id="2" name="Rectangle 1">
          <a:extLst>
            <a:ext uri="{FF2B5EF4-FFF2-40B4-BE49-F238E27FC236}">
              <a16:creationId xmlns:a16="http://schemas.microsoft.com/office/drawing/2014/main" id="{E06C120E-35C4-23C8-1908-2006C83D906A}"/>
            </a:ext>
          </a:extLst>
        </xdr:cNvPr>
        <xdr:cNvSpPr/>
      </xdr:nvSpPr>
      <xdr:spPr>
        <a:xfrm>
          <a:off x="4375150" y="609600"/>
          <a:ext cx="787400" cy="127000"/>
        </a:xfrm>
        <a:prstGeom prst="rect">
          <a:avLst/>
        </a:prstGeom>
        <a:solidFill>
          <a:schemeClr val="bg1"/>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40</xdr:col>
      <xdr:colOff>57150</xdr:colOff>
      <xdr:row>6</xdr:row>
      <xdr:rowOff>63500</xdr:rowOff>
    </xdr:from>
    <xdr:to>
      <xdr:col>47</xdr:col>
      <xdr:colOff>95250</xdr:colOff>
      <xdr:row>8</xdr:row>
      <xdr:rowOff>68384</xdr:rowOff>
    </xdr:to>
    <xdr:sp macro="" textlink="">
      <xdr:nvSpPr>
        <xdr:cNvPr id="9" name="TextBox 8">
          <a:extLst>
            <a:ext uri="{FF2B5EF4-FFF2-40B4-BE49-F238E27FC236}">
              <a16:creationId xmlns:a16="http://schemas.microsoft.com/office/drawing/2014/main" id="{6CD158BA-915C-3E30-3BBF-002CC39072DF}"/>
            </a:ext>
          </a:extLst>
        </xdr:cNvPr>
        <xdr:cNvSpPr txBox="1"/>
      </xdr:nvSpPr>
      <xdr:spPr>
        <a:xfrm>
          <a:off x="4355612" y="591038"/>
          <a:ext cx="780561" cy="180731"/>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0" tIns="36000" rIns="36000" bIns="36000" rtlCol="0" anchor="t"/>
        <a:lstStyle/>
        <a:p>
          <a:r>
            <a:rPr lang="en-US" sz="700">
              <a:solidFill>
                <a:schemeClr val="tx1">
                  <a:lumMod val="85000"/>
                  <a:lumOff val="15000"/>
                </a:schemeClr>
              </a:solidFill>
            </a:rPr>
            <a:t>+27 (0) 21 808 2810</a:t>
          </a:r>
        </a:p>
      </xdr:txBody>
    </xdr:sp>
    <xdr:clientData/>
  </xdr:twoCellAnchor>
</xdr:wsDr>
</file>

<file path=xl/richData/_rels/richValueRel.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9" Type="http://schemas.openxmlformats.org/officeDocument/2006/relationships/image" Target="../media/image9.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9">
  <rv s="0">
    <v>0</v>
    <v>5</v>
  </rv>
  <rv s="0">
    <v>1</v>
    <v>5</v>
  </rv>
  <rv s="0">
    <v>2</v>
    <v>5</v>
  </rv>
  <rv s="0">
    <v>3</v>
    <v>5</v>
  </rv>
  <rv s="0">
    <v>4</v>
    <v>5</v>
  </rv>
  <rv s="0">
    <v>5</v>
    <v>5</v>
  </rv>
  <rv s="0">
    <v>6</v>
    <v>5</v>
  </rv>
  <rv s="0">
    <v>7</v>
    <v>5</v>
  </rv>
  <rv s="0">
    <v>8</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el r:id="rId6"/>
  <rel r:id="rId7"/>
  <rel r:id="rId8"/>
  <rel r:id="rId9"/>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C3E1A-AEC8-4A5D-86DD-8D38337ADC13}">
  <sheetPr codeName="Sheet8">
    <tabColor theme="4" tint="-0.249977111117893"/>
  </sheetPr>
  <dimension ref="A1:DL198"/>
  <sheetViews>
    <sheetView view="pageBreakPreview" topLeftCell="L1" zoomScaleNormal="100" zoomScaleSheetLayoutView="100" workbookViewId="0">
      <selection activeCell="AZ28" sqref="AZ28:BG30"/>
    </sheetView>
  </sheetViews>
  <sheetFormatPr defaultColWidth="9.453125" defaultRowHeight="7.4" customHeight="1" x14ac:dyDescent="0.5"/>
  <cols>
    <col min="1" max="40" width="1.54296875" style="24" customWidth="1"/>
    <col min="41" max="41" width="0.26953125" style="24" customWidth="1"/>
    <col min="42" max="61" width="1.54296875" style="24" customWidth="1"/>
    <col min="62" max="109" width="1.54296875" style="24" hidden="1" customWidth="1"/>
    <col min="110" max="114" width="0" style="24" hidden="1" customWidth="1"/>
    <col min="115" max="16384" width="9.453125" style="24"/>
  </cols>
  <sheetData>
    <row r="1" spans="1:63" ht="7.4" customHeight="1" x14ac:dyDescent="0.5">
      <c r="C1" s="333" t="e" vm="1">
        <v>#VALUE!</v>
      </c>
      <c r="D1" s="333"/>
      <c r="E1" s="333"/>
      <c r="F1" s="333"/>
      <c r="G1" s="333"/>
      <c r="H1" s="333"/>
      <c r="I1" s="333"/>
      <c r="J1" s="333"/>
      <c r="K1" s="333"/>
      <c r="L1" s="333"/>
      <c r="M1" s="333"/>
      <c r="N1" s="333"/>
      <c r="O1" s="333"/>
      <c r="P1" s="333"/>
      <c r="Q1" s="333"/>
      <c r="R1" s="333"/>
      <c r="S1" s="333"/>
      <c r="T1" s="333"/>
      <c r="U1" s="333"/>
      <c r="V1" s="333"/>
      <c r="W1" s="333"/>
      <c r="X1" s="333"/>
      <c r="Y1" s="333"/>
      <c r="Z1" s="333"/>
      <c r="AA1" s="333"/>
      <c r="AB1" s="333"/>
      <c r="AC1" s="333"/>
      <c r="AD1" s="333"/>
      <c r="AE1" s="333"/>
      <c r="AF1" s="333"/>
      <c r="AG1" s="333"/>
      <c r="AH1" s="333"/>
      <c r="AI1" s="333"/>
      <c r="AN1" s="405" t="s">
        <v>0</v>
      </c>
      <c r="AO1" s="405"/>
      <c r="AP1" s="405"/>
      <c r="AQ1" s="405"/>
      <c r="AR1" s="405"/>
      <c r="AS1" s="405"/>
      <c r="AT1" s="405"/>
      <c r="AU1" s="405"/>
      <c r="AV1" s="405"/>
      <c r="AW1" s="405"/>
      <c r="AX1" s="405"/>
      <c r="AY1" s="405"/>
      <c r="AZ1" s="405"/>
      <c r="BA1" s="405"/>
      <c r="BB1" s="405"/>
      <c r="BC1" s="405"/>
      <c r="BD1" s="405"/>
      <c r="BE1" s="405"/>
      <c r="BF1" s="405"/>
      <c r="BG1" s="405"/>
      <c r="BH1" s="405"/>
      <c r="BK1" s="24" t="s">
        <v>1</v>
      </c>
    </row>
    <row r="2" spans="1:63" ht="7.4" customHeight="1" x14ac:dyDescent="0.5">
      <c r="C2" s="333"/>
      <c r="D2" s="333"/>
      <c r="E2" s="333"/>
      <c r="F2" s="333"/>
      <c r="G2" s="333"/>
      <c r="H2" s="333"/>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N2" s="405"/>
      <c r="AO2" s="405"/>
      <c r="AP2" s="405"/>
      <c r="AQ2" s="405"/>
      <c r="AR2" s="405"/>
      <c r="AS2" s="405"/>
      <c r="AT2" s="405"/>
      <c r="AU2" s="405"/>
      <c r="AV2" s="405"/>
      <c r="AW2" s="405"/>
      <c r="AX2" s="405"/>
      <c r="AY2" s="405"/>
      <c r="AZ2" s="405"/>
      <c r="BA2" s="405"/>
      <c r="BB2" s="405"/>
      <c r="BC2" s="405"/>
      <c r="BD2" s="405"/>
      <c r="BE2" s="405"/>
      <c r="BF2" s="405"/>
      <c r="BG2" s="405"/>
      <c r="BH2" s="405"/>
      <c r="BK2" s="24" t="s">
        <v>2</v>
      </c>
    </row>
    <row r="3" spans="1:63" ht="7.4" customHeight="1" x14ac:dyDescent="0.5">
      <c r="C3" s="333"/>
      <c r="D3" s="333"/>
      <c r="E3" s="333"/>
      <c r="F3" s="333"/>
      <c r="G3" s="333"/>
      <c r="H3" s="333"/>
      <c r="I3" s="333"/>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N3" s="314" t="s">
        <v>3</v>
      </c>
      <c r="AO3" s="314"/>
      <c r="AP3" s="314"/>
      <c r="AQ3" s="314"/>
      <c r="AR3" s="314"/>
      <c r="AS3" s="314"/>
      <c r="AT3" s="314"/>
      <c r="AU3" s="314"/>
      <c r="AV3" s="314"/>
      <c r="AW3" s="314"/>
      <c r="AX3" s="314"/>
      <c r="AY3" s="314"/>
      <c r="AZ3" s="314"/>
      <c r="BA3" s="314"/>
      <c r="BB3" s="314"/>
      <c r="BC3" s="314"/>
      <c r="BD3" s="314"/>
      <c r="BE3" s="314"/>
      <c r="BF3" s="314"/>
      <c r="BG3" s="314"/>
      <c r="BH3" s="314"/>
      <c r="BK3" s="24" t="s">
        <v>4</v>
      </c>
    </row>
    <row r="4" spans="1:63" ht="7.4" customHeight="1" x14ac:dyDescent="0.5">
      <c r="C4" s="333"/>
      <c r="D4" s="333"/>
      <c r="E4" s="333"/>
      <c r="F4" s="333"/>
      <c r="G4" s="333"/>
      <c r="H4" s="333"/>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N4" s="314"/>
      <c r="AO4" s="314"/>
      <c r="AP4" s="314"/>
      <c r="AQ4" s="314"/>
      <c r="AR4" s="314"/>
      <c r="AS4" s="314"/>
      <c r="AT4" s="314"/>
      <c r="AU4" s="314"/>
      <c r="AV4" s="314"/>
      <c r="AW4" s="314"/>
      <c r="AX4" s="314"/>
      <c r="AY4" s="314"/>
      <c r="AZ4" s="314"/>
      <c r="BA4" s="314"/>
      <c r="BB4" s="314"/>
      <c r="BC4" s="314"/>
      <c r="BD4" s="314"/>
      <c r="BE4" s="314"/>
      <c r="BF4" s="314"/>
      <c r="BG4" s="314"/>
      <c r="BH4" s="314"/>
      <c r="BK4" s="24" t="s">
        <v>5</v>
      </c>
    </row>
    <row r="5" spans="1:63" ht="7.4" customHeight="1" x14ac:dyDescent="0.5">
      <c r="C5" s="333"/>
      <c r="D5" s="333"/>
      <c r="E5" s="333"/>
      <c r="F5" s="333"/>
      <c r="G5" s="333"/>
      <c r="H5" s="333"/>
      <c r="I5" s="333"/>
      <c r="J5" s="333"/>
      <c r="K5" s="333"/>
      <c r="L5" s="333"/>
      <c r="M5" s="333"/>
      <c r="N5" s="333"/>
      <c r="O5" s="333"/>
      <c r="P5" s="333"/>
      <c r="Q5" s="333"/>
      <c r="R5" s="333"/>
      <c r="S5" s="333"/>
      <c r="T5" s="333"/>
      <c r="U5" s="333"/>
      <c r="V5" s="333"/>
      <c r="W5" s="333"/>
      <c r="X5" s="333"/>
      <c r="Y5" s="333"/>
      <c r="Z5" s="333"/>
      <c r="AA5" s="333"/>
      <c r="AB5" s="333"/>
      <c r="AC5" s="333"/>
      <c r="AD5" s="333"/>
      <c r="AE5" s="333"/>
      <c r="AF5" s="333"/>
      <c r="AG5" s="333"/>
      <c r="AH5" s="333"/>
      <c r="AI5" s="333"/>
      <c r="AN5" s="406" t="s">
        <v>6</v>
      </c>
      <c r="AO5" s="314"/>
      <c r="AP5" s="314"/>
      <c r="AQ5" s="314"/>
      <c r="AR5" s="314"/>
      <c r="AS5" s="314"/>
      <c r="AT5" s="314"/>
      <c r="AU5" s="314"/>
      <c r="AV5" s="314"/>
      <c r="AW5" s="314"/>
      <c r="AX5" s="314"/>
      <c r="AY5" s="314"/>
      <c r="AZ5" s="314"/>
      <c r="BA5" s="314"/>
      <c r="BB5" s="314"/>
      <c r="BC5" s="314"/>
      <c r="BD5" s="314"/>
      <c r="BE5" s="314"/>
      <c r="BF5" s="314"/>
      <c r="BG5" s="314"/>
      <c r="BH5" s="314"/>
      <c r="BK5" s="24" t="s">
        <v>7</v>
      </c>
    </row>
    <row r="6" spans="1:63" ht="7.4" customHeight="1" x14ac:dyDescent="0.5">
      <c r="C6" s="333"/>
      <c r="D6" s="333"/>
      <c r="E6" s="333"/>
      <c r="F6" s="333"/>
      <c r="G6" s="333"/>
      <c r="H6" s="333"/>
      <c r="I6" s="333"/>
      <c r="J6" s="333"/>
      <c r="K6" s="333"/>
      <c r="L6" s="333"/>
      <c r="M6" s="333"/>
      <c r="N6" s="333"/>
      <c r="O6" s="333"/>
      <c r="P6" s="333"/>
      <c r="Q6" s="333"/>
      <c r="R6" s="333"/>
      <c r="S6" s="333"/>
      <c r="T6" s="333"/>
      <c r="U6" s="333"/>
      <c r="V6" s="333"/>
      <c r="W6" s="333"/>
      <c r="X6" s="333"/>
      <c r="Y6" s="333"/>
      <c r="Z6" s="333"/>
      <c r="AA6" s="333"/>
      <c r="AB6" s="333"/>
      <c r="AC6" s="333"/>
      <c r="AD6" s="333"/>
      <c r="AE6" s="333"/>
      <c r="AF6" s="333"/>
      <c r="AG6" s="333"/>
      <c r="AH6" s="333"/>
      <c r="AI6" s="333"/>
      <c r="AN6" s="314"/>
      <c r="AO6" s="314"/>
      <c r="AP6" s="314"/>
      <c r="AQ6" s="314"/>
      <c r="AR6" s="314"/>
      <c r="AS6" s="314"/>
      <c r="AT6" s="314"/>
      <c r="AU6" s="314"/>
      <c r="AV6" s="314"/>
      <c r="AW6" s="314"/>
      <c r="AX6" s="314"/>
      <c r="AY6" s="314"/>
      <c r="AZ6" s="314"/>
      <c r="BA6" s="314"/>
      <c r="BB6" s="314"/>
      <c r="BC6" s="314"/>
      <c r="BD6" s="314"/>
      <c r="BE6" s="314"/>
      <c r="BF6" s="314"/>
      <c r="BG6" s="314"/>
      <c r="BH6" s="314"/>
      <c r="BK6" s="24" t="s">
        <v>8</v>
      </c>
    </row>
    <row r="7" spans="1:63" ht="7.4" customHeight="1" x14ac:dyDescent="0.5">
      <c r="C7" s="333"/>
      <c r="D7" s="333"/>
      <c r="E7" s="333"/>
      <c r="F7" s="333"/>
      <c r="G7" s="333"/>
      <c r="H7" s="333"/>
      <c r="I7" s="333"/>
      <c r="J7" s="333"/>
      <c r="K7" s="333"/>
      <c r="L7" s="333"/>
      <c r="M7" s="333"/>
      <c r="N7" s="333"/>
      <c r="O7" s="333"/>
      <c r="P7" s="333"/>
      <c r="Q7" s="333"/>
      <c r="R7" s="333"/>
      <c r="S7" s="333"/>
      <c r="T7" s="333"/>
      <c r="U7" s="333"/>
      <c r="V7" s="333"/>
      <c r="W7" s="333"/>
      <c r="X7" s="333"/>
      <c r="Y7" s="333"/>
      <c r="Z7" s="333"/>
      <c r="AA7" s="333"/>
      <c r="AB7" s="333"/>
      <c r="AC7" s="333"/>
      <c r="AD7" s="333"/>
      <c r="AE7" s="333"/>
      <c r="AF7" s="333"/>
      <c r="AG7" s="333"/>
      <c r="AH7" s="333"/>
      <c r="AI7" s="333"/>
      <c r="AN7" s="405" t="s">
        <v>9</v>
      </c>
      <c r="AO7" s="405"/>
      <c r="AP7" s="405"/>
      <c r="AQ7" s="405"/>
      <c r="AR7" s="405"/>
      <c r="AS7" s="405"/>
      <c r="AT7" s="405"/>
      <c r="AU7" s="405"/>
      <c r="AV7" s="405"/>
      <c r="AW7" s="405"/>
      <c r="AX7" s="405"/>
      <c r="AY7" s="405"/>
      <c r="AZ7" s="405"/>
      <c r="BA7" s="405"/>
      <c r="BB7" s="405"/>
      <c r="BC7" s="405"/>
      <c r="BD7" s="405"/>
      <c r="BE7" s="405"/>
      <c r="BF7" s="405"/>
      <c r="BG7" s="405"/>
      <c r="BH7" s="405"/>
      <c r="BK7" s="24" t="s">
        <v>10</v>
      </c>
    </row>
    <row r="8" spans="1:63" ht="7.4" customHeight="1" x14ac:dyDescent="0.5">
      <c r="C8" s="333"/>
      <c r="D8" s="333"/>
      <c r="E8" s="333"/>
      <c r="F8" s="333"/>
      <c r="G8" s="333"/>
      <c r="H8" s="333"/>
      <c r="I8" s="333"/>
      <c r="J8" s="333"/>
      <c r="K8" s="333"/>
      <c r="L8" s="333"/>
      <c r="M8" s="333"/>
      <c r="N8" s="333"/>
      <c r="O8" s="333"/>
      <c r="P8" s="333"/>
      <c r="Q8" s="333"/>
      <c r="R8" s="333"/>
      <c r="S8" s="333"/>
      <c r="T8" s="333"/>
      <c r="U8" s="333"/>
      <c r="V8" s="333"/>
      <c r="W8" s="333"/>
      <c r="X8" s="333"/>
      <c r="Y8" s="333"/>
      <c r="Z8" s="333"/>
      <c r="AA8" s="333"/>
      <c r="AB8" s="333"/>
      <c r="AC8" s="333"/>
      <c r="AD8" s="333"/>
      <c r="AE8" s="333"/>
      <c r="AF8" s="333"/>
      <c r="AG8" s="333"/>
      <c r="AH8" s="333"/>
      <c r="AI8" s="333"/>
      <c r="AN8" s="405"/>
      <c r="AO8" s="405"/>
      <c r="AP8" s="405"/>
      <c r="AQ8" s="405"/>
      <c r="AR8" s="405"/>
      <c r="AS8" s="405"/>
      <c r="AT8" s="405"/>
      <c r="AU8" s="405"/>
      <c r="AV8" s="405"/>
      <c r="AW8" s="405"/>
      <c r="AX8" s="405"/>
      <c r="AY8" s="405"/>
      <c r="AZ8" s="405"/>
      <c r="BA8" s="405"/>
      <c r="BB8" s="405"/>
      <c r="BC8" s="405"/>
      <c r="BD8" s="405"/>
      <c r="BE8" s="405"/>
      <c r="BF8" s="405"/>
      <c r="BG8" s="405"/>
      <c r="BH8" s="405"/>
      <c r="BK8" s="24" t="s">
        <v>11</v>
      </c>
    </row>
    <row r="9" spans="1:63" ht="7.4" customHeight="1" x14ac:dyDescent="0.5">
      <c r="C9" s="404"/>
      <c r="D9" s="404"/>
      <c r="E9" s="404"/>
      <c r="F9" s="404"/>
      <c r="G9" s="404"/>
      <c r="H9" s="404"/>
      <c r="I9" s="404"/>
      <c r="J9" s="404"/>
      <c r="K9" s="404"/>
      <c r="L9" s="404"/>
      <c r="M9" s="404"/>
      <c r="N9" s="404"/>
      <c r="O9" s="404"/>
      <c r="P9" s="404"/>
      <c r="Q9" s="404"/>
      <c r="R9" s="404"/>
      <c r="S9" s="404"/>
      <c r="T9" s="404"/>
      <c r="U9" s="404"/>
      <c r="V9" s="404"/>
      <c r="W9" s="404"/>
      <c r="X9" s="404"/>
      <c r="Y9" s="404"/>
      <c r="Z9" s="404"/>
      <c r="AA9" s="404"/>
      <c r="AB9" s="404"/>
      <c r="AC9" s="404"/>
      <c r="AD9" s="404"/>
      <c r="AE9" s="404"/>
      <c r="AF9" s="404"/>
      <c r="AG9" s="404"/>
      <c r="AH9" s="404"/>
      <c r="AI9" s="404"/>
      <c r="BK9" s="24" t="s">
        <v>12</v>
      </c>
    </row>
    <row r="10" spans="1:63" ht="7.4" customHeight="1" x14ac:dyDescent="0.5">
      <c r="A10" s="407" t="s">
        <v>13</v>
      </c>
      <c r="B10" s="407"/>
      <c r="C10" s="407"/>
      <c r="D10" s="407"/>
      <c r="E10" s="407"/>
      <c r="F10" s="407"/>
      <c r="G10" s="407"/>
      <c r="H10" s="407"/>
      <c r="I10" s="407"/>
      <c r="J10" s="407"/>
      <c r="K10" s="407"/>
      <c r="L10" s="407"/>
      <c r="M10" s="407"/>
      <c r="N10" s="407"/>
      <c r="O10" s="407"/>
      <c r="P10" s="407"/>
      <c r="Q10" s="407"/>
      <c r="R10" s="407"/>
      <c r="S10" s="407"/>
      <c r="T10" s="407"/>
      <c r="U10" s="407"/>
      <c r="V10" s="407"/>
      <c r="W10" s="407"/>
      <c r="X10" s="407"/>
      <c r="Y10" s="407"/>
      <c r="Z10" s="407"/>
      <c r="AA10" s="407"/>
      <c r="AB10" s="407"/>
      <c r="AC10" s="407"/>
      <c r="AD10" s="407"/>
      <c r="AE10" s="407"/>
      <c r="AF10" s="407"/>
      <c r="AG10" s="407"/>
      <c r="AH10" s="407"/>
      <c r="AI10" s="407"/>
      <c r="AJ10" s="407"/>
      <c r="AK10" s="407"/>
      <c r="AL10" s="407"/>
      <c r="AM10" s="30"/>
      <c r="AN10" s="30"/>
      <c r="AO10" s="30"/>
      <c r="AP10" s="30"/>
      <c r="AQ10" s="30"/>
      <c r="AR10" s="30"/>
      <c r="AS10" s="30"/>
      <c r="AT10" s="30"/>
      <c r="AU10" s="30"/>
      <c r="AV10" s="30"/>
      <c r="AW10" s="30"/>
      <c r="AX10" s="30"/>
      <c r="AY10" s="30"/>
      <c r="AZ10" s="30"/>
      <c r="BA10" s="30"/>
      <c r="BB10" s="30"/>
      <c r="BC10" s="30"/>
      <c r="BD10" s="30"/>
      <c r="BE10" s="30"/>
      <c r="BF10" s="30"/>
      <c r="BG10" s="30"/>
      <c r="BH10" s="30"/>
      <c r="BI10" s="31"/>
      <c r="BK10" s="24" t="s">
        <v>14</v>
      </c>
    </row>
    <row r="11" spans="1:63" ht="7.4" customHeight="1" x14ac:dyDescent="0.5">
      <c r="A11" s="407"/>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407"/>
      <c r="AE11" s="407"/>
      <c r="AF11" s="407"/>
      <c r="AG11" s="407"/>
      <c r="AH11" s="407"/>
      <c r="AI11" s="407"/>
      <c r="AJ11" s="407"/>
      <c r="AK11" s="407"/>
      <c r="AL11" s="407"/>
      <c r="AM11" s="33"/>
      <c r="AN11" s="408" t="s">
        <v>15</v>
      </c>
      <c r="AO11" s="408"/>
      <c r="AP11" s="408"/>
      <c r="AQ11" s="408"/>
      <c r="AR11" s="408"/>
      <c r="AS11" s="408"/>
      <c r="AT11" s="408"/>
      <c r="AU11" s="408"/>
      <c r="AV11" s="408"/>
      <c r="AW11" s="33"/>
      <c r="AX11" s="409" t="s">
        <v>16</v>
      </c>
      <c r="AY11" s="409"/>
      <c r="AZ11" s="409"/>
      <c r="BA11" s="409"/>
      <c r="BB11" s="409"/>
      <c r="BC11" s="409"/>
      <c r="BD11" s="409"/>
      <c r="BE11" s="409"/>
      <c r="BF11" s="409"/>
      <c r="BG11" s="409"/>
      <c r="BH11" s="409"/>
      <c r="BI11" s="34"/>
      <c r="BK11" s="24" t="s">
        <v>17</v>
      </c>
    </row>
    <row r="12" spans="1:63" ht="7.4" customHeight="1" x14ac:dyDescent="0.5">
      <c r="A12" s="407"/>
      <c r="B12" s="407"/>
      <c r="C12" s="407"/>
      <c r="D12" s="407"/>
      <c r="E12" s="407"/>
      <c r="F12" s="407"/>
      <c r="G12" s="407"/>
      <c r="H12" s="407"/>
      <c r="I12" s="407"/>
      <c r="J12" s="407"/>
      <c r="K12" s="407"/>
      <c r="L12" s="407"/>
      <c r="M12" s="407"/>
      <c r="N12" s="407"/>
      <c r="O12" s="407"/>
      <c r="P12" s="407"/>
      <c r="Q12" s="407"/>
      <c r="R12" s="407"/>
      <c r="S12" s="407"/>
      <c r="T12" s="407"/>
      <c r="U12" s="407"/>
      <c r="V12" s="407"/>
      <c r="W12" s="407"/>
      <c r="X12" s="407"/>
      <c r="Y12" s="407"/>
      <c r="Z12" s="407"/>
      <c r="AA12" s="407"/>
      <c r="AB12" s="407"/>
      <c r="AC12" s="407"/>
      <c r="AD12" s="407"/>
      <c r="AE12" s="407"/>
      <c r="AF12" s="407"/>
      <c r="AG12" s="407"/>
      <c r="AH12" s="407"/>
      <c r="AI12" s="407"/>
      <c r="AJ12" s="407"/>
      <c r="AK12" s="407"/>
      <c r="AL12" s="407"/>
      <c r="AM12" s="33"/>
      <c r="AN12" s="408"/>
      <c r="AO12" s="408"/>
      <c r="AP12" s="408"/>
      <c r="AQ12" s="408"/>
      <c r="AR12" s="408"/>
      <c r="AS12" s="408"/>
      <c r="AT12" s="408"/>
      <c r="AU12" s="408"/>
      <c r="AV12" s="408"/>
      <c r="AW12" s="33"/>
      <c r="AX12" s="409"/>
      <c r="AY12" s="409"/>
      <c r="AZ12" s="409"/>
      <c r="BA12" s="409"/>
      <c r="BB12" s="409"/>
      <c r="BC12" s="409"/>
      <c r="BD12" s="409"/>
      <c r="BE12" s="409"/>
      <c r="BF12" s="409"/>
      <c r="BG12" s="409"/>
      <c r="BH12" s="409"/>
      <c r="BI12" s="34"/>
      <c r="BK12" s="24" t="s">
        <v>18</v>
      </c>
    </row>
    <row r="13" spans="1:63" ht="7.4" customHeight="1" x14ac:dyDescent="0.5">
      <c r="A13" s="407"/>
      <c r="B13" s="407"/>
      <c r="C13" s="407"/>
      <c r="D13" s="407"/>
      <c r="E13" s="407"/>
      <c r="F13" s="407"/>
      <c r="G13" s="407"/>
      <c r="H13" s="407"/>
      <c r="I13" s="407"/>
      <c r="J13" s="407"/>
      <c r="K13" s="407"/>
      <c r="L13" s="407"/>
      <c r="M13" s="407"/>
      <c r="N13" s="407"/>
      <c r="O13" s="407"/>
      <c r="P13" s="407"/>
      <c r="Q13" s="407"/>
      <c r="R13" s="407"/>
      <c r="S13" s="407"/>
      <c r="T13" s="407"/>
      <c r="U13" s="407"/>
      <c r="V13" s="407"/>
      <c r="W13" s="407"/>
      <c r="X13" s="407"/>
      <c r="Y13" s="407"/>
      <c r="Z13" s="407"/>
      <c r="AA13" s="407"/>
      <c r="AB13" s="407"/>
      <c r="AC13" s="407"/>
      <c r="AD13" s="407"/>
      <c r="AE13" s="407"/>
      <c r="AF13" s="407"/>
      <c r="AG13" s="407"/>
      <c r="AH13" s="407"/>
      <c r="AI13" s="407"/>
      <c r="AJ13" s="407"/>
      <c r="AK13" s="407"/>
      <c r="AL13" s="407"/>
      <c r="AM13" s="33"/>
      <c r="AN13" s="408" t="s">
        <v>19</v>
      </c>
      <c r="AO13" s="408"/>
      <c r="AP13" s="408"/>
      <c r="AQ13" s="408"/>
      <c r="AR13" s="408"/>
      <c r="AS13" s="408"/>
      <c r="AT13" s="408"/>
      <c r="AU13" s="408"/>
      <c r="AV13" s="408"/>
      <c r="AW13" s="33"/>
      <c r="AX13" s="410" t="s">
        <v>20</v>
      </c>
      <c r="AY13" s="410"/>
      <c r="AZ13" s="410"/>
      <c r="BA13" s="410"/>
      <c r="BB13" s="410"/>
      <c r="BC13" s="410"/>
      <c r="BD13" s="410"/>
      <c r="BE13" s="410"/>
      <c r="BF13" s="410"/>
      <c r="BG13" s="410"/>
      <c r="BH13" s="410"/>
      <c r="BI13" s="34"/>
      <c r="BK13" s="24" t="s">
        <v>21</v>
      </c>
    </row>
    <row r="14" spans="1:63" ht="7.4" customHeight="1" x14ac:dyDescent="0.5">
      <c r="A14" s="407"/>
      <c r="B14" s="407"/>
      <c r="C14" s="407"/>
      <c r="D14" s="407"/>
      <c r="E14" s="407"/>
      <c r="F14" s="407"/>
      <c r="G14" s="407"/>
      <c r="H14" s="407"/>
      <c r="I14" s="407"/>
      <c r="J14" s="407"/>
      <c r="K14" s="407"/>
      <c r="L14" s="407"/>
      <c r="M14" s="407"/>
      <c r="N14" s="407"/>
      <c r="O14" s="407"/>
      <c r="P14" s="407"/>
      <c r="Q14" s="407"/>
      <c r="R14" s="407"/>
      <c r="S14" s="407"/>
      <c r="T14" s="407"/>
      <c r="U14" s="407"/>
      <c r="V14" s="407"/>
      <c r="W14" s="407"/>
      <c r="X14" s="407"/>
      <c r="Y14" s="407"/>
      <c r="Z14" s="407"/>
      <c r="AA14" s="407"/>
      <c r="AB14" s="407"/>
      <c r="AC14" s="407"/>
      <c r="AD14" s="407"/>
      <c r="AE14" s="407"/>
      <c r="AF14" s="407"/>
      <c r="AG14" s="407"/>
      <c r="AH14" s="407"/>
      <c r="AI14" s="407"/>
      <c r="AJ14" s="407"/>
      <c r="AK14" s="407"/>
      <c r="AL14" s="407"/>
      <c r="AM14" s="33"/>
      <c r="AN14" s="408"/>
      <c r="AO14" s="408"/>
      <c r="AP14" s="408"/>
      <c r="AQ14" s="408"/>
      <c r="AR14" s="408"/>
      <c r="AS14" s="408"/>
      <c r="AT14" s="408"/>
      <c r="AU14" s="408"/>
      <c r="AV14" s="408"/>
      <c r="AW14" s="33"/>
      <c r="AX14" s="410"/>
      <c r="AY14" s="410"/>
      <c r="AZ14" s="410"/>
      <c r="BA14" s="410"/>
      <c r="BB14" s="410"/>
      <c r="BC14" s="410"/>
      <c r="BD14" s="410"/>
      <c r="BE14" s="410"/>
      <c r="BF14" s="410"/>
      <c r="BG14" s="410"/>
      <c r="BH14" s="410"/>
      <c r="BI14" s="34"/>
      <c r="BK14" s="24" t="s">
        <v>22</v>
      </c>
    </row>
    <row r="15" spans="1:63" ht="7.4" customHeight="1" x14ac:dyDescent="0.5">
      <c r="A15" s="407"/>
      <c r="B15" s="407"/>
      <c r="C15" s="407"/>
      <c r="D15" s="407"/>
      <c r="E15" s="407"/>
      <c r="F15" s="407"/>
      <c r="G15" s="407"/>
      <c r="H15" s="407"/>
      <c r="I15" s="407"/>
      <c r="J15" s="407"/>
      <c r="K15" s="407"/>
      <c r="L15" s="407"/>
      <c r="M15" s="407"/>
      <c r="N15" s="407"/>
      <c r="O15" s="407"/>
      <c r="P15" s="407"/>
      <c r="Q15" s="407"/>
      <c r="R15" s="407"/>
      <c r="S15" s="407"/>
      <c r="T15" s="407"/>
      <c r="U15" s="407"/>
      <c r="V15" s="407"/>
      <c r="W15" s="407"/>
      <c r="X15" s="407"/>
      <c r="Y15" s="407"/>
      <c r="Z15" s="407"/>
      <c r="AA15" s="407"/>
      <c r="AB15" s="407"/>
      <c r="AC15" s="407"/>
      <c r="AD15" s="407"/>
      <c r="AE15" s="407"/>
      <c r="AF15" s="407"/>
      <c r="AG15" s="407"/>
      <c r="AH15" s="407"/>
      <c r="AI15" s="407"/>
      <c r="AJ15" s="407"/>
      <c r="AK15" s="407"/>
      <c r="AL15" s="407"/>
      <c r="AM15" s="36"/>
      <c r="AN15" s="36"/>
      <c r="AO15" s="36"/>
      <c r="AP15" s="36"/>
      <c r="AQ15" s="36"/>
      <c r="AR15" s="36"/>
      <c r="AS15" s="36"/>
      <c r="AT15" s="36"/>
      <c r="AU15" s="36"/>
      <c r="AV15" s="36"/>
      <c r="AW15" s="36"/>
      <c r="AX15" s="36"/>
      <c r="AY15" s="36"/>
      <c r="AZ15" s="36"/>
      <c r="BA15" s="36"/>
      <c r="BB15" s="36"/>
      <c r="BC15" s="36"/>
      <c r="BD15" s="36"/>
      <c r="BE15" s="36"/>
      <c r="BF15" s="36"/>
      <c r="BG15" s="36"/>
      <c r="BH15" s="36"/>
      <c r="BI15" s="37"/>
      <c r="BK15" s="24" t="s">
        <v>23</v>
      </c>
    </row>
    <row r="16" spans="1:63" ht="7.4" customHeight="1" x14ac:dyDescent="0.5">
      <c r="A16" s="58"/>
      <c r="B16" s="59"/>
      <c r="C16" s="59"/>
      <c r="D16" s="59"/>
      <c r="E16" s="59"/>
      <c r="F16" s="59"/>
      <c r="G16" s="59"/>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60"/>
      <c r="BK16" s="24" t="s">
        <v>24</v>
      </c>
    </row>
    <row r="17" spans="1:98" ht="7.4" customHeight="1" x14ac:dyDescent="0.5">
      <c r="A17" s="61"/>
      <c r="B17" s="62"/>
      <c r="C17" s="400" t="s">
        <v>25</v>
      </c>
      <c r="D17" s="400"/>
      <c r="E17" s="400"/>
      <c r="F17" s="400"/>
      <c r="G17" s="401"/>
      <c r="H17" s="401"/>
      <c r="I17" s="401"/>
      <c r="J17" s="401"/>
      <c r="K17" s="401"/>
      <c r="L17" s="401"/>
      <c r="M17" s="401"/>
      <c r="N17" s="401"/>
      <c r="O17" s="401"/>
      <c r="P17" s="401"/>
      <c r="Q17" s="401"/>
      <c r="R17" s="401"/>
      <c r="S17" s="401"/>
      <c r="T17" s="401"/>
      <c r="U17" s="401"/>
      <c r="V17" s="401"/>
      <c r="W17" s="401"/>
      <c r="X17" s="401"/>
      <c r="Y17" s="400" t="s">
        <v>26</v>
      </c>
      <c r="Z17" s="400"/>
      <c r="AA17" s="400"/>
      <c r="AB17" s="400"/>
      <c r="AC17" s="400"/>
      <c r="AD17" s="401"/>
      <c r="AE17" s="401"/>
      <c r="AF17" s="401"/>
      <c r="AG17" s="401"/>
      <c r="AH17" s="401"/>
      <c r="AI17" s="401"/>
      <c r="AJ17" s="401"/>
      <c r="AK17" s="401"/>
      <c r="AL17" s="401"/>
      <c r="AM17" s="401"/>
      <c r="AN17" s="401"/>
      <c r="AO17" s="401"/>
      <c r="AP17" s="401"/>
      <c r="AQ17" s="401"/>
      <c r="AR17" s="401"/>
      <c r="AS17" s="401"/>
      <c r="AT17" s="400" t="s">
        <v>27</v>
      </c>
      <c r="AU17" s="400"/>
      <c r="AV17" s="400"/>
      <c r="AW17" s="400"/>
      <c r="AX17" s="402">
        <f ca="1">TODAY()</f>
        <v>45960</v>
      </c>
      <c r="AY17" s="402"/>
      <c r="AZ17" s="402"/>
      <c r="BA17" s="402"/>
      <c r="BB17" s="402"/>
      <c r="BC17" s="402"/>
      <c r="BD17" s="402"/>
      <c r="BE17" s="402"/>
      <c r="BF17" s="402"/>
      <c r="BG17" s="402"/>
      <c r="BH17" s="402"/>
      <c r="BI17" s="63"/>
      <c r="BK17" s="24" t="s">
        <v>28</v>
      </c>
    </row>
    <row r="18" spans="1:98" ht="7.4" customHeight="1" x14ac:dyDescent="0.5">
      <c r="A18" s="61"/>
      <c r="B18" s="62"/>
      <c r="C18" s="400"/>
      <c r="D18" s="400"/>
      <c r="E18" s="400"/>
      <c r="F18" s="400"/>
      <c r="G18" s="401"/>
      <c r="H18" s="401"/>
      <c r="I18" s="401"/>
      <c r="J18" s="401"/>
      <c r="K18" s="401"/>
      <c r="L18" s="401"/>
      <c r="M18" s="401"/>
      <c r="N18" s="401"/>
      <c r="O18" s="401"/>
      <c r="P18" s="401"/>
      <c r="Q18" s="401"/>
      <c r="R18" s="401"/>
      <c r="S18" s="401"/>
      <c r="T18" s="401"/>
      <c r="U18" s="401"/>
      <c r="V18" s="401"/>
      <c r="W18" s="401"/>
      <c r="X18" s="401"/>
      <c r="Y18" s="400"/>
      <c r="Z18" s="400"/>
      <c r="AA18" s="400"/>
      <c r="AB18" s="400"/>
      <c r="AC18" s="400"/>
      <c r="AD18" s="401"/>
      <c r="AE18" s="401"/>
      <c r="AF18" s="401"/>
      <c r="AG18" s="401"/>
      <c r="AH18" s="401"/>
      <c r="AI18" s="401"/>
      <c r="AJ18" s="401"/>
      <c r="AK18" s="401"/>
      <c r="AL18" s="401"/>
      <c r="AM18" s="401"/>
      <c r="AN18" s="401"/>
      <c r="AO18" s="401"/>
      <c r="AP18" s="401"/>
      <c r="AQ18" s="401"/>
      <c r="AR18" s="401"/>
      <c r="AS18" s="401"/>
      <c r="AT18" s="400"/>
      <c r="AU18" s="400"/>
      <c r="AV18" s="400"/>
      <c r="AW18" s="400"/>
      <c r="AX18" s="403"/>
      <c r="AY18" s="402"/>
      <c r="AZ18" s="402"/>
      <c r="BA18" s="402"/>
      <c r="BB18" s="402"/>
      <c r="BC18" s="402"/>
      <c r="BD18" s="402"/>
      <c r="BE18" s="402"/>
      <c r="BF18" s="402"/>
      <c r="BG18" s="402"/>
      <c r="BH18" s="402"/>
      <c r="BI18" s="63"/>
    </row>
    <row r="19" spans="1:98" ht="7.4" customHeight="1" x14ac:dyDescent="0.5">
      <c r="A19" s="64"/>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6"/>
    </row>
    <row r="20" spans="1:98" ht="7.4" customHeight="1" x14ac:dyDescent="0.5">
      <c r="A20" s="38"/>
      <c r="B20" s="39"/>
      <c r="C20" s="39"/>
      <c r="D20" s="39"/>
      <c r="E20" s="39"/>
      <c r="F20" s="39"/>
      <c r="G20" s="39"/>
      <c r="H20" s="39"/>
      <c r="I20" s="39"/>
      <c r="J20" s="39"/>
      <c r="K20" s="39"/>
      <c r="L20" s="39"/>
      <c r="M20" s="39"/>
      <c r="N20" s="39"/>
      <c r="O20" s="39"/>
      <c r="P20" s="39"/>
      <c r="Q20" s="39"/>
      <c r="R20" s="39"/>
      <c r="S20" s="67"/>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9"/>
      <c r="AR20" s="39"/>
      <c r="AS20" s="39"/>
      <c r="AT20" s="39"/>
      <c r="AU20" s="39"/>
      <c r="AV20" s="39"/>
      <c r="AW20" s="39"/>
      <c r="AX20" s="39"/>
      <c r="AY20" s="39"/>
      <c r="AZ20" s="39"/>
      <c r="BA20" s="39"/>
      <c r="BB20" s="39"/>
      <c r="BC20" s="39"/>
      <c r="BD20" s="39"/>
      <c r="BE20" s="39"/>
      <c r="BF20" s="39"/>
      <c r="BG20" s="39"/>
      <c r="BH20" s="39"/>
      <c r="BI20" s="40"/>
    </row>
    <row r="21" spans="1:98" ht="7.4" customHeight="1" x14ac:dyDescent="0.5">
      <c r="A21" s="42"/>
      <c r="S21" s="70"/>
      <c r="T21" s="335" t="s">
        <v>29</v>
      </c>
      <c r="U21" s="335"/>
      <c r="V21" s="335"/>
      <c r="W21" s="335"/>
      <c r="X21" s="335"/>
      <c r="Y21" s="335"/>
      <c r="Z21" s="335"/>
      <c r="AA21" s="335"/>
      <c r="AB21" s="335"/>
      <c r="AC21" s="335"/>
      <c r="AD21" s="335"/>
      <c r="AE21" s="335"/>
      <c r="AF21" s="335"/>
      <c r="AG21" s="335"/>
      <c r="AH21" s="335"/>
      <c r="AI21" s="335"/>
      <c r="AJ21" s="335"/>
      <c r="AK21" s="335"/>
      <c r="AL21" s="335"/>
      <c r="AM21" s="335"/>
      <c r="AN21" s="335"/>
      <c r="AO21" s="335"/>
      <c r="AP21" s="335"/>
      <c r="AQ21" s="71"/>
      <c r="BI21" s="41"/>
    </row>
    <row r="22" spans="1:98" ht="7.4" customHeight="1" x14ac:dyDescent="0.5">
      <c r="A22" s="42"/>
      <c r="S22" s="70"/>
      <c r="T22" s="335"/>
      <c r="U22" s="335"/>
      <c r="V22" s="335"/>
      <c r="W22" s="335"/>
      <c r="X22" s="335"/>
      <c r="Y22" s="335"/>
      <c r="Z22" s="335"/>
      <c r="AA22" s="335"/>
      <c r="AB22" s="335"/>
      <c r="AC22" s="335"/>
      <c r="AD22" s="335"/>
      <c r="AE22" s="335"/>
      <c r="AF22" s="335"/>
      <c r="AG22" s="335"/>
      <c r="AH22" s="335"/>
      <c r="AI22" s="335"/>
      <c r="AJ22" s="335"/>
      <c r="AK22" s="335"/>
      <c r="AL22" s="335"/>
      <c r="AM22" s="335"/>
      <c r="AN22" s="335"/>
      <c r="AO22" s="335"/>
      <c r="AP22" s="335"/>
      <c r="AQ22" s="71"/>
      <c r="BI22" s="41"/>
    </row>
    <row r="23" spans="1:98" ht="7.4" customHeight="1" x14ac:dyDescent="0.5">
      <c r="A23" s="42"/>
      <c r="S23" s="72"/>
      <c r="T23" s="73"/>
      <c r="U23" s="73"/>
      <c r="V23" s="73"/>
      <c r="W23" s="73"/>
      <c r="X23" s="73"/>
      <c r="Y23" s="73"/>
      <c r="Z23" s="73"/>
      <c r="AA23" s="73"/>
      <c r="AB23" s="73"/>
      <c r="AC23" s="73"/>
      <c r="AD23" s="73"/>
      <c r="AE23" s="73"/>
      <c r="AF23" s="73"/>
      <c r="AG23" s="73"/>
      <c r="AH23" s="73"/>
      <c r="AI23" s="73"/>
      <c r="AJ23" s="73"/>
      <c r="AK23" s="73"/>
      <c r="AL23" s="73"/>
      <c r="AM23" s="73"/>
      <c r="AN23" s="73"/>
      <c r="AO23" s="73"/>
      <c r="AP23" s="73"/>
      <c r="AQ23" s="74"/>
      <c r="BI23" s="41"/>
    </row>
    <row r="24" spans="1:98" ht="7.4" customHeight="1" x14ac:dyDescent="0.5">
      <c r="A24" s="42"/>
      <c r="BI24" s="41"/>
      <c r="CS24" s="75"/>
      <c r="CT24" s="75"/>
    </row>
    <row r="25" spans="1:98" ht="7.4" customHeight="1" x14ac:dyDescent="0.5">
      <c r="A25" s="42"/>
      <c r="C25" s="299" t="s">
        <v>30</v>
      </c>
      <c r="D25" s="363"/>
      <c r="E25" s="363"/>
      <c r="F25" s="363"/>
      <c r="G25" s="363"/>
      <c r="H25" s="363"/>
      <c r="I25" s="363"/>
      <c r="J25" s="363"/>
      <c r="K25" s="363"/>
      <c r="L25" s="363"/>
      <c r="M25" s="363"/>
      <c r="N25" s="363"/>
      <c r="O25" s="363"/>
      <c r="P25" s="363"/>
      <c r="Q25" s="363"/>
      <c r="R25" s="363"/>
      <c r="S25" s="363"/>
      <c r="T25" s="363"/>
      <c r="U25" s="363"/>
      <c r="V25" s="363"/>
      <c r="W25" s="38"/>
      <c r="X25" s="386">
        <v>10</v>
      </c>
      <c r="Y25" s="386"/>
      <c r="Z25" s="386"/>
      <c r="AA25" s="386"/>
      <c r="AB25" s="380" t="s">
        <v>31</v>
      </c>
      <c r="AC25" s="380"/>
      <c r="AD25" s="381"/>
      <c r="AF25" s="299" t="s">
        <v>32</v>
      </c>
      <c r="AG25" s="363"/>
      <c r="AH25" s="363"/>
      <c r="AI25" s="363"/>
      <c r="AJ25" s="363"/>
      <c r="AK25" s="363"/>
      <c r="AL25" s="363"/>
      <c r="AM25" s="363"/>
      <c r="AN25" s="363"/>
      <c r="AO25" s="363"/>
      <c r="AP25" s="363"/>
      <c r="AQ25" s="363"/>
      <c r="AR25" s="363"/>
      <c r="AS25" s="363"/>
      <c r="AT25" s="363"/>
      <c r="AU25" s="363"/>
      <c r="AV25" s="363"/>
      <c r="AW25" s="363"/>
      <c r="AX25" s="363"/>
      <c r="AY25" s="364"/>
      <c r="AZ25" s="77"/>
      <c r="BA25" s="386">
        <v>10</v>
      </c>
      <c r="BB25" s="386"/>
      <c r="BC25" s="386"/>
      <c r="BD25" s="386"/>
      <c r="BE25" s="380" t="s">
        <v>31</v>
      </c>
      <c r="BF25" s="380"/>
      <c r="BG25" s="381"/>
      <c r="BI25" s="41"/>
      <c r="BL25" s="25"/>
      <c r="BM25" s="25"/>
      <c r="BV25" s="25"/>
      <c r="BW25" s="25"/>
      <c r="CS25" s="75"/>
      <c r="CT25" s="75"/>
    </row>
    <row r="26" spans="1:98" ht="7.4" customHeight="1" x14ac:dyDescent="0.5">
      <c r="A26" s="42"/>
      <c r="C26" s="365"/>
      <c r="D26" s="366"/>
      <c r="E26" s="366"/>
      <c r="F26" s="366"/>
      <c r="G26" s="366"/>
      <c r="H26" s="366"/>
      <c r="I26" s="366"/>
      <c r="J26" s="366"/>
      <c r="K26" s="366"/>
      <c r="L26" s="366"/>
      <c r="M26" s="366"/>
      <c r="N26" s="366"/>
      <c r="O26" s="366"/>
      <c r="P26" s="366"/>
      <c r="Q26" s="366"/>
      <c r="R26" s="366"/>
      <c r="S26" s="366"/>
      <c r="T26" s="366"/>
      <c r="U26" s="366"/>
      <c r="V26" s="366"/>
      <c r="W26" s="42"/>
      <c r="X26" s="318"/>
      <c r="Y26" s="318"/>
      <c r="Z26" s="318"/>
      <c r="AA26" s="318"/>
      <c r="AB26" s="382"/>
      <c r="AC26" s="382"/>
      <c r="AD26" s="383"/>
      <c r="AF26" s="365"/>
      <c r="AG26" s="366"/>
      <c r="AH26" s="366"/>
      <c r="AI26" s="366"/>
      <c r="AJ26" s="366"/>
      <c r="AK26" s="366"/>
      <c r="AL26" s="366"/>
      <c r="AM26" s="366"/>
      <c r="AN26" s="366"/>
      <c r="AO26" s="366"/>
      <c r="AP26" s="366"/>
      <c r="AQ26" s="366"/>
      <c r="AR26" s="366"/>
      <c r="AS26" s="366"/>
      <c r="AT26" s="366"/>
      <c r="AU26" s="366"/>
      <c r="AV26" s="366"/>
      <c r="AW26" s="366"/>
      <c r="AX26" s="366"/>
      <c r="AY26" s="367"/>
      <c r="AZ26" s="79"/>
      <c r="BA26" s="318"/>
      <c r="BB26" s="318"/>
      <c r="BC26" s="318"/>
      <c r="BD26" s="318"/>
      <c r="BE26" s="382"/>
      <c r="BF26" s="382"/>
      <c r="BG26" s="383"/>
      <c r="BI26" s="41"/>
      <c r="BL26" s="25"/>
      <c r="BM26" s="25"/>
      <c r="BV26" s="25"/>
      <c r="CS26" s="75"/>
      <c r="CT26" s="75"/>
    </row>
    <row r="27" spans="1:98" ht="7.4" customHeight="1" x14ac:dyDescent="0.5">
      <c r="A27" s="42"/>
      <c r="C27" s="368"/>
      <c r="D27" s="369"/>
      <c r="E27" s="369"/>
      <c r="F27" s="369"/>
      <c r="G27" s="369"/>
      <c r="H27" s="369"/>
      <c r="I27" s="369"/>
      <c r="J27" s="369"/>
      <c r="K27" s="369"/>
      <c r="L27" s="369"/>
      <c r="M27" s="369"/>
      <c r="N27" s="369"/>
      <c r="O27" s="369"/>
      <c r="P27" s="369"/>
      <c r="Q27" s="369"/>
      <c r="R27" s="369"/>
      <c r="S27" s="369"/>
      <c r="T27" s="369"/>
      <c r="U27" s="369"/>
      <c r="V27" s="369"/>
      <c r="W27" s="42"/>
      <c r="X27" s="318"/>
      <c r="Y27" s="318"/>
      <c r="Z27" s="318"/>
      <c r="AA27" s="318"/>
      <c r="AB27" s="382"/>
      <c r="AC27" s="382"/>
      <c r="AD27" s="383"/>
      <c r="AF27" s="368"/>
      <c r="AG27" s="369"/>
      <c r="AH27" s="369"/>
      <c r="AI27" s="369"/>
      <c r="AJ27" s="369"/>
      <c r="AK27" s="369"/>
      <c r="AL27" s="369"/>
      <c r="AM27" s="369"/>
      <c r="AN27" s="369"/>
      <c r="AO27" s="369"/>
      <c r="AP27" s="369"/>
      <c r="AQ27" s="369"/>
      <c r="AR27" s="369"/>
      <c r="AS27" s="369"/>
      <c r="AT27" s="369"/>
      <c r="AU27" s="369"/>
      <c r="AV27" s="369"/>
      <c r="AW27" s="369"/>
      <c r="AX27" s="369"/>
      <c r="AY27" s="370"/>
      <c r="AZ27" s="79"/>
      <c r="BA27" s="318"/>
      <c r="BB27" s="318"/>
      <c r="BC27" s="318"/>
      <c r="BD27" s="318"/>
      <c r="BE27" s="382"/>
      <c r="BF27" s="382"/>
      <c r="BG27" s="383"/>
      <c r="BI27" s="41"/>
    </row>
    <row r="28" spans="1:98" ht="7.4" customHeight="1" x14ac:dyDescent="0.5">
      <c r="A28" s="42"/>
      <c r="C28" s="80"/>
      <c r="D28" s="384" t="s">
        <v>33</v>
      </c>
      <c r="E28" s="384"/>
      <c r="F28" s="384"/>
      <c r="G28" s="384"/>
      <c r="H28" s="384"/>
      <c r="I28" s="384"/>
      <c r="J28" s="384"/>
      <c r="K28" s="384"/>
      <c r="L28" s="384"/>
      <c r="M28" s="384"/>
      <c r="N28" s="384"/>
      <c r="O28" s="384"/>
      <c r="P28" s="384"/>
      <c r="Q28" s="384"/>
      <c r="R28" s="384"/>
      <c r="S28" s="384"/>
      <c r="T28" s="384"/>
      <c r="U28" s="384"/>
      <c r="V28" s="384"/>
      <c r="W28" s="81"/>
      <c r="X28" s="386">
        <v>0</v>
      </c>
      <c r="Y28" s="386"/>
      <c r="Z28" s="386"/>
      <c r="AA28" s="386"/>
      <c r="AB28" s="380" t="s">
        <v>34</v>
      </c>
      <c r="AC28" s="380"/>
      <c r="AD28" s="381"/>
      <c r="AE28" s="25"/>
      <c r="AF28" s="82"/>
      <c r="AG28" s="390" t="s">
        <v>35</v>
      </c>
      <c r="AH28" s="390"/>
      <c r="AI28" s="390"/>
      <c r="AJ28" s="390"/>
      <c r="AK28" s="390"/>
      <c r="AL28" s="390"/>
      <c r="AM28" s="390"/>
      <c r="AN28" s="390"/>
      <c r="AO28" s="390"/>
      <c r="AP28" s="390"/>
      <c r="AQ28" s="390"/>
      <c r="AR28" s="390"/>
      <c r="AS28" s="390"/>
      <c r="AT28" s="390"/>
      <c r="AU28" s="390"/>
      <c r="AV28" s="390"/>
      <c r="AW28" s="390"/>
      <c r="AX28" s="390"/>
      <c r="AY28" s="390"/>
      <c r="AZ28" s="391" t="s">
        <v>36</v>
      </c>
      <c r="BA28" s="392"/>
      <c r="BB28" s="392"/>
      <c r="BC28" s="392"/>
      <c r="BD28" s="392"/>
      <c r="BE28" s="392"/>
      <c r="BF28" s="392"/>
      <c r="BG28" s="393"/>
      <c r="BI28" s="41"/>
    </row>
    <row r="29" spans="1:98" ht="7.4" customHeight="1" x14ac:dyDescent="0.5">
      <c r="A29" s="42"/>
      <c r="C29" s="80"/>
      <c r="D29" s="384"/>
      <c r="E29" s="384"/>
      <c r="F29" s="384"/>
      <c r="G29" s="384"/>
      <c r="H29" s="384"/>
      <c r="I29" s="384"/>
      <c r="J29" s="384"/>
      <c r="K29" s="384"/>
      <c r="L29" s="384"/>
      <c r="M29" s="384"/>
      <c r="N29" s="384"/>
      <c r="O29" s="384"/>
      <c r="P29" s="384"/>
      <c r="Q29" s="384"/>
      <c r="R29" s="384"/>
      <c r="S29" s="384"/>
      <c r="T29" s="384"/>
      <c r="U29" s="384"/>
      <c r="V29" s="384"/>
      <c r="W29" s="42"/>
      <c r="X29" s="318"/>
      <c r="Y29" s="318"/>
      <c r="Z29" s="318"/>
      <c r="AA29" s="318"/>
      <c r="AB29" s="382"/>
      <c r="AC29" s="382"/>
      <c r="AD29" s="383"/>
      <c r="AF29" s="80"/>
      <c r="AG29" s="384"/>
      <c r="AH29" s="384"/>
      <c r="AI29" s="384"/>
      <c r="AJ29" s="384"/>
      <c r="AK29" s="384"/>
      <c r="AL29" s="384"/>
      <c r="AM29" s="384"/>
      <c r="AN29" s="384"/>
      <c r="AO29" s="384"/>
      <c r="AP29" s="384"/>
      <c r="AQ29" s="384"/>
      <c r="AR29" s="384"/>
      <c r="AS29" s="384"/>
      <c r="AT29" s="384"/>
      <c r="AU29" s="384"/>
      <c r="AV29" s="384"/>
      <c r="AW29" s="384"/>
      <c r="AX29" s="384"/>
      <c r="AY29" s="384"/>
      <c r="AZ29" s="394"/>
      <c r="BA29" s="395"/>
      <c r="BB29" s="395"/>
      <c r="BC29" s="395"/>
      <c r="BD29" s="395"/>
      <c r="BE29" s="395"/>
      <c r="BF29" s="395"/>
      <c r="BG29" s="396"/>
      <c r="BI29" s="41"/>
      <c r="CS29" s="75"/>
      <c r="CT29" s="75"/>
    </row>
    <row r="30" spans="1:98" ht="7.4" customHeight="1" x14ac:dyDescent="0.5">
      <c r="A30" s="42"/>
      <c r="C30" s="83"/>
      <c r="D30" s="385"/>
      <c r="E30" s="385"/>
      <c r="F30" s="385"/>
      <c r="G30" s="385"/>
      <c r="H30" s="385"/>
      <c r="I30" s="385"/>
      <c r="J30" s="385"/>
      <c r="K30" s="385"/>
      <c r="L30" s="385"/>
      <c r="M30" s="385"/>
      <c r="N30" s="385"/>
      <c r="O30" s="385"/>
      <c r="P30" s="385"/>
      <c r="Q30" s="385"/>
      <c r="R30" s="385"/>
      <c r="S30" s="385"/>
      <c r="T30" s="385"/>
      <c r="U30" s="385"/>
      <c r="V30" s="385"/>
      <c r="W30" s="50"/>
      <c r="X30" s="387"/>
      <c r="Y30" s="387"/>
      <c r="Z30" s="387"/>
      <c r="AA30" s="387"/>
      <c r="AB30" s="388"/>
      <c r="AC30" s="388"/>
      <c r="AD30" s="389"/>
      <c r="AF30" s="83"/>
      <c r="AG30" s="385"/>
      <c r="AH30" s="385"/>
      <c r="AI30" s="385"/>
      <c r="AJ30" s="385"/>
      <c r="AK30" s="385"/>
      <c r="AL30" s="385"/>
      <c r="AM30" s="385"/>
      <c r="AN30" s="385"/>
      <c r="AO30" s="385"/>
      <c r="AP30" s="385"/>
      <c r="AQ30" s="385"/>
      <c r="AR30" s="385"/>
      <c r="AS30" s="385"/>
      <c r="AT30" s="385"/>
      <c r="AU30" s="385"/>
      <c r="AV30" s="385"/>
      <c r="AW30" s="385"/>
      <c r="AX30" s="385"/>
      <c r="AY30" s="385"/>
      <c r="AZ30" s="397"/>
      <c r="BA30" s="398"/>
      <c r="BB30" s="398"/>
      <c r="BC30" s="398"/>
      <c r="BD30" s="398"/>
      <c r="BE30" s="398"/>
      <c r="BF30" s="398"/>
      <c r="BG30" s="399"/>
      <c r="BI30" s="41"/>
    </row>
    <row r="31" spans="1:98" ht="7.4" customHeight="1" x14ac:dyDescent="0.5">
      <c r="A31" s="42"/>
      <c r="BI31" s="41"/>
    </row>
    <row r="32" spans="1:98" ht="7.4" customHeight="1" x14ac:dyDescent="0.5">
      <c r="A32" s="42"/>
      <c r="B32" s="299" t="s">
        <v>37</v>
      </c>
      <c r="C32" s="363"/>
      <c r="D32" s="363"/>
      <c r="E32" s="363"/>
      <c r="F32" s="363"/>
      <c r="G32" s="363"/>
      <c r="H32" s="363"/>
      <c r="I32" s="363"/>
      <c r="J32" s="363"/>
      <c r="K32" s="363"/>
      <c r="L32" s="363"/>
      <c r="M32" s="363"/>
      <c r="N32" s="363"/>
      <c r="O32" s="363"/>
      <c r="P32" s="363"/>
      <c r="Q32" s="363"/>
      <c r="R32" s="363"/>
      <c r="S32" s="364"/>
      <c r="U32" s="299" t="s">
        <v>38</v>
      </c>
      <c r="V32" s="363"/>
      <c r="W32" s="363"/>
      <c r="X32" s="363"/>
      <c r="Y32" s="363"/>
      <c r="Z32" s="363"/>
      <c r="AA32" s="363"/>
      <c r="AB32" s="363"/>
      <c r="AC32" s="363"/>
      <c r="AD32" s="363"/>
      <c r="AE32" s="363"/>
      <c r="AF32" s="363"/>
      <c r="AG32" s="363"/>
      <c r="AH32" s="363"/>
      <c r="AI32" s="363"/>
      <c r="AJ32" s="364"/>
      <c r="AL32" s="299" t="s">
        <v>39</v>
      </c>
      <c r="AM32" s="363"/>
      <c r="AN32" s="363"/>
      <c r="AO32" s="363"/>
      <c r="AP32" s="363"/>
      <c r="AQ32" s="363"/>
      <c r="AR32" s="363"/>
      <c r="AS32" s="363"/>
      <c r="AT32" s="363"/>
      <c r="AU32" s="363"/>
      <c r="AV32" s="363"/>
      <c r="AW32" s="364"/>
      <c r="AY32" s="299" t="s">
        <v>40</v>
      </c>
      <c r="AZ32" s="363"/>
      <c r="BA32" s="363"/>
      <c r="BB32" s="363"/>
      <c r="BC32" s="363"/>
      <c r="BD32" s="363"/>
      <c r="BE32" s="363"/>
      <c r="BF32" s="363"/>
      <c r="BG32" s="363"/>
      <c r="BH32" s="364"/>
      <c r="BI32" s="41"/>
    </row>
    <row r="33" spans="1:92" ht="7.4" customHeight="1" x14ac:dyDescent="0.5">
      <c r="A33" s="42"/>
      <c r="B33" s="365"/>
      <c r="C33" s="366"/>
      <c r="D33" s="366"/>
      <c r="E33" s="366"/>
      <c r="F33" s="366"/>
      <c r="G33" s="366"/>
      <c r="H33" s="366"/>
      <c r="I33" s="366"/>
      <c r="J33" s="366"/>
      <c r="K33" s="366"/>
      <c r="L33" s="366"/>
      <c r="M33" s="366"/>
      <c r="N33" s="366"/>
      <c r="O33" s="366"/>
      <c r="P33" s="366"/>
      <c r="Q33" s="366"/>
      <c r="R33" s="366"/>
      <c r="S33" s="367"/>
      <c r="U33" s="365"/>
      <c r="V33" s="366"/>
      <c r="W33" s="366"/>
      <c r="X33" s="366"/>
      <c r="Y33" s="366"/>
      <c r="Z33" s="366"/>
      <c r="AA33" s="366"/>
      <c r="AB33" s="366"/>
      <c r="AC33" s="366"/>
      <c r="AD33" s="366"/>
      <c r="AE33" s="366"/>
      <c r="AF33" s="366"/>
      <c r="AG33" s="366"/>
      <c r="AH33" s="366"/>
      <c r="AI33" s="366"/>
      <c r="AJ33" s="367"/>
      <c r="AL33" s="365"/>
      <c r="AM33" s="366"/>
      <c r="AN33" s="366"/>
      <c r="AO33" s="366"/>
      <c r="AP33" s="366"/>
      <c r="AQ33" s="366"/>
      <c r="AR33" s="366"/>
      <c r="AS33" s="366"/>
      <c r="AT33" s="366"/>
      <c r="AU33" s="366"/>
      <c r="AV33" s="366"/>
      <c r="AW33" s="367"/>
      <c r="AY33" s="365"/>
      <c r="AZ33" s="366"/>
      <c r="BA33" s="366"/>
      <c r="BB33" s="366"/>
      <c r="BC33" s="366"/>
      <c r="BD33" s="366"/>
      <c r="BE33" s="366"/>
      <c r="BF33" s="366"/>
      <c r="BG33" s="366"/>
      <c r="BH33" s="367"/>
      <c r="BI33" s="41"/>
    </row>
    <row r="34" spans="1:92" ht="7.4" customHeight="1" x14ac:dyDescent="0.5">
      <c r="A34" s="42"/>
      <c r="B34" s="368"/>
      <c r="C34" s="369"/>
      <c r="D34" s="369"/>
      <c r="E34" s="369"/>
      <c r="F34" s="369"/>
      <c r="G34" s="369"/>
      <c r="H34" s="369"/>
      <c r="I34" s="369"/>
      <c r="J34" s="369"/>
      <c r="K34" s="369"/>
      <c r="L34" s="369"/>
      <c r="M34" s="369"/>
      <c r="N34" s="369"/>
      <c r="O34" s="369"/>
      <c r="P34" s="369"/>
      <c r="Q34" s="369"/>
      <c r="R34" s="369"/>
      <c r="S34" s="370"/>
      <c r="U34" s="368"/>
      <c r="V34" s="369"/>
      <c r="W34" s="369"/>
      <c r="X34" s="369"/>
      <c r="Y34" s="369"/>
      <c r="Z34" s="369"/>
      <c r="AA34" s="369"/>
      <c r="AB34" s="369"/>
      <c r="AC34" s="369"/>
      <c r="AD34" s="369"/>
      <c r="AE34" s="369"/>
      <c r="AF34" s="369"/>
      <c r="AG34" s="369"/>
      <c r="AH34" s="369"/>
      <c r="AI34" s="369"/>
      <c r="AJ34" s="370"/>
      <c r="AL34" s="368"/>
      <c r="AM34" s="369"/>
      <c r="AN34" s="369"/>
      <c r="AO34" s="369"/>
      <c r="AP34" s="369"/>
      <c r="AQ34" s="369"/>
      <c r="AR34" s="369"/>
      <c r="AS34" s="369"/>
      <c r="AT34" s="369"/>
      <c r="AU34" s="369"/>
      <c r="AV34" s="369"/>
      <c r="AW34" s="370"/>
      <c r="AY34" s="368"/>
      <c r="AZ34" s="369"/>
      <c r="BA34" s="369"/>
      <c r="BB34" s="369"/>
      <c r="BC34" s="369"/>
      <c r="BD34" s="369"/>
      <c r="BE34" s="369"/>
      <c r="BF34" s="369"/>
      <c r="BG34" s="369"/>
      <c r="BH34" s="370"/>
      <c r="BI34" s="41"/>
      <c r="BK34" s="371" t="s">
        <v>41</v>
      </c>
      <c r="BL34" s="372"/>
      <c r="BM34" s="372"/>
      <c r="BN34" s="372"/>
      <c r="BO34" s="372"/>
      <c r="BP34" s="373"/>
    </row>
    <row r="35" spans="1:92" ht="7.4" customHeight="1" x14ac:dyDescent="0.5">
      <c r="A35" s="42"/>
      <c r="B35" s="58"/>
      <c r="C35" s="59"/>
      <c r="D35" s="59"/>
      <c r="E35" s="59"/>
      <c r="F35" s="59"/>
      <c r="G35" s="59"/>
      <c r="H35" s="38"/>
      <c r="I35" s="39"/>
      <c r="J35" s="39"/>
      <c r="K35" s="58"/>
      <c r="L35" s="59"/>
      <c r="M35" s="59"/>
      <c r="N35" s="59"/>
      <c r="O35" s="59"/>
      <c r="P35" s="59"/>
      <c r="Q35" s="38"/>
      <c r="R35" s="39"/>
      <c r="S35" s="40"/>
      <c r="U35" s="58"/>
      <c r="V35" s="59"/>
      <c r="W35" s="59"/>
      <c r="X35" s="59"/>
      <c r="Y35" s="59"/>
      <c r="Z35" s="59"/>
      <c r="AA35" s="38"/>
      <c r="AB35" s="39"/>
      <c r="AC35" s="39"/>
      <c r="AD35" s="86"/>
      <c r="AE35" s="86"/>
      <c r="AF35" s="86"/>
      <c r="AG35" s="86"/>
      <c r="AH35" s="86"/>
      <c r="AI35" s="87"/>
      <c r="AJ35" s="88"/>
      <c r="AL35" s="346" t="s">
        <v>42</v>
      </c>
      <c r="AM35" s="347"/>
      <c r="AN35" s="347"/>
      <c r="AO35" s="347"/>
      <c r="AP35" s="347"/>
      <c r="AQ35" s="347"/>
      <c r="AR35" s="347"/>
      <c r="AS35" s="347"/>
      <c r="AT35" s="347"/>
      <c r="AU35" s="347"/>
      <c r="AV35" s="347"/>
      <c r="AW35" s="348"/>
      <c r="AY35" s="38"/>
      <c r="AZ35" s="39"/>
      <c r="BA35" s="39"/>
      <c r="BB35" s="39"/>
      <c r="BC35" s="89"/>
      <c r="BD35" s="89"/>
      <c r="BE35" s="89"/>
      <c r="BF35" s="39"/>
      <c r="BG35" s="39"/>
      <c r="BH35" s="40"/>
      <c r="BI35" s="41"/>
      <c r="BK35" s="374"/>
      <c r="BL35" s="375"/>
      <c r="BM35" s="375"/>
      <c r="BN35" s="375"/>
      <c r="BO35" s="375"/>
      <c r="BP35" s="376"/>
    </row>
    <row r="36" spans="1:92" ht="7.4" customHeight="1" x14ac:dyDescent="0.5">
      <c r="A36" s="42"/>
      <c r="B36" s="343" t="s">
        <v>43</v>
      </c>
      <c r="C36" s="344"/>
      <c r="D36" s="344"/>
      <c r="E36" s="344"/>
      <c r="F36" s="344"/>
      <c r="G36" s="345"/>
      <c r="H36" s="377">
        <v>0.04</v>
      </c>
      <c r="I36" s="378"/>
      <c r="J36" s="379"/>
      <c r="K36" s="343" t="s">
        <v>44</v>
      </c>
      <c r="L36" s="344"/>
      <c r="M36" s="344"/>
      <c r="N36" s="344"/>
      <c r="O36" s="344"/>
      <c r="P36" s="345"/>
      <c r="Q36" s="377">
        <v>0.02</v>
      </c>
      <c r="R36" s="378"/>
      <c r="S36" s="379"/>
      <c r="U36" s="343" t="s">
        <v>45</v>
      </c>
      <c r="V36" s="344"/>
      <c r="W36" s="344"/>
      <c r="X36" s="344"/>
      <c r="Y36" s="344"/>
      <c r="Z36" s="345"/>
      <c r="AA36" s="346" t="s">
        <v>14</v>
      </c>
      <c r="AB36" s="347"/>
      <c r="AC36" s="347"/>
      <c r="AD36" s="347"/>
      <c r="AE36" s="347"/>
      <c r="AF36" s="347"/>
      <c r="AG36" s="347"/>
      <c r="AH36" s="347"/>
      <c r="AI36" s="347"/>
      <c r="AJ36" s="348"/>
      <c r="AL36" s="346"/>
      <c r="AM36" s="347"/>
      <c r="AN36" s="347"/>
      <c r="AO36" s="347"/>
      <c r="AP36" s="347"/>
      <c r="AQ36" s="347"/>
      <c r="AR36" s="347"/>
      <c r="AS36" s="347"/>
      <c r="AT36" s="347"/>
      <c r="AU36" s="347"/>
      <c r="AV36" s="347"/>
      <c r="AW36" s="348"/>
      <c r="AY36" s="349">
        <v>300</v>
      </c>
      <c r="AZ36" s="318"/>
      <c r="BA36" s="318"/>
      <c r="BB36" s="318"/>
      <c r="BC36" s="318"/>
      <c r="BD36" s="318"/>
      <c r="BE36" s="318"/>
      <c r="BF36" s="318"/>
      <c r="BG36" s="318"/>
      <c r="BH36" s="350"/>
      <c r="BI36" s="41"/>
      <c r="BK36" s="351">
        <f>AY36+87</f>
        <v>387</v>
      </c>
      <c r="BL36" s="352"/>
      <c r="BM36" s="352"/>
      <c r="BN36" s="352"/>
      <c r="BO36" s="352"/>
      <c r="BP36" s="353"/>
    </row>
    <row r="37" spans="1:92" ht="7.4" customHeight="1" x14ac:dyDescent="0.5">
      <c r="A37" s="42"/>
      <c r="B37" s="343"/>
      <c r="C37" s="344"/>
      <c r="D37" s="344"/>
      <c r="E37" s="344"/>
      <c r="F37" s="344"/>
      <c r="G37" s="345"/>
      <c r="H37" s="377"/>
      <c r="I37" s="378"/>
      <c r="J37" s="379"/>
      <c r="K37" s="343"/>
      <c r="L37" s="344"/>
      <c r="M37" s="344"/>
      <c r="N37" s="344"/>
      <c r="O37" s="344"/>
      <c r="P37" s="345"/>
      <c r="Q37" s="377"/>
      <c r="R37" s="378"/>
      <c r="S37" s="379"/>
      <c r="U37" s="343"/>
      <c r="V37" s="344"/>
      <c r="W37" s="344"/>
      <c r="X37" s="344"/>
      <c r="Y37" s="344"/>
      <c r="Z37" s="345"/>
      <c r="AA37" s="346"/>
      <c r="AB37" s="347"/>
      <c r="AC37" s="347"/>
      <c r="AD37" s="347"/>
      <c r="AE37" s="347"/>
      <c r="AF37" s="347"/>
      <c r="AG37" s="347"/>
      <c r="AH37" s="347"/>
      <c r="AI37" s="347"/>
      <c r="AJ37" s="348"/>
      <c r="AL37" s="357" t="str">
        <f>IF($AL$35="Not Included","5 supports / 5.7m Panel","4 supports / 5.7m Panel")</f>
        <v>5 supports / 5.7m Panel</v>
      </c>
      <c r="AM37" s="358"/>
      <c r="AN37" s="358"/>
      <c r="AO37" s="358"/>
      <c r="AP37" s="358"/>
      <c r="AQ37" s="358"/>
      <c r="AR37" s="358"/>
      <c r="AS37" s="358"/>
      <c r="AT37" s="358"/>
      <c r="AU37" s="358"/>
      <c r="AV37" s="358"/>
      <c r="AW37" s="359"/>
      <c r="AY37" s="349"/>
      <c r="AZ37" s="318"/>
      <c r="BA37" s="318"/>
      <c r="BB37" s="318"/>
      <c r="BC37" s="318"/>
      <c r="BD37" s="318"/>
      <c r="BE37" s="318"/>
      <c r="BF37" s="318"/>
      <c r="BG37" s="318"/>
      <c r="BH37" s="350"/>
      <c r="BI37" s="41"/>
      <c r="BK37" s="354"/>
      <c r="BL37" s="355"/>
      <c r="BM37" s="355"/>
      <c r="BN37" s="355"/>
      <c r="BO37" s="355"/>
      <c r="BP37" s="356"/>
    </row>
    <row r="38" spans="1:92" ht="7.4" customHeight="1" x14ac:dyDescent="0.5">
      <c r="A38" s="42"/>
      <c r="B38" s="64"/>
      <c r="C38" s="96"/>
      <c r="D38" s="96"/>
      <c r="E38" s="96"/>
      <c r="F38" s="96"/>
      <c r="G38" s="96"/>
      <c r="H38" s="50"/>
      <c r="I38" s="97"/>
      <c r="J38" s="97"/>
      <c r="K38" s="64"/>
      <c r="L38" s="96"/>
      <c r="M38" s="96"/>
      <c r="N38" s="96"/>
      <c r="O38" s="96"/>
      <c r="P38" s="96"/>
      <c r="Q38" s="50"/>
      <c r="R38" s="97"/>
      <c r="S38" s="98"/>
      <c r="U38" s="64"/>
      <c r="V38" s="96"/>
      <c r="W38" s="96"/>
      <c r="X38" s="96"/>
      <c r="Y38" s="96"/>
      <c r="Z38" s="96"/>
      <c r="AA38" s="50"/>
      <c r="AB38" s="51"/>
      <c r="AC38" s="51"/>
      <c r="AD38" s="99"/>
      <c r="AE38" s="99"/>
      <c r="AF38" s="99"/>
      <c r="AG38" s="99"/>
      <c r="AH38" s="99"/>
      <c r="AI38" s="100"/>
      <c r="AJ38" s="101"/>
      <c r="AL38" s="360"/>
      <c r="AM38" s="361"/>
      <c r="AN38" s="361"/>
      <c r="AO38" s="361"/>
      <c r="AP38" s="361"/>
      <c r="AQ38" s="361"/>
      <c r="AR38" s="361"/>
      <c r="AS38" s="361"/>
      <c r="AT38" s="361"/>
      <c r="AU38" s="361"/>
      <c r="AV38" s="361"/>
      <c r="AW38" s="362"/>
      <c r="AY38" s="102"/>
      <c r="AZ38" s="103"/>
      <c r="BA38" s="103"/>
      <c r="BB38" s="103"/>
      <c r="BC38" s="103"/>
      <c r="BD38" s="103"/>
      <c r="BE38" s="103"/>
      <c r="BF38" s="51"/>
      <c r="BG38" s="51"/>
      <c r="BH38" s="52"/>
      <c r="BI38" s="41"/>
    </row>
    <row r="39" spans="1:92" ht="7.4" customHeight="1" x14ac:dyDescent="0.5">
      <c r="A39" s="42"/>
      <c r="BI39" s="41"/>
      <c r="CJ39" s="46"/>
      <c r="CK39" s="46"/>
      <c r="CL39" s="46"/>
      <c r="CM39" s="46"/>
      <c r="CN39" s="46"/>
    </row>
    <row r="40" spans="1:92" ht="7.4" customHeight="1" x14ac:dyDescent="0.5">
      <c r="A40" s="50"/>
      <c r="B40" s="51"/>
      <c r="C40" s="51"/>
      <c r="D40" s="51"/>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c r="AZ40" s="51"/>
      <c r="BA40" s="51"/>
      <c r="BB40" s="51"/>
      <c r="BC40" s="51"/>
      <c r="BD40" s="51"/>
      <c r="BE40" s="51"/>
      <c r="BF40" s="51"/>
      <c r="BG40" s="51"/>
      <c r="BH40" s="51"/>
      <c r="BI40" s="52"/>
    </row>
    <row r="41" spans="1:92" ht="7.4" customHeight="1" x14ac:dyDescent="0.5">
      <c r="CJ41" s="46"/>
      <c r="CK41" s="46"/>
      <c r="CL41" s="46"/>
      <c r="CM41" s="46"/>
      <c r="CN41" s="46"/>
    </row>
    <row r="42" spans="1:92" ht="7.4" customHeight="1" x14ac:dyDescent="0.5">
      <c r="A42" s="337" t="s">
        <v>46</v>
      </c>
      <c r="B42" s="337"/>
      <c r="C42" s="337"/>
      <c r="D42" s="337"/>
      <c r="E42" s="337"/>
      <c r="F42" s="337"/>
      <c r="G42" s="337"/>
      <c r="H42" s="337"/>
      <c r="I42" s="337"/>
      <c r="J42" s="337"/>
      <c r="K42" s="337"/>
      <c r="L42" s="337"/>
      <c r="M42" s="337"/>
      <c r="N42" s="337"/>
      <c r="O42" s="337"/>
      <c r="P42" s="337"/>
      <c r="Q42" s="337"/>
      <c r="R42" s="337"/>
      <c r="S42" s="337"/>
      <c r="T42" s="337"/>
      <c r="U42" s="337"/>
      <c r="V42" s="337"/>
      <c r="W42" s="337"/>
      <c r="X42" s="337"/>
      <c r="Y42" s="337"/>
      <c r="Z42" s="337"/>
      <c r="AA42" s="337"/>
      <c r="AB42" s="337"/>
      <c r="AC42" s="337"/>
      <c r="AD42" s="337"/>
      <c r="AE42" s="337"/>
      <c r="AF42" s="337"/>
      <c r="AG42" s="337"/>
      <c r="AH42" s="337"/>
      <c r="AI42" s="337"/>
      <c r="AJ42" s="337"/>
      <c r="AK42" s="337"/>
      <c r="AL42" s="337"/>
      <c r="AM42" s="337"/>
      <c r="AN42" s="337"/>
      <c r="AO42" s="337"/>
      <c r="AP42" s="337"/>
      <c r="AQ42" s="337"/>
      <c r="AR42" s="337"/>
      <c r="AS42" s="337"/>
      <c r="AT42" s="337"/>
      <c r="AU42" s="337"/>
      <c r="AV42" s="337"/>
      <c r="AW42" s="337"/>
      <c r="AX42" s="337"/>
      <c r="AY42" s="337"/>
      <c r="AZ42" s="337"/>
      <c r="BA42" s="337"/>
      <c r="BB42" s="337"/>
      <c r="BC42" s="337"/>
      <c r="BD42" s="337"/>
      <c r="BE42" s="337"/>
      <c r="BF42" s="337"/>
      <c r="BG42" s="337"/>
      <c r="BH42" s="337"/>
      <c r="BI42" s="337"/>
      <c r="CJ42" s="46"/>
      <c r="CK42" s="46"/>
      <c r="CL42" s="46"/>
      <c r="CM42" s="46"/>
      <c r="CN42" s="46"/>
    </row>
    <row r="43" spans="1:92" ht="7.4" customHeight="1" x14ac:dyDescent="0.5">
      <c r="A43" s="337"/>
      <c r="B43" s="337"/>
      <c r="C43" s="337"/>
      <c r="D43" s="337"/>
      <c r="E43" s="337"/>
      <c r="F43" s="337"/>
      <c r="G43" s="337"/>
      <c r="H43" s="337"/>
      <c r="I43" s="337"/>
      <c r="J43" s="337"/>
      <c r="K43" s="337"/>
      <c r="L43" s="337"/>
      <c r="M43" s="337"/>
      <c r="N43" s="337"/>
      <c r="O43" s="337"/>
      <c r="P43" s="337"/>
      <c r="Q43" s="337"/>
      <c r="R43" s="337"/>
      <c r="S43" s="337"/>
      <c r="T43" s="337"/>
      <c r="U43" s="337"/>
      <c r="V43" s="337"/>
      <c r="W43" s="337"/>
      <c r="X43" s="337"/>
      <c r="Y43" s="337"/>
      <c r="Z43" s="337"/>
      <c r="AA43" s="337"/>
      <c r="AB43" s="337"/>
      <c r="AC43" s="337"/>
      <c r="AD43" s="337"/>
      <c r="AE43" s="337"/>
      <c r="AF43" s="337"/>
      <c r="AG43" s="337"/>
      <c r="AH43" s="337"/>
      <c r="AI43" s="337"/>
      <c r="AJ43" s="337"/>
      <c r="AK43" s="337"/>
      <c r="AL43" s="337"/>
      <c r="AM43" s="337"/>
      <c r="AN43" s="337"/>
      <c r="AO43" s="337"/>
      <c r="AP43" s="337"/>
      <c r="AQ43" s="337"/>
      <c r="AR43" s="337"/>
      <c r="AS43" s="337"/>
      <c r="AT43" s="337"/>
      <c r="AU43" s="337"/>
      <c r="AV43" s="337"/>
      <c r="AW43" s="337"/>
      <c r="AX43" s="337"/>
      <c r="AY43" s="337"/>
      <c r="AZ43" s="337"/>
      <c r="BA43" s="337"/>
      <c r="BB43" s="337"/>
      <c r="BC43" s="337"/>
      <c r="BD43" s="337"/>
      <c r="BE43" s="337"/>
      <c r="BF43" s="337"/>
      <c r="BG43" s="337"/>
      <c r="BH43" s="337"/>
      <c r="BI43" s="337"/>
      <c r="CJ43" s="46"/>
      <c r="CK43" s="46"/>
      <c r="CL43" s="46"/>
      <c r="CM43" s="46"/>
      <c r="CN43" s="46"/>
    </row>
    <row r="44" spans="1:92" ht="7.4" customHeight="1" x14ac:dyDescent="0.5">
      <c r="CJ44" s="46"/>
      <c r="CK44" s="46"/>
      <c r="CL44" s="46"/>
      <c r="CM44" s="46"/>
      <c r="CN44" s="46"/>
    </row>
    <row r="45" spans="1:92" ht="7.4" customHeight="1" x14ac:dyDescent="0.5">
      <c r="CJ45" s="46"/>
      <c r="CK45" s="46"/>
      <c r="CL45" s="46"/>
      <c r="CM45" s="46"/>
      <c r="CN45" s="46"/>
    </row>
    <row r="46" spans="1:92" ht="7.4" customHeight="1" x14ac:dyDescent="0.5">
      <c r="CJ46" s="46"/>
      <c r="CK46" s="46"/>
      <c r="CL46" s="46"/>
      <c r="CM46" s="46"/>
      <c r="CN46" s="46"/>
    </row>
    <row r="47" spans="1:92" ht="7.4" customHeight="1" x14ac:dyDescent="0.5">
      <c r="CJ47" s="46"/>
      <c r="CK47" s="46"/>
      <c r="CL47" s="46"/>
      <c r="CM47" s="46"/>
      <c r="CN47" s="46"/>
    </row>
    <row r="48" spans="1:92" ht="7.4" customHeight="1" x14ac:dyDescent="0.5">
      <c r="CJ48" s="46"/>
      <c r="CK48" s="46"/>
      <c r="CL48" s="46"/>
      <c r="CM48" s="46"/>
      <c r="CN48" s="46"/>
    </row>
    <row r="49" spans="88:92" ht="7.4" customHeight="1" x14ac:dyDescent="0.5">
      <c r="CJ49" s="46"/>
      <c r="CK49" s="46"/>
      <c r="CL49" s="46"/>
      <c r="CM49" s="46"/>
      <c r="CN49" s="46"/>
    </row>
    <row r="50" spans="88:92" ht="7.4" customHeight="1" x14ac:dyDescent="0.5">
      <c r="CJ50" s="46"/>
      <c r="CK50" s="46"/>
      <c r="CL50" s="46"/>
      <c r="CM50" s="46"/>
      <c r="CN50" s="46"/>
    </row>
    <row r="51" spans="88:92" ht="7.4" customHeight="1" x14ac:dyDescent="0.5">
      <c r="CJ51" s="46"/>
      <c r="CK51" s="46"/>
      <c r="CL51" s="46"/>
      <c r="CM51" s="46"/>
      <c r="CN51" s="46"/>
    </row>
    <row r="52" spans="88:92" ht="7.4" customHeight="1" x14ac:dyDescent="0.5">
      <c r="CJ52" s="46"/>
      <c r="CK52" s="46"/>
      <c r="CL52" s="46"/>
      <c r="CM52" s="46"/>
      <c r="CN52" s="46"/>
    </row>
    <row r="53" spans="88:92" ht="7.4" customHeight="1" x14ac:dyDescent="0.5">
      <c r="CJ53" s="46"/>
      <c r="CK53" s="46"/>
      <c r="CL53" s="46"/>
      <c r="CM53" s="46"/>
      <c r="CN53" s="46"/>
    </row>
    <row r="54" spans="88:92" ht="7.4" customHeight="1" x14ac:dyDescent="0.5">
      <c r="CJ54" s="46"/>
      <c r="CK54" s="46"/>
      <c r="CL54" s="46"/>
      <c r="CM54" s="46"/>
      <c r="CN54" s="46"/>
    </row>
    <row r="55" spans="88:92" ht="7.4" customHeight="1" x14ac:dyDescent="0.5">
      <c r="CJ55" s="46"/>
      <c r="CK55" s="46"/>
      <c r="CL55" s="46"/>
      <c r="CM55" s="46"/>
      <c r="CN55" s="46"/>
    </row>
    <row r="56" spans="88:92" ht="7.4" customHeight="1" x14ac:dyDescent="0.5">
      <c r="CJ56" s="46"/>
      <c r="CK56" s="46"/>
      <c r="CL56" s="46"/>
      <c r="CM56" s="46"/>
      <c r="CN56" s="46"/>
    </row>
    <row r="57" spans="88:92" ht="7.4" customHeight="1" x14ac:dyDescent="0.5">
      <c r="CJ57" s="46"/>
      <c r="CK57" s="46"/>
      <c r="CL57" s="46"/>
      <c r="CM57" s="46"/>
      <c r="CN57" s="46"/>
    </row>
    <row r="58" spans="88:92" ht="7.4" customHeight="1" x14ac:dyDescent="0.5">
      <c r="CJ58" s="46"/>
      <c r="CK58" s="46"/>
      <c r="CL58" s="46"/>
      <c r="CM58" s="46"/>
      <c r="CN58" s="46"/>
    </row>
    <row r="59" spans="88:92" ht="7.4" customHeight="1" x14ac:dyDescent="0.5">
      <c r="CJ59" s="46"/>
      <c r="CK59" s="46"/>
      <c r="CL59" s="46"/>
      <c r="CM59" s="46"/>
      <c r="CN59" s="46"/>
    </row>
    <row r="60" spans="88:92" ht="7.4" customHeight="1" x14ac:dyDescent="0.5">
      <c r="CJ60" s="46"/>
      <c r="CK60" s="46"/>
      <c r="CL60" s="46"/>
      <c r="CM60" s="46"/>
      <c r="CN60" s="46"/>
    </row>
    <row r="61" spans="88:92" ht="7.4" customHeight="1" x14ac:dyDescent="0.5">
      <c r="CJ61" s="46"/>
      <c r="CK61" s="46"/>
      <c r="CL61" s="46"/>
      <c r="CM61" s="46"/>
      <c r="CN61" s="46"/>
    </row>
    <row r="62" spans="88:92" ht="7.4" customHeight="1" x14ac:dyDescent="0.5">
      <c r="CJ62" s="46"/>
      <c r="CK62" s="46"/>
      <c r="CL62" s="46"/>
      <c r="CM62" s="46"/>
      <c r="CN62" s="46"/>
    </row>
    <row r="63" spans="88:92" ht="7.4" customHeight="1" x14ac:dyDescent="0.5">
      <c r="CJ63" s="46"/>
      <c r="CK63" s="46"/>
      <c r="CL63" s="46"/>
      <c r="CM63" s="46"/>
      <c r="CN63" s="46"/>
    </row>
    <row r="64" spans="88:92" ht="7.4" customHeight="1" x14ac:dyDescent="0.5">
      <c r="CJ64" s="46"/>
      <c r="CK64" s="46"/>
      <c r="CL64" s="46"/>
      <c r="CM64" s="46"/>
      <c r="CN64" s="46"/>
    </row>
    <row r="65" spans="88:92" ht="7.4" customHeight="1" x14ac:dyDescent="0.5">
      <c r="CJ65" s="46"/>
      <c r="CK65" s="46"/>
      <c r="CL65" s="46"/>
      <c r="CM65" s="46"/>
      <c r="CN65" s="46"/>
    </row>
    <row r="66" spans="88:92" ht="7.4" customHeight="1" x14ac:dyDescent="0.5">
      <c r="CJ66" s="46"/>
      <c r="CK66" s="46"/>
      <c r="CL66" s="46"/>
      <c r="CM66" s="46"/>
      <c r="CN66" s="46"/>
    </row>
    <row r="67" spans="88:92" ht="7.4" customHeight="1" x14ac:dyDescent="0.5">
      <c r="CJ67" s="46"/>
      <c r="CK67" s="46"/>
      <c r="CL67" s="46"/>
      <c r="CM67" s="46"/>
      <c r="CN67" s="46"/>
    </row>
    <row r="68" spans="88:92" ht="7.4" customHeight="1" x14ac:dyDescent="0.5">
      <c r="CJ68" s="46"/>
      <c r="CK68" s="46"/>
      <c r="CL68" s="46"/>
      <c r="CM68" s="46"/>
      <c r="CN68" s="46"/>
    </row>
    <row r="69" spans="88:92" ht="7.4" customHeight="1" x14ac:dyDescent="0.5">
      <c r="CJ69" s="46"/>
      <c r="CK69" s="46"/>
      <c r="CL69" s="46"/>
      <c r="CM69" s="46"/>
      <c r="CN69" s="46"/>
    </row>
    <row r="70" spans="88:92" ht="7.4" customHeight="1" x14ac:dyDescent="0.5">
      <c r="CJ70" s="46"/>
      <c r="CK70" s="46"/>
      <c r="CL70" s="46"/>
      <c r="CM70" s="46"/>
      <c r="CN70" s="46"/>
    </row>
    <row r="71" spans="88:92" ht="7.4" customHeight="1" x14ac:dyDescent="0.5">
      <c r="CJ71" s="46"/>
      <c r="CK71" s="46"/>
      <c r="CL71" s="46"/>
      <c r="CM71" s="46"/>
      <c r="CN71" s="46"/>
    </row>
    <row r="72" spans="88:92" ht="7.4" customHeight="1" x14ac:dyDescent="0.5">
      <c r="CJ72" s="46"/>
      <c r="CK72" s="46"/>
      <c r="CL72" s="46"/>
      <c r="CM72" s="46"/>
      <c r="CN72" s="46"/>
    </row>
    <row r="73" spans="88:92" ht="7.4" customHeight="1" x14ac:dyDescent="0.5">
      <c r="CJ73" s="46"/>
      <c r="CK73" s="46"/>
      <c r="CL73" s="46"/>
      <c r="CM73" s="46"/>
      <c r="CN73" s="46"/>
    </row>
    <row r="74" spans="88:92" ht="7.4" customHeight="1" x14ac:dyDescent="0.5">
      <c r="CJ74" s="46"/>
      <c r="CK74" s="46"/>
      <c r="CL74" s="46"/>
      <c r="CM74" s="46"/>
      <c r="CN74" s="46"/>
    </row>
    <row r="75" spans="88:92" ht="7.4" customHeight="1" x14ac:dyDescent="0.5">
      <c r="CJ75" s="46"/>
      <c r="CK75" s="46"/>
      <c r="CL75" s="46"/>
      <c r="CM75" s="46"/>
      <c r="CN75" s="46"/>
    </row>
    <row r="76" spans="88:92" ht="7.4" customHeight="1" x14ac:dyDescent="0.5">
      <c r="CJ76" s="46"/>
      <c r="CK76" s="46"/>
      <c r="CL76" s="46"/>
      <c r="CM76" s="46"/>
      <c r="CN76" s="46"/>
    </row>
    <row r="77" spans="88:92" ht="7.4" customHeight="1" x14ac:dyDescent="0.5">
      <c r="CJ77" s="46"/>
      <c r="CK77" s="46"/>
      <c r="CL77" s="46"/>
      <c r="CM77" s="46"/>
      <c r="CN77" s="46"/>
    </row>
    <row r="78" spans="88:92" ht="7.4" customHeight="1" x14ac:dyDescent="0.5">
      <c r="CJ78" s="46"/>
      <c r="CK78" s="46"/>
      <c r="CL78" s="46"/>
      <c r="CM78" s="46"/>
      <c r="CN78" s="46"/>
    </row>
    <row r="79" spans="88:92" ht="7.4" customHeight="1" x14ac:dyDescent="0.5">
      <c r="CJ79" s="46"/>
      <c r="CK79" s="46"/>
      <c r="CL79" s="46"/>
      <c r="CM79" s="46"/>
      <c r="CN79" s="46"/>
    </row>
    <row r="80" spans="88:92" ht="7.4" customHeight="1" x14ac:dyDescent="0.5">
      <c r="CJ80" s="46"/>
      <c r="CK80" s="46"/>
      <c r="CL80" s="46"/>
      <c r="CM80" s="46"/>
      <c r="CN80" s="46"/>
    </row>
    <row r="81" spans="88:92" ht="7.4" customHeight="1" x14ac:dyDescent="0.5">
      <c r="CJ81" s="46"/>
      <c r="CK81" s="46"/>
      <c r="CL81" s="46"/>
      <c r="CM81" s="46"/>
      <c r="CN81" s="46"/>
    </row>
    <row r="82" spans="88:92" ht="7.4" customHeight="1" x14ac:dyDescent="0.5">
      <c r="CJ82" s="46"/>
      <c r="CK82" s="46"/>
      <c r="CL82" s="46"/>
      <c r="CM82" s="46"/>
      <c r="CN82" s="46"/>
    </row>
    <row r="83" spans="88:92" ht="7.4" customHeight="1" x14ac:dyDescent="0.5">
      <c r="CJ83" s="46"/>
      <c r="CK83" s="46"/>
      <c r="CL83" s="46"/>
      <c r="CM83" s="46"/>
      <c r="CN83" s="46"/>
    </row>
    <row r="84" spans="88:92" ht="7.4" customHeight="1" x14ac:dyDescent="0.5">
      <c r="CJ84" s="46"/>
      <c r="CK84" s="46"/>
      <c r="CL84" s="46"/>
      <c r="CM84" s="46"/>
      <c r="CN84" s="46"/>
    </row>
    <row r="85" spans="88:92" ht="7.4" customHeight="1" x14ac:dyDescent="0.5">
      <c r="CJ85" s="46"/>
      <c r="CK85" s="46"/>
      <c r="CL85" s="46"/>
      <c r="CM85" s="46"/>
      <c r="CN85" s="46"/>
    </row>
    <row r="86" spans="88:92" ht="7.4" customHeight="1" x14ac:dyDescent="0.5">
      <c r="CJ86" s="46"/>
      <c r="CK86" s="46"/>
      <c r="CL86" s="46"/>
      <c r="CM86" s="46"/>
      <c r="CN86" s="46"/>
    </row>
    <row r="87" spans="88:92" ht="7.4" customHeight="1" x14ac:dyDescent="0.5">
      <c r="CJ87" s="46"/>
      <c r="CK87" s="46"/>
      <c r="CL87" s="46"/>
      <c r="CM87" s="46"/>
      <c r="CN87" s="46"/>
    </row>
    <row r="88" spans="88:92" ht="7.4" customHeight="1" x14ac:dyDescent="0.5">
      <c r="CJ88" s="46"/>
      <c r="CK88" s="46"/>
      <c r="CL88" s="46"/>
      <c r="CM88" s="46"/>
      <c r="CN88" s="46"/>
    </row>
    <row r="89" spans="88:92" ht="7.4" customHeight="1" x14ac:dyDescent="0.5">
      <c r="CJ89" s="46"/>
      <c r="CK89" s="46"/>
      <c r="CL89" s="46"/>
      <c r="CM89" s="46"/>
      <c r="CN89" s="46"/>
    </row>
    <row r="90" spans="88:92" ht="7.4" customHeight="1" x14ac:dyDescent="0.5">
      <c r="CJ90" s="46"/>
      <c r="CK90" s="46"/>
      <c r="CL90" s="46"/>
      <c r="CM90" s="46"/>
      <c r="CN90" s="46"/>
    </row>
    <row r="91" spans="88:92" ht="7.4" customHeight="1" x14ac:dyDescent="0.5">
      <c r="CJ91" s="46"/>
      <c r="CK91" s="46"/>
      <c r="CL91" s="46"/>
      <c r="CM91" s="46"/>
      <c r="CN91" s="46"/>
    </row>
    <row r="92" spans="88:92" ht="7.4" customHeight="1" x14ac:dyDescent="0.5">
      <c r="CJ92" s="46"/>
      <c r="CK92" s="46"/>
      <c r="CL92" s="46"/>
      <c r="CM92" s="46"/>
      <c r="CN92" s="46"/>
    </row>
    <row r="93" spans="88:92" ht="7.4" customHeight="1" x14ac:dyDescent="0.5">
      <c r="CJ93" s="46"/>
      <c r="CK93" s="46"/>
      <c r="CL93" s="46"/>
      <c r="CM93" s="46"/>
      <c r="CN93" s="46"/>
    </row>
    <row r="94" spans="88:92" ht="7.4" customHeight="1" x14ac:dyDescent="0.5">
      <c r="CJ94" s="46"/>
      <c r="CK94" s="46"/>
      <c r="CL94" s="46"/>
      <c r="CM94" s="46"/>
      <c r="CN94" s="46"/>
    </row>
    <row r="95" spans="88:92" ht="7.4" customHeight="1" x14ac:dyDescent="0.5">
      <c r="CJ95" s="46"/>
      <c r="CK95" s="46"/>
      <c r="CL95" s="46"/>
      <c r="CM95" s="46"/>
      <c r="CN95" s="46"/>
    </row>
    <row r="96" spans="88:92" ht="7.4" customHeight="1" x14ac:dyDescent="0.5">
      <c r="CJ96" s="46"/>
      <c r="CK96" s="46"/>
      <c r="CL96" s="46"/>
      <c r="CM96" s="46"/>
      <c r="CN96" s="46"/>
    </row>
    <row r="97" spans="1:98" ht="7.4" customHeight="1" x14ac:dyDescent="0.5">
      <c r="CJ97" s="46"/>
      <c r="CK97" s="46"/>
      <c r="CL97" s="46"/>
      <c r="CM97" s="46"/>
      <c r="CN97" s="46"/>
    </row>
    <row r="98" spans="1:98" ht="7.4" customHeight="1" x14ac:dyDescent="0.5">
      <c r="CJ98" s="46"/>
      <c r="CK98" s="46"/>
      <c r="CL98" s="46"/>
      <c r="CM98" s="46"/>
      <c r="CN98" s="46"/>
    </row>
    <row r="99" spans="1:98" ht="7.4" customHeight="1" x14ac:dyDescent="0.5">
      <c r="CJ99" s="46"/>
      <c r="CK99" s="46"/>
      <c r="CL99" s="46"/>
      <c r="CM99" s="46"/>
      <c r="CN99" s="46"/>
    </row>
    <row r="100" spans="1:98" ht="7.4" customHeight="1" x14ac:dyDescent="0.5">
      <c r="AC100" s="24" t="s">
        <v>47</v>
      </c>
      <c r="CJ100" s="46"/>
      <c r="CK100" s="46"/>
      <c r="CL100" s="46"/>
      <c r="CM100" s="46"/>
      <c r="CN100" s="46"/>
    </row>
    <row r="101" spans="1:98" ht="7.4" customHeight="1" x14ac:dyDescent="0.5">
      <c r="BK101" s="333"/>
      <c r="BL101" s="333"/>
      <c r="BM101" s="333"/>
      <c r="BN101" s="333"/>
      <c r="BO101" s="333"/>
      <c r="BP101" s="333"/>
      <c r="BQ101" s="298"/>
      <c r="BR101" s="298"/>
      <c r="BS101" s="298"/>
      <c r="BT101" s="298"/>
      <c r="BU101" s="298"/>
      <c r="BV101" s="298"/>
      <c r="BW101" s="298"/>
      <c r="BX101" s="334"/>
      <c r="BY101" s="334"/>
      <c r="BZ101" s="334"/>
      <c r="CA101" s="334"/>
      <c r="CB101" s="334"/>
      <c r="CC101" s="334"/>
      <c r="CJ101" s="46"/>
      <c r="CK101" s="46"/>
      <c r="CL101" s="46"/>
      <c r="CM101" s="46"/>
      <c r="CN101" s="46"/>
    </row>
    <row r="102" spans="1:98" ht="7.4" customHeight="1" x14ac:dyDescent="0.5">
      <c r="BI102" s="79"/>
      <c r="BK102" s="333"/>
      <c r="BL102" s="333"/>
      <c r="BM102" s="333"/>
      <c r="BN102" s="333"/>
      <c r="BO102" s="333"/>
      <c r="BP102" s="333"/>
      <c r="BQ102" s="298"/>
      <c r="BR102" s="298"/>
      <c r="BS102" s="298"/>
      <c r="BT102" s="298"/>
      <c r="BU102" s="298"/>
      <c r="BV102" s="298"/>
      <c r="BW102" s="298"/>
      <c r="BX102" s="334"/>
      <c r="BY102" s="334"/>
      <c r="BZ102" s="334"/>
      <c r="CA102" s="334"/>
      <c r="CB102" s="334"/>
      <c r="CC102" s="334"/>
      <c r="CJ102" s="46"/>
      <c r="CK102" s="46"/>
      <c r="CL102" s="46"/>
      <c r="CM102" s="46"/>
      <c r="CN102" s="46"/>
    </row>
    <row r="103" spans="1:98" ht="7.4" customHeight="1" x14ac:dyDescent="0.5">
      <c r="BB103" s="105"/>
      <c r="BC103" s="105"/>
      <c r="BD103" s="105"/>
      <c r="BE103" s="105"/>
      <c r="BF103" s="105"/>
      <c r="BG103" s="105"/>
      <c r="BH103" s="105"/>
      <c r="BI103" s="105"/>
      <c r="BK103" s="339"/>
      <c r="BL103" s="339"/>
      <c r="BM103" s="339"/>
      <c r="BN103" s="339"/>
      <c r="BO103" s="339"/>
      <c r="BP103" s="339"/>
      <c r="BQ103" s="340"/>
      <c r="BR103" s="340"/>
      <c r="BS103" s="340"/>
      <c r="BT103" s="340"/>
      <c r="BU103" s="340"/>
      <c r="BV103" s="340"/>
      <c r="BW103" s="340"/>
      <c r="BX103" s="341"/>
      <c r="BY103" s="341"/>
      <c r="BZ103" s="341"/>
      <c r="CA103" s="341"/>
      <c r="CB103" s="341"/>
      <c r="CC103" s="341"/>
      <c r="CJ103" s="46"/>
      <c r="CK103" s="46"/>
      <c r="CL103" s="46"/>
      <c r="CM103" s="46"/>
      <c r="CN103" s="46"/>
    </row>
    <row r="104" spans="1:98" ht="7.4" customHeight="1" x14ac:dyDescent="0.5">
      <c r="V104" s="25"/>
      <c r="W104" s="25"/>
      <c r="X104" s="25"/>
      <c r="Y104" s="25"/>
      <c r="Z104" s="25"/>
      <c r="AA104" s="25"/>
      <c r="AB104" s="25"/>
      <c r="AC104" s="25"/>
      <c r="AD104" s="25"/>
      <c r="AE104" s="25"/>
      <c r="AF104" s="25"/>
      <c r="AG104" s="25"/>
      <c r="AH104" s="25"/>
      <c r="AI104" s="25"/>
      <c r="AJ104" s="25"/>
      <c r="AK104" s="25"/>
      <c r="AL104" s="25"/>
      <c r="AM104" s="25"/>
      <c r="AN104" s="25"/>
      <c r="AO104" s="25"/>
      <c r="AP104" s="25"/>
      <c r="AQ104" s="25"/>
      <c r="AR104" s="25"/>
      <c r="BB104" s="105"/>
      <c r="BC104" s="105"/>
      <c r="BD104" s="105"/>
      <c r="BE104" s="105"/>
      <c r="BF104" s="105"/>
      <c r="BG104" s="105"/>
      <c r="BH104" s="105"/>
      <c r="BI104" s="105"/>
      <c r="BK104" s="339"/>
      <c r="BL104" s="339"/>
      <c r="BM104" s="339"/>
      <c r="BN104" s="339"/>
      <c r="BO104" s="339"/>
      <c r="BP104" s="339"/>
      <c r="BQ104" s="340"/>
      <c r="BR104" s="340"/>
      <c r="BS104" s="340"/>
      <c r="BT104" s="340"/>
      <c r="BU104" s="340"/>
      <c r="BV104" s="340"/>
      <c r="BW104" s="340"/>
      <c r="BX104" s="341"/>
      <c r="BY104" s="341"/>
      <c r="BZ104" s="341"/>
      <c r="CA104" s="341"/>
      <c r="CB104" s="341"/>
      <c r="CC104" s="341"/>
    </row>
    <row r="105" spans="1:98" ht="7.4" customHeight="1" x14ac:dyDescent="0.5">
      <c r="A105" s="38"/>
      <c r="B105" s="39"/>
      <c r="C105" s="39"/>
      <c r="D105" s="39"/>
      <c r="E105" s="39"/>
      <c r="F105" s="39"/>
      <c r="G105" s="39"/>
      <c r="H105" s="39"/>
      <c r="I105" s="39"/>
      <c r="J105" s="39"/>
      <c r="K105" s="39"/>
      <c r="L105" s="39"/>
      <c r="M105" s="39"/>
      <c r="N105" s="39"/>
      <c r="O105" s="39"/>
      <c r="P105" s="39"/>
      <c r="Q105" s="39"/>
      <c r="R105" s="39"/>
      <c r="S105" s="67"/>
      <c r="T105" s="68"/>
      <c r="U105" s="68"/>
      <c r="V105" s="68"/>
      <c r="W105" s="68"/>
      <c r="X105" s="68"/>
      <c r="Y105" s="68"/>
      <c r="Z105" s="68"/>
      <c r="AA105" s="68"/>
      <c r="AB105" s="68"/>
      <c r="AC105" s="68"/>
      <c r="AD105" s="68"/>
      <c r="AE105" s="68"/>
      <c r="AF105" s="68"/>
      <c r="AG105" s="68"/>
      <c r="AH105" s="68"/>
      <c r="AI105" s="68"/>
      <c r="AJ105" s="68"/>
      <c r="AK105" s="68"/>
      <c r="AL105" s="68"/>
      <c r="AM105" s="68"/>
      <c r="AN105" s="68"/>
      <c r="AO105" s="68"/>
      <c r="AP105" s="68"/>
      <c r="AQ105" s="69"/>
      <c r="AR105" s="39"/>
      <c r="AS105" s="39"/>
      <c r="AT105" s="39"/>
      <c r="AU105" s="39"/>
      <c r="AV105" s="39"/>
      <c r="AW105" s="39"/>
      <c r="AX105" s="39"/>
      <c r="AY105" s="39"/>
      <c r="AZ105" s="39"/>
      <c r="BA105" s="39"/>
      <c r="BB105" s="39"/>
      <c r="BC105" s="39"/>
      <c r="BD105" s="39"/>
      <c r="BE105" s="39"/>
      <c r="BF105" s="39"/>
      <c r="BG105" s="39"/>
      <c r="BH105" s="39"/>
      <c r="BI105" s="40"/>
      <c r="BK105" s="338" t="s">
        <v>48</v>
      </c>
      <c r="BL105" s="338"/>
      <c r="BM105" s="338"/>
      <c r="BN105" s="338"/>
      <c r="BO105" s="338"/>
      <c r="BP105" s="270"/>
      <c r="CC105" s="270"/>
      <c r="CD105" s="270"/>
      <c r="CE105" s="270"/>
      <c r="CF105" s="270"/>
      <c r="CG105" s="270"/>
      <c r="CH105" s="270"/>
      <c r="CI105" s="333"/>
      <c r="CJ105" s="333"/>
      <c r="CK105" s="333"/>
      <c r="CL105" s="333"/>
      <c r="CM105" s="333"/>
      <c r="CN105" s="333"/>
      <c r="CO105" s="334"/>
      <c r="CP105" s="334"/>
      <c r="CQ105" s="334"/>
      <c r="CR105" s="334"/>
      <c r="CS105" s="334"/>
      <c r="CT105" s="334"/>
    </row>
    <row r="106" spans="1:98" ht="7.4" customHeight="1" x14ac:dyDescent="0.5">
      <c r="A106" s="42"/>
      <c r="S106" s="70"/>
      <c r="T106" s="335" t="s">
        <v>29</v>
      </c>
      <c r="U106" s="335"/>
      <c r="V106" s="335"/>
      <c r="W106" s="335"/>
      <c r="X106" s="335"/>
      <c r="Y106" s="335"/>
      <c r="Z106" s="335"/>
      <c r="AA106" s="335"/>
      <c r="AB106" s="335"/>
      <c r="AC106" s="335"/>
      <c r="AD106" s="335"/>
      <c r="AE106" s="335"/>
      <c r="AF106" s="335"/>
      <c r="AG106" s="335"/>
      <c r="AH106" s="335"/>
      <c r="AI106" s="335"/>
      <c r="AJ106" s="335"/>
      <c r="AK106" s="335"/>
      <c r="AL106" s="335"/>
      <c r="AM106" s="335"/>
      <c r="AN106" s="335"/>
      <c r="AO106" s="335"/>
      <c r="AP106" s="335"/>
      <c r="AQ106" s="71"/>
      <c r="BI106" s="41"/>
      <c r="BK106" s="338"/>
      <c r="BL106" s="338"/>
      <c r="BM106" s="338"/>
      <c r="BN106" s="338"/>
      <c r="BO106" s="338"/>
      <c r="BP106" s="270"/>
      <c r="CC106" s="270"/>
      <c r="CD106" s="270"/>
      <c r="CE106" s="270"/>
      <c r="CF106" s="270"/>
      <c r="CG106" s="270"/>
      <c r="CH106" s="270"/>
      <c r="CI106" s="333"/>
      <c r="CJ106" s="333"/>
      <c r="CK106" s="333"/>
      <c r="CL106" s="333"/>
      <c r="CM106" s="333"/>
      <c r="CN106" s="333"/>
      <c r="CO106" s="334"/>
      <c r="CP106" s="334"/>
      <c r="CQ106" s="334"/>
      <c r="CR106" s="334"/>
      <c r="CS106" s="334"/>
      <c r="CT106" s="334"/>
    </row>
    <row r="107" spans="1:98" ht="7.4" customHeight="1" x14ac:dyDescent="0.5">
      <c r="A107" s="42"/>
      <c r="S107" s="70"/>
      <c r="T107" s="335"/>
      <c r="U107" s="335"/>
      <c r="V107" s="335"/>
      <c r="W107" s="335"/>
      <c r="X107" s="335"/>
      <c r="Y107" s="335"/>
      <c r="Z107" s="335"/>
      <c r="AA107" s="335"/>
      <c r="AB107" s="335"/>
      <c r="AC107" s="335"/>
      <c r="AD107" s="335"/>
      <c r="AE107" s="335"/>
      <c r="AF107" s="335"/>
      <c r="AG107" s="335"/>
      <c r="AH107" s="335"/>
      <c r="AI107" s="335"/>
      <c r="AJ107" s="335"/>
      <c r="AK107" s="335"/>
      <c r="AL107" s="335"/>
      <c r="AM107" s="335"/>
      <c r="AN107" s="335"/>
      <c r="AO107" s="335"/>
      <c r="AP107" s="335"/>
      <c r="AQ107" s="71"/>
      <c r="BI107" s="41"/>
      <c r="BK107" s="342">
        <v>5.85</v>
      </c>
      <c r="BL107" s="342"/>
      <c r="BM107" s="342"/>
      <c r="BN107" s="342"/>
      <c r="BO107" s="342"/>
      <c r="BP107" s="264"/>
      <c r="CC107" s="130"/>
      <c r="CD107" s="130"/>
      <c r="CE107" s="130"/>
      <c r="CF107" s="130"/>
      <c r="CG107" s="130"/>
      <c r="CH107" s="130"/>
      <c r="CI107" s="336"/>
      <c r="CJ107" s="336"/>
      <c r="CK107" s="336"/>
      <c r="CL107" s="336"/>
      <c r="CM107" s="336"/>
      <c r="CN107" s="336"/>
      <c r="CO107" s="336"/>
      <c r="CP107" s="336"/>
      <c r="CQ107" s="336"/>
      <c r="CR107" s="336"/>
      <c r="CS107" s="336"/>
      <c r="CT107" s="336"/>
    </row>
    <row r="108" spans="1:98" ht="7.4" customHeight="1" x14ac:dyDescent="0.5">
      <c r="A108" s="42"/>
      <c r="S108" s="72"/>
      <c r="T108" s="73"/>
      <c r="U108" s="73"/>
      <c r="V108" s="73"/>
      <c r="W108" s="73"/>
      <c r="X108" s="73"/>
      <c r="Y108" s="73"/>
      <c r="Z108" s="73"/>
      <c r="AA108" s="73"/>
      <c r="AB108" s="73"/>
      <c r="AC108" s="73"/>
      <c r="AD108" s="73"/>
      <c r="AE108" s="73"/>
      <c r="AF108" s="73"/>
      <c r="AG108" s="73"/>
      <c r="AH108" s="73"/>
      <c r="AI108" s="73"/>
      <c r="AJ108" s="73"/>
      <c r="AK108" s="73"/>
      <c r="AL108" s="73"/>
      <c r="AM108" s="73"/>
      <c r="AN108" s="73"/>
      <c r="AO108" s="73"/>
      <c r="AP108" s="73"/>
      <c r="AQ108" s="74"/>
      <c r="BI108" s="41"/>
      <c r="BK108" s="342"/>
      <c r="BL108" s="342"/>
      <c r="BM108" s="342"/>
      <c r="BN108" s="342"/>
      <c r="BO108" s="342"/>
      <c r="BP108" s="264"/>
      <c r="CC108" s="130"/>
      <c r="CD108" s="130"/>
      <c r="CE108" s="130"/>
      <c r="CF108" s="130"/>
      <c r="CG108" s="130"/>
      <c r="CH108" s="130"/>
      <c r="CI108" s="336"/>
      <c r="CJ108" s="336"/>
      <c r="CK108" s="336"/>
      <c r="CL108" s="336"/>
      <c r="CM108" s="336"/>
      <c r="CN108" s="336"/>
      <c r="CO108" s="336"/>
      <c r="CP108" s="336"/>
      <c r="CQ108" s="336"/>
      <c r="CR108" s="336"/>
      <c r="CS108" s="336"/>
      <c r="CT108" s="336"/>
    </row>
    <row r="109" spans="1:98" ht="7.4" customHeight="1" x14ac:dyDescent="0.5">
      <c r="A109" s="42"/>
      <c r="BI109" s="41"/>
      <c r="CO109" s="298"/>
      <c r="CP109" s="298"/>
      <c r="CQ109" s="298"/>
      <c r="CR109" s="298"/>
      <c r="CS109" s="298"/>
      <c r="CT109" s="298"/>
    </row>
    <row r="110" spans="1:98" ht="7.4" customHeight="1" x14ac:dyDescent="0.5">
      <c r="A110" s="29"/>
      <c r="B110" s="324" t="s">
        <v>49</v>
      </c>
      <c r="C110" s="324"/>
      <c r="D110" s="325"/>
      <c r="E110" s="29"/>
      <c r="F110" s="324" t="s">
        <v>50</v>
      </c>
      <c r="G110" s="324"/>
      <c r="H110" s="324"/>
      <c r="I110" s="324"/>
      <c r="J110" s="324"/>
      <c r="K110" s="324"/>
      <c r="L110" s="324"/>
      <c r="M110" s="324"/>
      <c r="N110" s="324"/>
      <c r="O110" s="324"/>
      <c r="P110" s="324"/>
      <c r="Q110" s="325"/>
      <c r="R110" s="29"/>
      <c r="S110" s="324" t="s">
        <v>51</v>
      </c>
      <c r="T110" s="324"/>
      <c r="U110" s="324"/>
      <c r="V110" s="324"/>
      <c r="W110" s="324"/>
      <c r="X110" s="324"/>
      <c r="Y110" s="324"/>
      <c r="Z110" s="324"/>
      <c r="AA110" s="324"/>
      <c r="AB110" s="324"/>
      <c r="AC110" s="324"/>
      <c r="AD110" s="324"/>
      <c r="AE110" s="324"/>
      <c r="AF110" s="324"/>
      <c r="AG110" s="324"/>
      <c r="AH110" s="324"/>
      <c r="AI110" s="324"/>
      <c r="AJ110" s="325"/>
      <c r="AK110" s="29"/>
      <c r="AL110" s="324" t="s">
        <v>52</v>
      </c>
      <c r="AM110" s="324"/>
      <c r="AN110" s="324"/>
      <c r="AO110" s="324"/>
      <c r="AP110" s="324"/>
      <c r="AQ110" s="325"/>
      <c r="AR110" s="299" t="s">
        <v>53</v>
      </c>
      <c r="AS110" s="300"/>
      <c r="AT110" s="300"/>
      <c r="AU110" s="300"/>
      <c r="AV110" s="300"/>
      <c r="AW110" s="300"/>
      <c r="AX110" s="300"/>
      <c r="AY110" s="300"/>
      <c r="AZ110" s="300"/>
      <c r="BA110" s="300"/>
      <c r="BB110" s="300"/>
      <c r="BC110" s="300"/>
      <c r="BD110" s="300"/>
      <c r="BE110" s="300"/>
      <c r="BF110" s="300"/>
      <c r="BG110" s="300"/>
      <c r="BH110" s="300"/>
      <c r="BI110" s="301"/>
      <c r="BK110" s="90"/>
      <c r="BL110" s="91"/>
      <c r="BM110" s="91"/>
      <c r="BN110" s="92"/>
      <c r="BO110" s="75"/>
    </row>
    <row r="111" spans="1:98" ht="7.4" customHeight="1" x14ac:dyDescent="0.5">
      <c r="A111" s="106"/>
      <c r="B111" s="326"/>
      <c r="C111" s="326"/>
      <c r="D111" s="327"/>
      <c r="E111" s="106"/>
      <c r="F111" s="326"/>
      <c r="G111" s="326"/>
      <c r="H111" s="326"/>
      <c r="I111" s="326"/>
      <c r="J111" s="326"/>
      <c r="K111" s="326"/>
      <c r="L111" s="326"/>
      <c r="M111" s="326"/>
      <c r="N111" s="326"/>
      <c r="O111" s="326"/>
      <c r="P111" s="326"/>
      <c r="Q111" s="327"/>
      <c r="R111" s="106"/>
      <c r="S111" s="326"/>
      <c r="T111" s="326"/>
      <c r="U111" s="326"/>
      <c r="V111" s="326"/>
      <c r="W111" s="326"/>
      <c r="X111" s="326"/>
      <c r="Y111" s="326"/>
      <c r="Z111" s="326"/>
      <c r="AA111" s="326"/>
      <c r="AB111" s="326"/>
      <c r="AC111" s="326"/>
      <c r="AD111" s="326"/>
      <c r="AE111" s="326"/>
      <c r="AF111" s="326"/>
      <c r="AG111" s="326"/>
      <c r="AH111" s="326"/>
      <c r="AI111" s="326"/>
      <c r="AJ111" s="327"/>
      <c r="AK111" s="106"/>
      <c r="AL111" s="326"/>
      <c r="AM111" s="326"/>
      <c r="AN111" s="326"/>
      <c r="AO111" s="326"/>
      <c r="AP111" s="326"/>
      <c r="AQ111" s="327"/>
      <c r="AR111" s="302"/>
      <c r="AS111" s="303"/>
      <c r="AT111" s="303"/>
      <c r="AU111" s="303"/>
      <c r="AV111" s="303"/>
      <c r="AW111" s="303"/>
      <c r="AX111" s="303"/>
      <c r="AY111" s="303"/>
      <c r="AZ111" s="303"/>
      <c r="BA111" s="303"/>
      <c r="BB111" s="303"/>
      <c r="BC111" s="303"/>
      <c r="BD111" s="303"/>
      <c r="BE111" s="303"/>
      <c r="BF111" s="303"/>
      <c r="BG111" s="303"/>
      <c r="BH111" s="303"/>
      <c r="BI111" s="304"/>
      <c r="BK111" s="330" t="s">
        <v>54</v>
      </c>
      <c r="BL111" s="331"/>
      <c r="BM111" s="331"/>
      <c r="BN111" s="332"/>
      <c r="BO111" s="311"/>
      <c r="BP111" s="311"/>
      <c r="BQ111" s="311"/>
      <c r="BR111" s="311"/>
      <c r="BS111" s="311"/>
      <c r="BT111" s="311"/>
      <c r="BU111" s="311"/>
      <c r="BV111" s="311"/>
      <c r="BW111" s="311"/>
    </row>
    <row r="112" spans="1:98" ht="7.4" customHeight="1" x14ac:dyDescent="0.5">
      <c r="A112" s="106"/>
      <c r="B112" s="326"/>
      <c r="C112" s="326"/>
      <c r="D112" s="327"/>
      <c r="E112" s="106"/>
      <c r="F112" s="326"/>
      <c r="G112" s="326"/>
      <c r="H112" s="326"/>
      <c r="I112" s="326"/>
      <c r="J112" s="326"/>
      <c r="K112" s="326"/>
      <c r="L112" s="326"/>
      <c r="M112" s="326"/>
      <c r="N112" s="326"/>
      <c r="O112" s="326"/>
      <c r="P112" s="326"/>
      <c r="Q112" s="327"/>
      <c r="R112" s="106"/>
      <c r="S112" s="326"/>
      <c r="T112" s="326"/>
      <c r="U112" s="326"/>
      <c r="V112" s="326"/>
      <c r="W112" s="326"/>
      <c r="X112" s="326"/>
      <c r="Y112" s="326"/>
      <c r="Z112" s="326"/>
      <c r="AA112" s="326"/>
      <c r="AB112" s="326"/>
      <c r="AC112" s="326"/>
      <c r="AD112" s="326"/>
      <c r="AE112" s="326"/>
      <c r="AF112" s="326"/>
      <c r="AG112" s="326"/>
      <c r="AH112" s="326"/>
      <c r="AI112" s="326"/>
      <c r="AJ112" s="327"/>
      <c r="AK112" s="106"/>
      <c r="AL112" s="326"/>
      <c r="AM112" s="326"/>
      <c r="AN112" s="326"/>
      <c r="AO112" s="326"/>
      <c r="AP112" s="326"/>
      <c r="AQ112" s="327"/>
      <c r="AR112" s="302"/>
      <c r="AS112" s="303"/>
      <c r="AT112" s="303"/>
      <c r="AU112" s="303"/>
      <c r="AV112" s="303"/>
      <c r="AW112" s="303"/>
      <c r="AX112" s="303"/>
      <c r="AY112" s="303"/>
      <c r="AZ112" s="303"/>
      <c r="BA112" s="303"/>
      <c r="BB112" s="303"/>
      <c r="BC112" s="303"/>
      <c r="BD112" s="303"/>
      <c r="BE112" s="303"/>
      <c r="BF112" s="303"/>
      <c r="BG112" s="303"/>
      <c r="BH112" s="303"/>
      <c r="BI112" s="304"/>
      <c r="BK112" s="330"/>
      <c r="BL112" s="331"/>
      <c r="BM112" s="331"/>
      <c r="BN112" s="332"/>
      <c r="BO112" s="311"/>
      <c r="BP112" s="311"/>
      <c r="BQ112" s="311"/>
      <c r="BR112" s="311"/>
      <c r="BS112" s="311"/>
      <c r="BT112" s="311"/>
      <c r="BU112" s="311"/>
      <c r="BV112" s="311"/>
      <c r="BW112" s="311"/>
    </row>
    <row r="113" spans="1:98" ht="7.4" customHeight="1" x14ac:dyDescent="0.5">
      <c r="A113" s="35"/>
      <c r="B113" s="328"/>
      <c r="C113" s="328"/>
      <c r="D113" s="329"/>
      <c r="E113" s="35"/>
      <c r="F113" s="328"/>
      <c r="G113" s="328"/>
      <c r="H113" s="328"/>
      <c r="I113" s="328"/>
      <c r="J113" s="328"/>
      <c r="K113" s="328"/>
      <c r="L113" s="328"/>
      <c r="M113" s="328"/>
      <c r="N113" s="328"/>
      <c r="O113" s="328"/>
      <c r="P113" s="328"/>
      <c r="Q113" s="329"/>
      <c r="R113" s="35"/>
      <c r="S113" s="328"/>
      <c r="T113" s="328"/>
      <c r="U113" s="328"/>
      <c r="V113" s="328"/>
      <c r="W113" s="328"/>
      <c r="X113" s="328"/>
      <c r="Y113" s="328"/>
      <c r="Z113" s="328"/>
      <c r="AA113" s="328"/>
      <c r="AB113" s="328"/>
      <c r="AC113" s="328"/>
      <c r="AD113" s="328"/>
      <c r="AE113" s="328"/>
      <c r="AF113" s="328"/>
      <c r="AG113" s="328"/>
      <c r="AH113" s="328"/>
      <c r="AI113" s="328"/>
      <c r="AJ113" s="329"/>
      <c r="AK113" s="35"/>
      <c r="AL113" s="328"/>
      <c r="AM113" s="328"/>
      <c r="AN113" s="328"/>
      <c r="AO113" s="328"/>
      <c r="AP113" s="328"/>
      <c r="AQ113" s="329"/>
      <c r="AR113" s="305"/>
      <c r="AS113" s="306"/>
      <c r="AT113" s="306"/>
      <c r="AU113" s="306"/>
      <c r="AV113" s="306"/>
      <c r="AW113" s="306"/>
      <c r="AX113" s="306"/>
      <c r="AY113" s="306"/>
      <c r="AZ113" s="306"/>
      <c r="BA113" s="306"/>
      <c r="BB113" s="306"/>
      <c r="BC113" s="306"/>
      <c r="BD113" s="306"/>
      <c r="BE113" s="306"/>
      <c r="BF113" s="306"/>
      <c r="BG113" s="306"/>
      <c r="BH113" s="306"/>
      <c r="BI113" s="307"/>
      <c r="BK113" s="93"/>
      <c r="BL113" s="94"/>
      <c r="BM113" s="94"/>
      <c r="BN113" s="95"/>
      <c r="BO113" s="75"/>
    </row>
    <row r="114" spans="1:98" ht="7.4" customHeight="1" x14ac:dyDescent="0.5">
      <c r="A114" s="42"/>
      <c r="D114" s="41"/>
      <c r="E114" s="42"/>
      <c r="Q114" s="41"/>
      <c r="R114" s="42"/>
      <c r="AJ114" s="41"/>
      <c r="AK114" s="42"/>
      <c r="AR114" s="38"/>
      <c r="AS114" s="39"/>
      <c r="AT114" s="39"/>
      <c r="AU114" s="39"/>
      <c r="AV114" s="39"/>
      <c r="AW114" s="39"/>
      <c r="AX114" s="39"/>
      <c r="AY114" s="39"/>
      <c r="AZ114" s="39"/>
      <c r="BA114" s="39"/>
      <c r="BB114" s="39"/>
      <c r="BC114" s="39"/>
      <c r="BD114" s="39"/>
      <c r="BE114" s="39"/>
      <c r="BF114" s="39"/>
      <c r="BG114" s="39"/>
      <c r="BH114" s="39"/>
      <c r="BI114" s="40"/>
      <c r="BK114" s="310"/>
      <c r="BL114" s="311"/>
      <c r="BM114" s="311"/>
      <c r="BN114" s="312"/>
      <c r="BO114" s="321"/>
      <c r="BP114" s="321"/>
      <c r="BQ114" s="321"/>
      <c r="BR114" s="321"/>
      <c r="BS114" s="321"/>
      <c r="BT114" s="321"/>
      <c r="BU114" s="321"/>
      <c r="BV114" s="321"/>
      <c r="BW114" s="79"/>
    </row>
    <row r="115" spans="1:98" ht="7.4" customHeight="1" x14ac:dyDescent="0.5">
      <c r="A115" s="42"/>
      <c r="B115" s="311">
        <v>1</v>
      </c>
      <c r="C115" s="311"/>
      <c r="D115" s="41"/>
      <c r="E115" s="42"/>
      <c r="F115" s="322" t="str">
        <f>"AXE_L_WW_5700_"&amp;$AY$36&amp;"_AL"</f>
        <v>AXE_L_WW_5700_300_AL</v>
      </c>
      <c r="G115" s="322"/>
      <c r="H115" s="322"/>
      <c r="I115" s="322"/>
      <c r="J115" s="322"/>
      <c r="K115" s="322"/>
      <c r="L115" s="322"/>
      <c r="M115" s="322"/>
      <c r="N115" s="322"/>
      <c r="O115" s="322"/>
      <c r="P115" s="322"/>
      <c r="Q115" s="323"/>
      <c r="R115" s="42"/>
      <c r="S115" s="316" t="str">
        <f>VLOOKUP(F115,PL!$B$9:$BH$862,14,FALSE)</f>
        <v>Walkway Panel</v>
      </c>
      <c r="T115" s="316"/>
      <c r="U115" s="316"/>
      <c r="V115" s="316"/>
      <c r="W115" s="316"/>
      <c r="X115" s="316"/>
      <c r="Y115" s="316"/>
      <c r="Z115" s="316"/>
      <c r="AA115" s="316"/>
      <c r="AB115" s="316"/>
      <c r="AC115" s="316"/>
      <c r="AD115" s="316"/>
      <c r="AE115" s="316"/>
      <c r="AF115" s="316"/>
      <c r="AG115" s="316"/>
      <c r="AH115" s="316"/>
      <c r="AI115" s="316"/>
      <c r="AJ115" s="317"/>
      <c r="AK115" s="42"/>
      <c r="AL115" s="311">
        <f>BK115</f>
        <v>4</v>
      </c>
      <c r="AM115" s="311"/>
      <c r="AN115" s="311"/>
      <c r="AO115" s="311"/>
      <c r="AP115" s="311"/>
      <c r="AR115" s="128"/>
      <c r="AS115" s="308">
        <f>VLOOKUP(F115,PL!$B$9:$BH$818,52,FALSE)</f>
        <v>0</v>
      </c>
      <c r="AT115" s="309"/>
      <c r="AU115" s="309"/>
      <c r="AV115" s="309"/>
      <c r="AW115" s="309"/>
      <c r="AX115" s="309"/>
      <c r="AY115" s="309"/>
      <c r="AZ115" s="309"/>
      <c r="BA115" s="309"/>
      <c r="BB115" s="309"/>
      <c r="BC115" s="309"/>
      <c r="BD115" s="309"/>
      <c r="BE115" s="309"/>
      <c r="BF115" s="309"/>
      <c r="BG115" s="309"/>
      <c r="BH115" s="309"/>
      <c r="BI115" s="41"/>
      <c r="BK115" s="310">
        <f>ROUNDUP(BA25/5.7,0)+ROUNDUP(X25/5.7,0)</f>
        <v>4</v>
      </c>
      <c r="BL115" s="311"/>
      <c r="BM115" s="311"/>
      <c r="BN115" s="312"/>
      <c r="BO115" s="313"/>
      <c r="BP115" s="313"/>
      <c r="BQ115" s="313"/>
      <c r="BR115" s="313"/>
      <c r="BS115" s="313"/>
      <c r="BT115" s="313"/>
      <c r="BU115" s="313"/>
      <c r="BV115" s="313"/>
      <c r="BW115" s="79"/>
      <c r="CI115" s="46"/>
      <c r="CJ115" s="46"/>
      <c r="CK115" s="46"/>
      <c r="CL115" s="46"/>
      <c r="CM115" s="46"/>
      <c r="CN115" s="46"/>
    </row>
    <row r="116" spans="1:98" ht="7.4" customHeight="1" x14ac:dyDescent="0.5">
      <c r="A116" s="42"/>
      <c r="B116" s="311"/>
      <c r="C116" s="311"/>
      <c r="D116" s="41"/>
      <c r="E116" s="42"/>
      <c r="F116" s="322"/>
      <c r="G116" s="322"/>
      <c r="H116" s="322"/>
      <c r="I116" s="322"/>
      <c r="J116" s="322"/>
      <c r="K116" s="322"/>
      <c r="L116" s="322"/>
      <c r="M116" s="322"/>
      <c r="N116" s="322"/>
      <c r="O116" s="322"/>
      <c r="P116" s="322"/>
      <c r="Q116" s="323"/>
      <c r="R116" s="42"/>
      <c r="S116" s="316"/>
      <c r="T116" s="316"/>
      <c r="U116" s="316"/>
      <c r="V116" s="316"/>
      <c r="W116" s="316"/>
      <c r="X116" s="316"/>
      <c r="Y116" s="316"/>
      <c r="Z116" s="316"/>
      <c r="AA116" s="316"/>
      <c r="AB116" s="316"/>
      <c r="AC116" s="316"/>
      <c r="AD116" s="316"/>
      <c r="AE116" s="316"/>
      <c r="AF116" s="316"/>
      <c r="AG116" s="316"/>
      <c r="AH116" s="316"/>
      <c r="AI116" s="316"/>
      <c r="AJ116" s="317"/>
      <c r="AK116" s="42"/>
      <c r="AL116" s="311"/>
      <c r="AM116" s="311"/>
      <c r="AN116" s="311"/>
      <c r="AO116" s="311"/>
      <c r="AP116" s="311"/>
      <c r="AR116" s="128"/>
      <c r="AS116" s="309"/>
      <c r="AT116" s="309"/>
      <c r="AU116" s="309"/>
      <c r="AV116" s="309"/>
      <c r="AW116" s="309"/>
      <c r="AX116" s="309"/>
      <c r="AY116" s="309"/>
      <c r="AZ116" s="309"/>
      <c r="BA116" s="309"/>
      <c r="BB116" s="309"/>
      <c r="BC116" s="309"/>
      <c r="BD116" s="309"/>
      <c r="BE116" s="309"/>
      <c r="BF116" s="309"/>
      <c r="BG116" s="309"/>
      <c r="BH116" s="309"/>
      <c r="BI116" s="41"/>
      <c r="BK116" s="310"/>
      <c r="BL116" s="311"/>
      <c r="BM116" s="311"/>
      <c r="BN116" s="312"/>
      <c r="BO116" s="313"/>
      <c r="BP116" s="313"/>
      <c r="BQ116" s="313"/>
      <c r="BR116" s="313"/>
      <c r="BS116" s="313"/>
      <c r="BT116" s="313"/>
      <c r="BU116" s="313"/>
      <c r="BV116" s="313"/>
      <c r="BW116" s="79"/>
      <c r="BX116" s="104"/>
      <c r="BY116" s="104"/>
      <c r="BZ116" s="104"/>
      <c r="CA116" s="104"/>
      <c r="CB116" s="104"/>
    </row>
    <row r="117" spans="1:98" s="117" customFormat="1" ht="7.4" customHeight="1" x14ac:dyDescent="0.5">
      <c r="A117" s="113"/>
      <c r="B117" s="298"/>
      <c r="C117" s="298"/>
      <c r="D117" s="115"/>
      <c r="E117" s="113"/>
      <c r="F117" s="56"/>
      <c r="G117" s="56"/>
      <c r="H117" s="56"/>
      <c r="I117" s="56"/>
      <c r="J117" s="56"/>
      <c r="K117" s="56"/>
      <c r="L117" s="56"/>
      <c r="M117" s="56"/>
      <c r="N117" s="56"/>
      <c r="O117" s="56"/>
      <c r="P117" s="56"/>
      <c r="Q117" s="115"/>
      <c r="R117" s="113"/>
      <c r="S117" s="116" t="str">
        <f>VLOOKUP(F115,PL!$B$9:$BH$1265,33,FALSE)</f>
        <v>Aluminium, 5700x300x50 mm</v>
      </c>
      <c r="AJ117" s="115"/>
      <c r="AK117" s="113"/>
      <c r="AL117" s="118"/>
      <c r="AM117" s="118"/>
      <c r="AN117" s="118"/>
      <c r="AO117" s="118"/>
      <c r="AP117" s="118"/>
      <c r="AR117" s="113"/>
      <c r="AS117" s="282"/>
      <c r="AT117" s="282"/>
      <c r="AU117" s="282"/>
      <c r="AV117" s="282"/>
      <c r="AW117" s="282"/>
      <c r="AX117" s="282"/>
      <c r="AY117" s="283"/>
      <c r="AZ117" s="283"/>
      <c r="BA117" s="282"/>
      <c r="BB117" s="282"/>
      <c r="BC117" s="282"/>
      <c r="BD117" s="282"/>
      <c r="BE117" s="282"/>
      <c r="BF117" s="282"/>
      <c r="BG117" s="282"/>
      <c r="BH117" s="282"/>
      <c r="BI117" s="115"/>
      <c r="BK117" s="310"/>
      <c r="BL117" s="311"/>
      <c r="BM117" s="311"/>
      <c r="BN117" s="312"/>
      <c r="BO117" s="313"/>
      <c r="BP117" s="313"/>
      <c r="BQ117" s="313"/>
      <c r="BR117" s="313"/>
      <c r="BS117" s="313"/>
      <c r="BT117" s="313"/>
      <c r="BU117" s="313"/>
      <c r="BV117" s="313"/>
      <c r="BW117" s="79"/>
    </row>
    <row r="118" spans="1:98" ht="7.4" customHeight="1" x14ac:dyDescent="0.5">
      <c r="A118" s="42"/>
      <c r="B118" s="55"/>
      <c r="C118" s="55"/>
      <c r="D118" s="41"/>
      <c r="E118" s="42"/>
      <c r="F118" s="56"/>
      <c r="G118" s="56"/>
      <c r="H118" s="56"/>
      <c r="I118" s="56"/>
      <c r="J118" s="56"/>
      <c r="K118" s="56"/>
      <c r="L118" s="56"/>
      <c r="M118" s="56"/>
      <c r="N118" s="56"/>
      <c r="O118" s="56"/>
      <c r="P118" s="56"/>
      <c r="Q118" s="41"/>
      <c r="R118" s="42"/>
      <c r="S118" s="49"/>
      <c r="AJ118" s="41"/>
      <c r="AK118" s="42"/>
      <c r="AL118" s="75"/>
      <c r="AM118" s="75"/>
      <c r="AN118" s="75"/>
      <c r="AO118" s="75"/>
      <c r="AP118" s="75"/>
      <c r="AR118" s="42"/>
      <c r="AS118" s="282"/>
      <c r="AT118" s="282"/>
      <c r="AU118" s="282"/>
      <c r="AV118" s="282"/>
      <c r="AW118" s="282"/>
      <c r="AX118" s="282"/>
      <c r="AY118" s="191"/>
      <c r="AZ118" s="191"/>
      <c r="BA118" s="282"/>
      <c r="BB118" s="282"/>
      <c r="BC118" s="282"/>
      <c r="BD118" s="282"/>
      <c r="BE118" s="282"/>
      <c r="BF118" s="282"/>
      <c r="BG118" s="282"/>
      <c r="BH118" s="282"/>
      <c r="BI118" s="41"/>
      <c r="BK118" s="42"/>
      <c r="BN118" s="41"/>
      <c r="BO118" s="313"/>
      <c r="BP118" s="313"/>
      <c r="BQ118" s="313"/>
      <c r="BR118" s="313"/>
      <c r="BS118" s="313"/>
      <c r="BT118" s="313"/>
      <c r="BU118" s="313"/>
      <c r="BV118" s="313"/>
      <c r="BW118" s="105"/>
    </row>
    <row r="119" spans="1:98" ht="7.4" customHeight="1" x14ac:dyDescent="0.5">
      <c r="A119" s="42"/>
      <c r="B119" s="311">
        <f>B115+1</f>
        <v>2</v>
      </c>
      <c r="C119" s="311"/>
      <c r="D119" s="41"/>
      <c r="E119" s="42"/>
      <c r="F119" s="319" t="str">
        <f>IF(AL119=0,"N/A","AXE_L_R_40_30_AL")</f>
        <v>AXE_L_R_40_30_AL</v>
      </c>
      <c r="G119" s="319"/>
      <c r="H119" s="319"/>
      <c r="I119" s="319"/>
      <c r="J119" s="319"/>
      <c r="K119" s="319"/>
      <c r="L119" s="319"/>
      <c r="M119" s="319"/>
      <c r="N119" s="319"/>
      <c r="O119" s="319"/>
      <c r="P119" s="319"/>
      <c r="Q119" s="320"/>
      <c r="R119" s="42"/>
      <c r="S119" s="316" t="str">
        <f>VLOOKUP(F119,PL!$B$9:$BH$862,14,FALSE)</f>
        <v xml:space="preserve">Rail Profile </v>
      </c>
      <c r="T119" s="316"/>
      <c r="U119" s="316"/>
      <c r="V119" s="316"/>
      <c r="W119" s="316"/>
      <c r="X119" s="316"/>
      <c r="Y119" s="316"/>
      <c r="Z119" s="316"/>
      <c r="AA119" s="316"/>
      <c r="AB119" s="316"/>
      <c r="AC119" s="316"/>
      <c r="AD119" s="316"/>
      <c r="AE119" s="316"/>
      <c r="AF119" s="316" t="str">
        <f>IF(AL119=0,"","("&amp;BK107&amp;"m)")</f>
        <v>(5.85m)</v>
      </c>
      <c r="AG119" s="316"/>
      <c r="AH119" s="316"/>
      <c r="AI119" s="316"/>
      <c r="AJ119" s="317"/>
      <c r="AK119" s="42"/>
      <c r="AL119" s="311">
        <f>BK119</f>
        <v>1</v>
      </c>
      <c r="AM119" s="311"/>
      <c r="AN119" s="311"/>
      <c r="AO119" s="311"/>
      <c r="AP119" s="311"/>
      <c r="AR119" s="128"/>
      <c r="AS119" s="308" t="str">
        <f>VLOOKUP(F119,PL!$B$9:$BH$818,52,FALSE)</f>
        <v>SOL-580404</v>
      </c>
      <c r="AT119" s="309"/>
      <c r="AU119" s="309"/>
      <c r="AV119" s="309"/>
      <c r="AW119" s="309"/>
      <c r="AX119" s="309"/>
      <c r="AY119" s="309"/>
      <c r="AZ119" s="309"/>
      <c r="BA119" s="309"/>
      <c r="BB119" s="309"/>
      <c r="BC119" s="309"/>
      <c r="BD119" s="309"/>
      <c r="BE119" s="309"/>
      <c r="BF119" s="309"/>
      <c r="BG119" s="309"/>
      <c r="BH119" s="309"/>
      <c r="BI119" s="41"/>
      <c r="BK119" s="310">
        <f>IF($AZ$28="Included",0,IF($F$127="AXE_AL_BR_RS_H",0,ROUNDUP(IF($AL$35="Included",ROUNDUP($BA$25/5.7,0)*4,ROUNDUP($BA$25/5.7,0)*5)*$BK$36/1000/$BK$107,0)))</f>
        <v>1</v>
      </c>
      <c r="BL119" s="311"/>
      <c r="BM119" s="311"/>
      <c r="BN119" s="312"/>
      <c r="BO119" s="313"/>
      <c r="BP119" s="313"/>
      <c r="BQ119" s="313"/>
      <c r="BR119" s="313"/>
      <c r="BS119" s="313"/>
      <c r="BT119" s="313"/>
      <c r="BU119" s="313"/>
      <c r="BV119" s="313"/>
      <c r="BW119" s="79"/>
      <c r="BX119" s="46"/>
      <c r="BY119" s="46"/>
      <c r="BZ119" s="46"/>
      <c r="CA119" s="46"/>
      <c r="CC119" s="25"/>
      <c r="CG119" s="25"/>
      <c r="CH119" s="25"/>
    </row>
    <row r="120" spans="1:98" ht="7.4" customHeight="1" x14ac:dyDescent="0.5">
      <c r="A120" s="42"/>
      <c r="B120" s="311"/>
      <c r="C120" s="311"/>
      <c r="D120" s="41"/>
      <c r="E120" s="42"/>
      <c r="F120" s="319"/>
      <c r="G120" s="319"/>
      <c r="H120" s="319"/>
      <c r="I120" s="319"/>
      <c r="J120" s="319"/>
      <c r="K120" s="319"/>
      <c r="L120" s="319"/>
      <c r="M120" s="319"/>
      <c r="N120" s="319"/>
      <c r="O120" s="319"/>
      <c r="P120" s="319"/>
      <c r="Q120" s="320"/>
      <c r="R120" s="42"/>
      <c r="S120" s="316"/>
      <c r="T120" s="316"/>
      <c r="U120" s="316"/>
      <c r="V120" s="316"/>
      <c r="W120" s="316"/>
      <c r="X120" s="316"/>
      <c r="Y120" s="316"/>
      <c r="Z120" s="316"/>
      <c r="AA120" s="316"/>
      <c r="AB120" s="316"/>
      <c r="AC120" s="316"/>
      <c r="AD120" s="316"/>
      <c r="AE120" s="316"/>
      <c r="AF120" s="316"/>
      <c r="AG120" s="316"/>
      <c r="AH120" s="316"/>
      <c r="AI120" s="316"/>
      <c r="AJ120" s="317"/>
      <c r="AK120" s="42"/>
      <c r="AL120" s="311"/>
      <c r="AM120" s="311"/>
      <c r="AN120" s="311"/>
      <c r="AO120" s="311"/>
      <c r="AP120" s="311"/>
      <c r="AR120" s="128"/>
      <c r="AS120" s="309"/>
      <c r="AT120" s="309"/>
      <c r="AU120" s="309"/>
      <c r="AV120" s="309"/>
      <c r="AW120" s="309"/>
      <c r="AX120" s="309"/>
      <c r="AY120" s="309"/>
      <c r="AZ120" s="309"/>
      <c r="BA120" s="309"/>
      <c r="BB120" s="309"/>
      <c r="BC120" s="309"/>
      <c r="BD120" s="309"/>
      <c r="BE120" s="309"/>
      <c r="BF120" s="309"/>
      <c r="BG120" s="309"/>
      <c r="BH120" s="309"/>
      <c r="BI120" s="41"/>
      <c r="BK120" s="310"/>
      <c r="BL120" s="311"/>
      <c r="BM120" s="311"/>
      <c r="BN120" s="312"/>
      <c r="BO120" s="313"/>
      <c r="BP120" s="313"/>
      <c r="BQ120" s="313"/>
      <c r="BR120" s="313"/>
      <c r="BS120" s="313"/>
      <c r="BT120" s="313"/>
      <c r="BU120" s="313"/>
      <c r="BV120" s="313"/>
      <c r="BW120" s="79"/>
      <c r="BX120" s="46"/>
      <c r="BY120" s="46"/>
      <c r="BZ120" s="46"/>
      <c r="CA120" s="46"/>
      <c r="CC120" s="25"/>
      <c r="CG120" s="25"/>
      <c r="CH120" s="25"/>
    </row>
    <row r="121" spans="1:98" s="117" customFormat="1" ht="7.4" customHeight="1" x14ac:dyDescent="0.5">
      <c r="A121" s="113"/>
      <c r="B121" s="114"/>
      <c r="C121" s="114"/>
      <c r="D121" s="115"/>
      <c r="E121" s="113"/>
      <c r="F121" s="56"/>
      <c r="G121" s="56"/>
      <c r="H121" s="56"/>
      <c r="I121" s="56"/>
      <c r="J121" s="56"/>
      <c r="K121" s="56"/>
      <c r="L121" s="56"/>
      <c r="M121" s="56"/>
      <c r="N121" s="56"/>
      <c r="O121" s="56"/>
      <c r="P121" s="56"/>
      <c r="Q121" s="115"/>
      <c r="R121" s="113"/>
      <c r="S121" s="116" t="str">
        <f>VLOOKUP(F119,PL!$B$9:$BH$1265,33,FALSE)</f>
        <v xml:space="preserve"> Aluminium, 40x30</v>
      </c>
      <c r="AJ121" s="115"/>
      <c r="AK121" s="113"/>
      <c r="AL121" s="118"/>
      <c r="AM121" s="118"/>
      <c r="AN121" s="118"/>
      <c r="AO121" s="118"/>
      <c r="AP121" s="118"/>
      <c r="AR121" s="113"/>
      <c r="AS121" s="282"/>
      <c r="AT121" s="282"/>
      <c r="AU121" s="282"/>
      <c r="AV121" s="282"/>
      <c r="AW121" s="282"/>
      <c r="AX121" s="282"/>
      <c r="AY121" s="283"/>
      <c r="AZ121" s="283"/>
      <c r="BA121" s="282"/>
      <c r="BB121" s="282"/>
      <c r="BC121" s="282"/>
      <c r="BD121" s="282"/>
      <c r="BE121" s="282"/>
      <c r="BF121" s="282"/>
      <c r="BG121" s="282"/>
      <c r="BH121" s="282"/>
      <c r="BI121" s="115"/>
      <c r="BK121" s="310"/>
      <c r="BL121" s="311"/>
      <c r="BM121" s="311"/>
      <c r="BN121" s="312"/>
      <c r="BO121" s="313"/>
      <c r="BP121" s="313"/>
      <c r="BQ121" s="313"/>
      <c r="BR121" s="313"/>
      <c r="BS121" s="313"/>
      <c r="BT121" s="313"/>
      <c r="BU121" s="313"/>
      <c r="BV121" s="313"/>
      <c r="BW121" s="79"/>
    </row>
    <row r="122" spans="1:98" ht="7.4" customHeight="1" x14ac:dyDescent="0.5">
      <c r="A122" s="42"/>
      <c r="D122" s="41"/>
      <c r="E122" s="42"/>
      <c r="F122" s="56"/>
      <c r="G122" s="56"/>
      <c r="H122" s="56"/>
      <c r="I122" s="56"/>
      <c r="J122" s="56"/>
      <c r="K122" s="56"/>
      <c r="L122" s="56"/>
      <c r="M122" s="56"/>
      <c r="N122" s="56"/>
      <c r="O122" s="56"/>
      <c r="P122" s="56"/>
      <c r="Q122" s="41"/>
      <c r="R122" s="42"/>
      <c r="S122" s="49"/>
      <c r="AJ122" s="41"/>
      <c r="AK122" s="42"/>
      <c r="AL122" s="75"/>
      <c r="AM122" s="75"/>
      <c r="AN122" s="75"/>
      <c r="AO122" s="75"/>
      <c r="AP122" s="75"/>
      <c r="AR122" s="42"/>
      <c r="AS122" s="282"/>
      <c r="AT122" s="282"/>
      <c r="AU122" s="282"/>
      <c r="AV122" s="282"/>
      <c r="AW122" s="282"/>
      <c r="AX122" s="282"/>
      <c r="AY122" s="191"/>
      <c r="AZ122" s="191"/>
      <c r="BA122" s="282"/>
      <c r="BB122" s="282"/>
      <c r="BC122" s="282"/>
      <c r="BD122" s="282"/>
      <c r="BE122" s="282"/>
      <c r="BF122" s="282"/>
      <c r="BG122" s="282"/>
      <c r="BH122" s="282"/>
      <c r="BI122" s="41"/>
      <c r="BK122" s="42"/>
      <c r="BN122" s="41"/>
      <c r="BO122" s="313"/>
      <c r="BP122" s="313"/>
      <c r="BQ122" s="313"/>
      <c r="BR122" s="313"/>
      <c r="BS122" s="313"/>
      <c r="BT122" s="313"/>
      <c r="BU122" s="313"/>
      <c r="BV122" s="313"/>
      <c r="BW122" s="105"/>
    </row>
    <row r="123" spans="1:98" ht="7.4" customHeight="1" x14ac:dyDescent="0.5">
      <c r="A123" s="42"/>
      <c r="B123" s="311">
        <f>B119+1</f>
        <v>3</v>
      </c>
      <c r="C123" s="311"/>
      <c r="D123" s="41"/>
      <c r="E123" s="42"/>
      <c r="F123" s="319" t="str">
        <f>IF(AL123=0,"N/A",IF(X28&gt;0,"AXE_F_AN_WW_"&amp;X28&amp;"_AL","N/A"))</f>
        <v>N/A</v>
      </c>
      <c r="G123" s="319"/>
      <c r="H123" s="319"/>
      <c r="I123" s="319"/>
      <c r="J123" s="319"/>
      <c r="K123" s="319"/>
      <c r="L123" s="319"/>
      <c r="M123" s="319"/>
      <c r="N123" s="319"/>
      <c r="O123" s="319"/>
      <c r="P123" s="319"/>
      <c r="Q123" s="320"/>
      <c r="R123" s="42"/>
      <c r="S123" s="316" t="str">
        <f>VLOOKUP(F123,PL!$B$9:$BH$862,14,FALSE)</f>
        <v>No Item</v>
      </c>
      <c r="T123" s="316"/>
      <c r="U123" s="316"/>
      <c r="V123" s="316"/>
      <c r="W123" s="316"/>
      <c r="X123" s="316"/>
      <c r="Y123" s="316"/>
      <c r="Z123" s="316"/>
      <c r="AA123" s="316"/>
      <c r="AB123" s="316"/>
      <c r="AC123" s="316"/>
      <c r="AD123" s="316"/>
      <c r="AE123" s="316"/>
      <c r="AF123" s="316"/>
      <c r="AG123" s="316"/>
      <c r="AH123" s="316"/>
      <c r="AI123" s="316"/>
      <c r="AJ123" s="317"/>
      <c r="AK123" s="42"/>
      <c r="AL123" s="311">
        <f>BK123</f>
        <v>0</v>
      </c>
      <c r="AM123" s="311"/>
      <c r="AN123" s="311"/>
      <c r="AO123" s="311"/>
      <c r="AP123" s="311"/>
      <c r="AR123" s="128"/>
      <c r="AS123" s="308" t="str">
        <f>VLOOKUP(F123,PL!$B$9:$BH$818,52,FALSE)</f>
        <v>-</v>
      </c>
      <c r="AT123" s="309"/>
      <c r="AU123" s="309"/>
      <c r="AV123" s="309"/>
      <c r="AW123" s="309"/>
      <c r="AX123" s="309"/>
      <c r="AY123" s="309"/>
      <c r="AZ123" s="309"/>
      <c r="BA123" s="309"/>
      <c r="BB123" s="309"/>
      <c r="BC123" s="309"/>
      <c r="BD123" s="309"/>
      <c r="BE123" s="309"/>
      <c r="BF123" s="309"/>
      <c r="BG123" s="309"/>
      <c r="BH123" s="309"/>
      <c r="BI123" s="41"/>
      <c r="BK123" s="310">
        <f>IF(X28&gt;0,IF($AL$35="Included",ROUNDUP(X25/5.7,0)*4,ROUNDUP(X25/5.7,0)*5)+IF($AZ$28="Not Required",0,ROUNDUP(BA25/0.57,0))*2,0)</f>
        <v>0</v>
      </c>
      <c r="BL123" s="311"/>
      <c r="BM123" s="311"/>
      <c r="BN123" s="312"/>
      <c r="BO123" s="313"/>
      <c r="BP123" s="313"/>
      <c r="BQ123" s="313"/>
      <c r="BR123" s="313"/>
      <c r="BS123" s="313"/>
      <c r="BT123" s="313"/>
      <c r="BU123" s="313"/>
      <c r="BV123" s="313"/>
      <c r="BW123" s="79"/>
      <c r="BX123" s="122"/>
      <c r="BY123" s="122"/>
      <c r="BZ123" s="122"/>
      <c r="CA123" s="122"/>
      <c r="CB123" s="122"/>
      <c r="CC123" s="122"/>
      <c r="CD123" s="122"/>
      <c r="CH123" s="122"/>
      <c r="CI123" s="122"/>
      <c r="CJ123" s="122"/>
      <c r="CK123" s="122"/>
      <c r="CL123" s="122"/>
      <c r="CM123" s="122"/>
      <c r="CN123" s="122"/>
      <c r="CO123" s="122"/>
      <c r="CP123" s="122"/>
      <c r="CQ123" s="122"/>
      <c r="CS123" s="108"/>
      <c r="CT123" s="108"/>
    </row>
    <row r="124" spans="1:98" ht="7.4" customHeight="1" x14ac:dyDescent="0.5">
      <c r="A124" s="42"/>
      <c r="B124" s="311"/>
      <c r="C124" s="311"/>
      <c r="D124" s="41"/>
      <c r="E124" s="42"/>
      <c r="F124" s="319"/>
      <c r="G124" s="319"/>
      <c r="H124" s="319"/>
      <c r="I124" s="319"/>
      <c r="J124" s="319"/>
      <c r="K124" s="319"/>
      <c r="L124" s="319"/>
      <c r="M124" s="319"/>
      <c r="N124" s="319"/>
      <c r="O124" s="319"/>
      <c r="P124" s="319"/>
      <c r="Q124" s="320"/>
      <c r="R124" s="42"/>
      <c r="S124" s="316"/>
      <c r="T124" s="316"/>
      <c r="U124" s="316"/>
      <c r="V124" s="316"/>
      <c r="W124" s="316"/>
      <c r="X124" s="316"/>
      <c r="Y124" s="316"/>
      <c r="Z124" s="316"/>
      <c r="AA124" s="316"/>
      <c r="AB124" s="316"/>
      <c r="AC124" s="316"/>
      <c r="AD124" s="316"/>
      <c r="AE124" s="316"/>
      <c r="AF124" s="316"/>
      <c r="AG124" s="316"/>
      <c r="AH124" s="316"/>
      <c r="AI124" s="316"/>
      <c r="AJ124" s="317"/>
      <c r="AK124" s="42"/>
      <c r="AL124" s="311"/>
      <c r="AM124" s="311"/>
      <c r="AN124" s="311"/>
      <c r="AO124" s="311"/>
      <c r="AP124" s="311"/>
      <c r="AR124" s="128"/>
      <c r="AS124" s="309"/>
      <c r="AT124" s="309"/>
      <c r="AU124" s="309"/>
      <c r="AV124" s="309"/>
      <c r="AW124" s="309"/>
      <c r="AX124" s="309"/>
      <c r="AY124" s="309"/>
      <c r="AZ124" s="309"/>
      <c r="BA124" s="309"/>
      <c r="BB124" s="309"/>
      <c r="BC124" s="309"/>
      <c r="BD124" s="309"/>
      <c r="BE124" s="309"/>
      <c r="BF124" s="309"/>
      <c r="BG124" s="309"/>
      <c r="BH124" s="309"/>
      <c r="BI124" s="41"/>
      <c r="BK124" s="310"/>
      <c r="BL124" s="311"/>
      <c r="BM124" s="311"/>
      <c r="BN124" s="312"/>
      <c r="BO124" s="313"/>
      <c r="BP124" s="313"/>
      <c r="BQ124" s="313"/>
      <c r="BR124" s="313"/>
      <c r="BS124" s="313"/>
      <c r="BT124" s="313"/>
      <c r="BU124" s="313"/>
      <c r="BV124" s="313"/>
      <c r="BW124" s="79"/>
      <c r="BX124" s="122"/>
      <c r="BY124" s="122"/>
      <c r="BZ124" s="122"/>
      <c r="CA124" s="122"/>
      <c r="CB124" s="122"/>
      <c r="CC124" s="122"/>
      <c r="CD124" s="122"/>
      <c r="CH124" s="122"/>
      <c r="CI124" s="122"/>
      <c r="CJ124" s="122"/>
      <c r="CK124" s="122"/>
      <c r="CL124" s="122"/>
      <c r="CM124" s="122"/>
      <c r="CN124" s="122"/>
      <c r="CO124" s="122"/>
      <c r="CP124" s="122"/>
      <c r="CQ124" s="122"/>
      <c r="CS124" s="108"/>
      <c r="CT124" s="108"/>
    </row>
    <row r="125" spans="1:98" ht="7.4" customHeight="1" x14ac:dyDescent="0.5">
      <c r="A125" s="113"/>
      <c r="B125" s="114"/>
      <c r="C125" s="114"/>
      <c r="D125" s="115"/>
      <c r="E125" s="42"/>
      <c r="F125" s="56"/>
      <c r="G125" s="56"/>
      <c r="H125" s="56"/>
      <c r="I125" s="56"/>
      <c r="J125" s="56"/>
      <c r="K125" s="56"/>
      <c r="L125" s="56"/>
      <c r="M125" s="56"/>
      <c r="N125" s="56"/>
      <c r="O125" s="56"/>
      <c r="P125" s="56"/>
      <c r="Q125" s="115"/>
      <c r="R125" s="42"/>
      <c r="S125" s="116" t="str">
        <f>VLOOKUP(F123,PL!$B$9:$BH$1265,33,FALSE)</f>
        <v>.</v>
      </c>
      <c r="AJ125" s="41"/>
      <c r="AK125" s="113"/>
      <c r="AL125" s="118"/>
      <c r="AM125" s="118"/>
      <c r="AN125" s="118"/>
      <c r="AO125" s="118"/>
      <c r="AP125" s="118"/>
      <c r="AQ125" s="117"/>
      <c r="AR125" s="42"/>
      <c r="AS125" s="282"/>
      <c r="AT125" s="282"/>
      <c r="AU125" s="282"/>
      <c r="AV125" s="282"/>
      <c r="AW125" s="282"/>
      <c r="AX125" s="282"/>
      <c r="AY125" s="283"/>
      <c r="AZ125" s="191"/>
      <c r="BA125" s="282"/>
      <c r="BB125" s="282"/>
      <c r="BC125" s="282"/>
      <c r="BD125" s="282"/>
      <c r="BE125" s="282"/>
      <c r="BF125" s="282"/>
      <c r="BG125" s="282"/>
      <c r="BH125" s="282"/>
      <c r="BI125" s="115"/>
      <c r="BK125" s="310"/>
      <c r="BL125" s="311"/>
      <c r="BM125" s="311"/>
      <c r="BN125" s="312"/>
      <c r="BO125" s="313"/>
      <c r="BP125" s="313"/>
      <c r="BQ125" s="313"/>
      <c r="BR125" s="313"/>
      <c r="BS125" s="313"/>
      <c r="BT125" s="313"/>
      <c r="BU125" s="313"/>
      <c r="BV125" s="313"/>
      <c r="BW125" s="79"/>
      <c r="BX125" s="123"/>
      <c r="BY125" s="123"/>
      <c r="BZ125" s="123"/>
      <c r="CA125" s="123"/>
      <c r="CB125" s="123"/>
      <c r="CC125" s="123"/>
      <c r="CD125" s="123"/>
      <c r="CH125" s="123"/>
      <c r="CI125" s="123"/>
      <c r="CJ125" s="123"/>
      <c r="CK125" s="123"/>
      <c r="CL125" s="123"/>
      <c r="CM125" s="123"/>
      <c r="CN125" s="123"/>
      <c r="CO125" s="123"/>
      <c r="CP125" s="123"/>
      <c r="CQ125" s="123"/>
      <c r="CS125" s="108"/>
      <c r="CT125" s="108"/>
    </row>
    <row r="126" spans="1:98" ht="7.4" customHeight="1" x14ac:dyDescent="0.5">
      <c r="A126" s="42"/>
      <c r="D126" s="41"/>
      <c r="E126" s="42"/>
      <c r="F126" s="56"/>
      <c r="G126" s="56"/>
      <c r="H126" s="56"/>
      <c r="I126" s="56"/>
      <c r="J126" s="56"/>
      <c r="K126" s="56"/>
      <c r="L126" s="56"/>
      <c r="M126" s="56"/>
      <c r="N126" s="56"/>
      <c r="O126" s="56"/>
      <c r="P126" s="56"/>
      <c r="Q126" s="41"/>
      <c r="R126" s="42"/>
      <c r="S126" s="49"/>
      <c r="AJ126" s="41"/>
      <c r="AK126" s="42"/>
      <c r="AL126" s="75"/>
      <c r="AM126" s="75"/>
      <c r="AN126" s="75"/>
      <c r="AO126" s="75"/>
      <c r="AP126" s="75"/>
      <c r="AR126" s="42"/>
      <c r="AS126" s="282"/>
      <c r="AT126" s="282"/>
      <c r="AU126" s="282"/>
      <c r="AV126" s="282"/>
      <c r="AW126" s="282"/>
      <c r="AX126" s="282"/>
      <c r="AY126" s="191"/>
      <c r="AZ126" s="191"/>
      <c r="BA126" s="282"/>
      <c r="BB126" s="282"/>
      <c r="BC126" s="282"/>
      <c r="BD126" s="282"/>
      <c r="BE126" s="282"/>
      <c r="BF126" s="282"/>
      <c r="BG126" s="282"/>
      <c r="BH126" s="282"/>
      <c r="BI126" s="41"/>
      <c r="BK126" s="42"/>
      <c r="BN126" s="41"/>
      <c r="BO126" s="313"/>
      <c r="BP126" s="313"/>
      <c r="BQ126" s="313"/>
      <c r="BR126" s="313"/>
      <c r="BS126" s="313"/>
      <c r="BT126" s="313"/>
      <c r="BU126" s="313"/>
      <c r="BV126" s="313"/>
      <c r="BW126" s="105"/>
    </row>
    <row r="127" spans="1:98" ht="7.4" customHeight="1" x14ac:dyDescent="0.5">
      <c r="A127" s="42"/>
      <c r="B127" s="311">
        <f>B123+1</f>
        <v>4</v>
      </c>
      <c r="C127" s="311"/>
      <c r="D127" s="41"/>
      <c r="E127" s="42"/>
      <c r="F127" s="319" t="str">
        <f>IF(AL127=0,"N/A","AXE_BR_"&amp;IF($AA$36="Corrugated","COR_RD",
IF(OR($AA$36="Corrugated (Rib Surface)",$AA$36="IBR (Rib Surface)"),"RS_H",
IF($AA$36="Corrugated (Hangerbolt)","HB_RD_W",
IF($AA$36="IBR","IBR_RD",
IF(OR($AA$36="Klip-Lok",$AA$36="ProLok",$AA$36="Saflok"),"FL_RD",
IF($AA$36="Novotexi","NT_RD",
IF($AA$36="Springlok","SL_RD",
IF(OR($AA$36="Brownbuilt",$AA$36="Dimondek"),"GL_RD",
IF(OR($AA$36="Brownbuilt (Pinch)",$AA$36="Dimondek (Pinch)"),"PF_RD",
IF($AA$36="Craft-Lock","CL_RD",
IF(OR($AA$36="Dimondek (Stand Rib)",$AA$36="Zip-Tek"),"SR_RD",0)))))))))))&amp;"_AL")</f>
        <v>AXE_BR_IBR_RD_AL</v>
      </c>
      <c r="G127" s="319"/>
      <c r="H127" s="319"/>
      <c r="I127" s="319"/>
      <c r="J127" s="319"/>
      <c r="K127" s="319"/>
      <c r="L127" s="319"/>
      <c r="M127" s="319"/>
      <c r="N127" s="319"/>
      <c r="O127" s="319"/>
      <c r="P127" s="319"/>
      <c r="Q127" s="320"/>
      <c r="R127" s="42"/>
      <c r="S127" s="316" t="str">
        <f>VLOOKUP(F127,PL!$B$9:$BH$862,14,FALSE)</f>
        <v xml:space="preserve">IBR Bracket </v>
      </c>
      <c r="T127" s="316"/>
      <c r="U127" s="316"/>
      <c r="V127" s="316"/>
      <c r="W127" s="316"/>
      <c r="X127" s="316"/>
      <c r="Y127" s="316"/>
      <c r="Z127" s="316"/>
      <c r="AA127" s="316"/>
      <c r="AB127" s="316"/>
      <c r="AC127" s="316"/>
      <c r="AD127" s="316"/>
      <c r="AE127" s="316"/>
      <c r="AF127" s="316"/>
      <c r="AG127" s="316"/>
      <c r="AH127" s="316"/>
      <c r="AI127" s="316"/>
      <c r="AJ127" s="317"/>
      <c r="AK127" s="42"/>
      <c r="AL127" s="311">
        <f>ROUND(BK127*(1+$Q$36),0)</f>
        <v>20</v>
      </c>
      <c r="AM127" s="311"/>
      <c r="AN127" s="311"/>
      <c r="AO127" s="311"/>
      <c r="AP127" s="311"/>
      <c r="AR127" s="128"/>
      <c r="AS127" s="308" t="str">
        <f>VLOOKUP(F127,PL!$B$9:$BH$818,52,FALSE)</f>
        <v>SOL-5901</v>
      </c>
      <c r="AT127" s="309"/>
      <c r="AU127" s="309"/>
      <c r="AV127" s="309"/>
      <c r="AW127" s="309"/>
      <c r="AX127" s="309"/>
      <c r="AY127" s="309"/>
      <c r="AZ127" s="309"/>
      <c r="BA127" s="309"/>
      <c r="BB127" s="309"/>
      <c r="BC127" s="309"/>
      <c r="BD127" s="309"/>
      <c r="BE127" s="309"/>
      <c r="BF127" s="309"/>
      <c r="BG127" s="309"/>
      <c r="BH127" s="309"/>
      <c r="BI127" s="124"/>
      <c r="BK127" s="310">
        <f>IF($AZ$28="Included",0,IF($AL$35="Included",ROUNDUP($BA$25/5.7,0)*8,ROUNDUP($BA$25/5.7,0)*10))</f>
        <v>20</v>
      </c>
      <c r="BL127" s="311"/>
      <c r="BM127" s="311"/>
      <c r="BN127" s="312"/>
      <c r="BO127" s="313"/>
      <c r="BP127" s="313"/>
      <c r="BQ127" s="313"/>
      <c r="BR127" s="313"/>
      <c r="BS127" s="313"/>
      <c r="BT127" s="313"/>
      <c r="BU127" s="313"/>
      <c r="BV127" s="313"/>
      <c r="BW127" s="79"/>
    </row>
    <row r="128" spans="1:98" ht="7.4" customHeight="1" x14ac:dyDescent="0.5">
      <c r="A128" s="42"/>
      <c r="B128" s="311"/>
      <c r="C128" s="311"/>
      <c r="D128" s="41"/>
      <c r="E128" s="42"/>
      <c r="F128" s="319"/>
      <c r="G128" s="319"/>
      <c r="H128" s="319"/>
      <c r="I128" s="319"/>
      <c r="J128" s="319"/>
      <c r="K128" s="319"/>
      <c r="L128" s="319"/>
      <c r="M128" s="319"/>
      <c r="N128" s="319"/>
      <c r="O128" s="319"/>
      <c r="P128" s="319"/>
      <c r="Q128" s="320"/>
      <c r="R128" s="42"/>
      <c r="S128" s="316"/>
      <c r="T128" s="316"/>
      <c r="U128" s="316"/>
      <c r="V128" s="316"/>
      <c r="W128" s="316"/>
      <c r="X128" s="316"/>
      <c r="Y128" s="316"/>
      <c r="Z128" s="316"/>
      <c r="AA128" s="316"/>
      <c r="AB128" s="316"/>
      <c r="AC128" s="316"/>
      <c r="AD128" s="316"/>
      <c r="AE128" s="316"/>
      <c r="AF128" s="316"/>
      <c r="AG128" s="316"/>
      <c r="AH128" s="316"/>
      <c r="AI128" s="316"/>
      <c r="AJ128" s="317"/>
      <c r="AK128" s="42"/>
      <c r="AL128" s="311"/>
      <c r="AM128" s="311"/>
      <c r="AN128" s="311"/>
      <c r="AO128" s="311"/>
      <c r="AP128" s="311"/>
      <c r="AR128" s="128"/>
      <c r="AS128" s="309"/>
      <c r="AT128" s="309"/>
      <c r="AU128" s="309"/>
      <c r="AV128" s="309"/>
      <c r="AW128" s="309"/>
      <c r="AX128" s="309"/>
      <c r="AY128" s="309"/>
      <c r="AZ128" s="309"/>
      <c r="BA128" s="309"/>
      <c r="BB128" s="309"/>
      <c r="BC128" s="309"/>
      <c r="BD128" s="309"/>
      <c r="BE128" s="309"/>
      <c r="BF128" s="309"/>
      <c r="BG128" s="309"/>
      <c r="BH128" s="309"/>
      <c r="BI128" s="124"/>
      <c r="BK128" s="310"/>
      <c r="BL128" s="311"/>
      <c r="BM128" s="311"/>
      <c r="BN128" s="312"/>
      <c r="BO128" s="313"/>
      <c r="BP128" s="313"/>
      <c r="BQ128" s="313"/>
      <c r="BR128" s="313"/>
      <c r="BS128" s="313"/>
      <c r="BT128" s="313"/>
      <c r="BU128" s="313"/>
      <c r="BV128" s="313"/>
      <c r="BW128" s="79"/>
    </row>
    <row r="129" spans="1:88" s="117" customFormat="1" ht="7.4" customHeight="1" x14ac:dyDescent="0.5">
      <c r="A129" s="113"/>
      <c r="B129" s="114"/>
      <c r="C129" s="114"/>
      <c r="D129" s="115"/>
      <c r="E129" s="113"/>
      <c r="F129" s="56"/>
      <c r="G129" s="56"/>
      <c r="H129" s="56"/>
      <c r="I129" s="56"/>
      <c r="J129" s="56"/>
      <c r="K129" s="56"/>
      <c r="L129" s="56"/>
      <c r="M129" s="56"/>
      <c r="N129" s="56"/>
      <c r="O129" s="56"/>
      <c r="P129" s="56"/>
      <c r="Q129" s="115"/>
      <c r="R129" s="113"/>
      <c r="S129" s="116" t="str">
        <f>VLOOKUP(F127,PL!$B$9:$BH$1265,33,FALSE)</f>
        <v>Aluminium, Railed</v>
      </c>
      <c r="AJ129" s="115"/>
      <c r="AK129" s="113"/>
      <c r="AL129" s="118"/>
      <c r="AM129" s="118"/>
      <c r="AN129" s="118"/>
      <c r="AO129" s="118"/>
      <c r="AP129" s="118"/>
      <c r="AR129" s="113"/>
      <c r="AS129" s="282"/>
      <c r="AT129" s="282"/>
      <c r="AU129" s="282"/>
      <c r="AV129" s="282"/>
      <c r="AW129" s="282"/>
      <c r="AX129" s="282"/>
      <c r="AY129" s="283"/>
      <c r="AZ129" s="283"/>
      <c r="BA129" s="282"/>
      <c r="BB129" s="282"/>
      <c r="BC129" s="282"/>
      <c r="BD129" s="282"/>
      <c r="BE129" s="282"/>
      <c r="BF129" s="282"/>
      <c r="BG129" s="282"/>
      <c r="BH129" s="282"/>
      <c r="BI129" s="125"/>
      <c r="BK129" s="310"/>
      <c r="BL129" s="311"/>
      <c r="BM129" s="311"/>
      <c r="BN129" s="312"/>
      <c r="BO129" s="313"/>
      <c r="BP129" s="313"/>
      <c r="BQ129" s="313"/>
      <c r="BR129" s="313"/>
      <c r="BS129" s="313"/>
      <c r="BT129" s="313"/>
      <c r="BU129" s="313"/>
      <c r="BV129" s="313"/>
      <c r="BW129" s="79"/>
    </row>
    <row r="130" spans="1:88" ht="7.4" customHeight="1" x14ac:dyDescent="0.5">
      <c r="A130" s="42"/>
      <c r="D130" s="41"/>
      <c r="E130" s="42"/>
      <c r="F130" s="56"/>
      <c r="G130" s="56"/>
      <c r="H130" s="56"/>
      <c r="I130" s="56"/>
      <c r="J130" s="56"/>
      <c r="K130" s="56"/>
      <c r="L130" s="56"/>
      <c r="M130" s="56"/>
      <c r="N130" s="56"/>
      <c r="O130" s="56"/>
      <c r="P130" s="56"/>
      <c r="Q130" s="41"/>
      <c r="R130" s="42"/>
      <c r="S130" s="49"/>
      <c r="AJ130" s="41"/>
      <c r="AK130" s="42"/>
      <c r="AL130" s="75"/>
      <c r="AM130" s="75"/>
      <c r="AN130" s="75"/>
      <c r="AO130" s="75"/>
      <c r="AP130" s="75"/>
      <c r="AR130" s="42"/>
      <c r="AS130" s="282"/>
      <c r="AT130" s="282"/>
      <c r="AU130" s="282"/>
      <c r="AV130" s="282"/>
      <c r="AW130" s="282"/>
      <c r="AX130" s="282"/>
      <c r="AY130" s="191"/>
      <c r="AZ130" s="191"/>
      <c r="BA130" s="282"/>
      <c r="BB130" s="282"/>
      <c r="BC130" s="282"/>
      <c r="BD130" s="282"/>
      <c r="BE130" s="282"/>
      <c r="BF130" s="282"/>
      <c r="BG130" s="282"/>
      <c r="BH130" s="282"/>
      <c r="BI130" s="41"/>
      <c r="BK130" s="42"/>
      <c r="BN130" s="41"/>
      <c r="BO130" s="313"/>
      <c r="BP130" s="313"/>
      <c r="BQ130" s="313"/>
      <c r="BR130" s="313"/>
      <c r="BS130" s="313"/>
      <c r="BT130" s="313"/>
      <c r="BU130" s="313"/>
      <c r="BV130" s="313"/>
      <c r="BW130" s="105"/>
    </row>
    <row r="131" spans="1:88" ht="7.4" customHeight="1" x14ac:dyDescent="0.5">
      <c r="A131" s="42"/>
      <c r="B131" s="311">
        <f>B127+1</f>
        <v>5</v>
      </c>
      <c r="C131" s="311"/>
      <c r="D131" s="41"/>
      <c r="E131" s="42"/>
      <c r="F131" s="319" t="str">
        <f>IF(AL131=0,"N/A",
IF($X$28&gt;0,"AXE_BR_"&amp;IF($AA$36="Corrugated","COR_V",
IF(OR($AA$36="Corrugated (Rib Surface)",$AA$36="IBR (Rib Surface)"),"RF_V",
IF($AA$36="Corrugated (Hangerbolt)","HB_V_W",
IF($AA$36="IBR","IBR_V",
IF(OR($AA$36="Klip-Lok",$AA$36="ProLok",$AA$36="Saflok"),"FL_V",
IF($AA$36="Novotexi","NT_V",
IF($AA$36="Springlok","SL_V",
IF(OR($AA$36="Brownbuilt",$AA$36="Dimondek"),"GL_V",
IF(OR($AA$36="Brownbuilt (Pinch)",$AA$36="Dimondek (Pinch)"),"PF_V",
IF($AA$36="Craft-Lock","CL_V",
IF(OR($AA$36="Dimondek (Stand Rib)",$AA$36="Zip-Tek"),"SR_V",0)))))))))))&amp;"_AL",
"AXE_BR_"&amp;IF($AA$36="Corrugated","COR_H",
IF(OR($AA$36="Corrugated (Rib Surface)",$AA$36="IBR (Rib Surface)"),"RF_H",
IF($AA$36="Corrugated (Hangerbolt)","HB_H_W",
IF($AA$36="IBR","IBR_H",
IF(OR($AA$36="Klip-Lok",$AA$36="ProLok",$AA$36="Saflok"),"FL_H",
IF($AA$36="Novotexi","NT_H",
IF($AA$36="Springlok","SL_H",
IF(OR($AA$36="Brownbuilt",$AA$36="Dimondek"),"GL_H",
IF(OR($AA$36="Brownbuilt (Pinch)",$AA$36="Dimondek (Pinch)"),"PF_H",
IF($AA$36="Craft-Lock","CL_H",
IF(OR($AA$36="Dimondek (Stand Rib)",$AA$36="Zip-Tek"),"SR_H",0)))))))))))&amp;"_AL"))</f>
        <v>AXE_BR_IBR_H_AL</v>
      </c>
      <c r="G131" s="319"/>
      <c r="H131" s="319"/>
      <c r="I131" s="319"/>
      <c r="J131" s="319"/>
      <c r="K131" s="319"/>
      <c r="L131" s="319"/>
      <c r="M131" s="319"/>
      <c r="N131" s="319"/>
      <c r="O131" s="319"/>
      <c r="P131" s="319"/>
      <c r="Q131" s="320"/>
      <c r="R131" s="42"/>
      <c r="S131" s="316" t="str">
        <f>VLOOKUP(F131,PL!$B$9:$BH$862,14,FALSE)</f>
        <v xml:space="preserve">IBR Bracket </v>
      </c>
      <c r="T131" s="316"/>
      <c r="U131" s="316"/>
      <c r="V131" s="316"/>
      <c r="W131" s="316"/>
      <c r="X131" s="316"/>
      <c r="Y131" s="316"/>
      <c r="Z131" s="316"/>
      <c r="AA131" s="316"/>
      <c r="AB131" s="316"/>
      <c r="AC131" s="316"/>
      <c r="AD131" s="316"/>
      <c r="AE131" s="316"/>
      <c r="AF131" s="316"/>
      <c r="AG131" s="316"/>
      <c r="AH131" s="316"/>
      <c r="AI131" s="316"/>
      <c r="AJ131" s="317"/>
      <c r="AK131" s="42"/>
      <c r="AL131" s="311">
        <f>ROUND(BK131*(1+$Q$36),0)</f>
        <v>20</v>
      </c>
      <c r="AM131" s="311"/>
      <c r="AN131" s="311"/>
      <c r="AO131" s="311"/>
      <c r="AP131" s="311"/>
      <c r="AR131" s="128"/>
      <c r="AS131" s="308" t="str">
        <f>VLOOKUP(F131,PL!$B$9:$BH$818,52,FALSE)</f>
        <v>SOL-59020</v>
      </c>
      <c r="AT131" s="309"/>
      <c r="AU131" s="309"/>
      <c r="AV131" s="309"/>
      <c r="AW131" s="309"/>
      <c r="AX131" s="309"/>
      <c r="AY131" s="309"/>
      <c r="AZ131" s="309"/>
      <c r="BA131" s="309"/>
      <c r="BB131" s="309"/>
      <c r="BC131" s="309"/>
      <c r="BD131" s="309"/>
      <c r="BE131" s="309"/>
      <c r="BF131" s="309"/>
      <c r="BG131" s="309"/>
      <c r="BH131" s="309"/>
      <c r="BI131" s="124"/>
      <c r="BK131" s="310">
        <f>IF($AL$35="Included",ROUNDUP($X$25/5.7,0)*8,ROUNDUP($X$25/5.7,0)*10)+IF($AZ$28="Not Required",0,ROUNDUP(BA25/0.57,0))*4</f>
        <v>20</v>
      </c>
      <c r="BL131" s="311"/>
      <c r="BM131" s="311"/>
      <c r="BN131" s="312"/>
      <c r="BO131" s="313"/>
      <c r="BP131" s="313"/>
      <c r="BQ131" s="313"/>
      <c r="BR131" s="313"/>
      <c r="BS131" s="313"/>
      <c r="BT131" s="313"/>
      <c r="BU131" s="313"/>
      <c r="BV131" s="313"/>
      <c r="BW131" s="79"/>
    </row>
    <row r="132" spans="1:88" ht="7.4" customHeight="1" x14ac:dyDescent="0.5">
      <c r="A132" s="42"/>
      <c r="B132" s="311"/>
      <c r="C132" s="311"/>
      <c r="D132" s="41"/>
      <c r="E132" s="42"/>
      <c r="F132" s="319"/>
      <c r="G132" s="319"/>
      <c r="H132" s="319"/>
      <c r="I132" s="319"/>
      <c r="J132" s="319"/>
      <c r="K132" s="319"/>
      <c r="L132" s="319"/>
      <c r="M132" s="319"/>
      <c r="N132" s="319"/>
      <c r="O132" s="319"/>
      <c r="P132" s="319"/>
      <c r="Q132" s="320"/>
      <c r="R132" s="42"/>
      <c r="S132" s="316"/>
      <c r="T132" s="316"/>
      <c r="U132" s="316"/>
      <c r="V132" s="316"/>
      <c r="W132" s="316"/>
      <c r="X132" s="316"/>
      <c r="Y132" s="316"/>
      <c r="Z132" s="316"/>
      <c r="AA132" s="316"/>
      <c r="AB132" s="316"/>
      <c r="AC132" s="316"/>
      <c r="AD132" s="316"/>
      <c r="AE132" s="316"/>
      <c r="AF132" s="316"/>
      <c r="AG132" s="316"/>
      <c r="AH132" s="316"/>
      <c r="AI132" s="316"/>
      <c r="AJ132" s="317"/>
      <c r="AK132" s="42"/>
      <c r="AL132" s="311"/>
      <c r="AM132" s="311"/>
      <c r="AN132" s="311"/>
      <c r="AO132" s="311"/>
      <c r="AP132" s="311"/>
      <c r="AR132" s="128"/>
      <c r="AS132" s="309"/>
      <c r="AT132" s="309"/>
      <c r="AU132" s="309"/>
      <c r="AV132" s="309"/>
      <c r="AW132" s="309"/>
      <c r="AX132" s="309"/>
      <c r="AY132" s="309"/>
      <c r="AZ132" s="309"/>
      <c r="BA132" s="309"/>
      <c r="BB132" s="309"/>
      <c r="BC132" s="309"/>
      <c r="BD132" s="309"/>
      <c r="BE132" s="309"/>
      <c r="BF132" s="309"/>
      <c r="BG132" s="309"/>
      <c r="BH132" s="309"/>
      <c r="BI132" s="124"/>
      <c r="BK132" s="310"/>
      <c r="BL132" s="311"/>
      <c r="BM132" s="311"/>
      <c r="BN132" s="312"/>
      <c r="BO132" s="313"/>
      <c r="BP132" s="313"/>
      <c r="BQ132" s="313"/>
      <c r="BR132" s="313"/>
      <c r="BS132" s="313"/>
      <c r="BT132" s="313"/>
      <c r="BU132" s="313"/>
      <c r="BV132" s="313"/>
      <c r="BW132" s="79"/>
    </row>
    <row r="133" spans="1:88" s="117" customFormat="1" ht="7.4" customHeight="1" x14ac:dyDescent="0.5">
      <c r="A133" s="113"/>
      <c r="B133" s="114"/>
      <c r="C133" s="114"/>
      <c r="D133" s="115"/>
      <c r="E133" s="113"/>
      <c r="F133" s="56"/>
      <c r="G133" s="56"/>
      <c r="H133" s="56"/>
      <c r="I133" s="56"/>
      <c r="J133" s="56"/>
      <c r="K133" s="56"/>
      <c r="L133" s="56"/>
      <c r="M133" s="56"/>
      <c r="N133" s="56"/>
      <c r="O133" s="56"/>
      <c r="P133" s="56"/>
      <c r="Q133" s="115"/>
      <c r="R133" s="113"/>
      <c r="S133" s="116" t="str">
        <f>VLOOKUP(F131,PL!$B$9:$BH$1265,33,FALSE)</f>
        <v>Aluminium, Horizontal</v>
      </c>
      <c r="AJ133" s="115"/>
      <c r="AK133" s="113"/>
      <c r="AL133" s="118"/>
      <c r="AM133" s="118"/>
      <c r="AN133" s="118"/>
      <c r="AO133" s="118"/>
      <c r="AP133" s="118"/>
      <c r="AR133" s="113"/>
      <c r="AS133" s="282"/>
      <c r="AT133" s="282"/>
      <c r="AU133" s="282"/>
      <c r="AV133" s="282"/>
      <c r="AW133" s="282"/>
      <c r="AX133" s="282"/>
      <c r="AY133" s="283"/>
      <c r="AZ133" s="283"/>
      <c r="BA133" s="282"/>
      <c r="BB133" s="282"/>
      <c r="BC133" s="282"/>
      <c r="BD133" s="282"/>
      <c r="BE133" s="282"/>
      <c r="BF133" s="282"/>
      <c r="BG133" s="282"/>
      <c r="BH133" s="282"/>
      <c r="BI133" s="125"/>
      <c r="BK133" s="310"/>
      <c r="BL133" s="311"/>
      <c r="BM133" s="311"/>
      <c r="BN133" s="312"/>
      <c r="BO133" s="313"/>
      <c r="BP133" s="313"/>
      <c r="BQ133" s="313"/>
      <c r="BR133" s="313"/>
      <c r="BS133" s="313"/>
      <c r="BT133" s="313"/>
      <c r="BU133" s="313"/>
      <c r="BV133" s="313"/>
      <c r="BW133" s="79"/>
      <c r="BY133" s="24"/>
      <c r="BZ133" s="24"/>
      <c r="CA133" s="24"/>
      <c r="CB133" s="24"/>
      <c r="CC133" s="24"/>
      <c r="CD133" s="24"/>
      <c r="CE133" s="24"/>
      <c r="CF133" s="24"/>
      <c r="CG133" s="24"/>
      <c r="CH133" s="24"/>
      <c r="CI133" s="24"/>
      <c r="CJ133" s="24"/>
    </row>
    <row r="134" spans="1:88" ht="7.4" customHeight="1" x14ac:dyDescent="0.5">
      <c r="A134" s="42"/>
      <c r="D134" s="41"/>
      <c r="E134" s="42"/>
      <c r="F134" s="56"/>
      <c r="G134" s="56"/>
      <c r="H134" s="56"/>
      <c r="I134" s="56"/>
      <c r="J134" s="56"/>
      <c r="K134" s="56"/>
      <c r="L134" s="56"/>
      <c r="M134" s="56"/>
      <c r="N134" s="56"/>
      <c r="O134" s="56"/>
      <c r="P134" s="56"/>
      <c r="Q134" s="41"/>
      <c r="R134" s="42"/>
      <c r="S134" s="49"/>
      <c r="AJ134" s="41"/>
      <c r="AK134" s="42"/>
      <c r="AL134" s="75"/>
      <c r="AM134" s="75"/>
      <c r="AN134" s="75"/>
      <c r="AO134" s="75"/>
      <c r="AP134" s="75"/>
      <c r="AR134" s="42"/>
      <c r="AS134" s="282"/>
      <c r="AT134" s="282"/>
      <c r="AU134" s="282"/>
      <c r="AV134" s="282"/>
      <c r="AW134" s="282"/>
      <c r="AX134" s="282"/>
      <c r="AY134" s="191"/>
      <c r="AZ134" s="191"/>
      <c r="BA134" s="282"/>
      <c r="BB134" s="282"/>
      <c r="BC134" s="282"/>
      <c r="BD134" s="282"/>
      <c r="BE134" s="282"/>
      <c r="BF134" s="282"/>
      <c r="BG134" s="282"/>
      <c r="BH134" s="282"/>
      <c r="BI134" s="41"/>
      <c r="BK134" s="42"/>
      <c r="BN134" s="41"/>
      <c r="BO134" s="313"/>
      <c r="BP134" s="313"/>
      <c r="BQ134" s="313"/>
      <c r="BR134" s="313"/>
      <c r="BS134" s="313"/>
      <c r="BT134" s="313"/>
      <c r="BU134" s="313"/>
      <c r="BV134" s="313"/>
      <c r="BW134" s="105"/>
    </row>
    <row r="135" spans="1:88" ht="7.4" customHeight="1" x14ac:dyDescent="0.5">
      <c r="A135" s="42"/>
      <c r="B135" s="311">
        <f>B131+1</f>
        <v>6</v>
      </c>
      <c r="C135" s="311"/>
      <c r="D135" s="41"/>
      <c r="E135" s="42"/>
      <c r="F135" s="319" t="str">
        <f>IF($AL$35="Included","AXE_EX_WW_AL","N/A")</f>
        <v>N/A</v>
      </c>
      <c r="G135" s="319"/>
      <c r="H135" s="319"/>
      <c r="I135" s="319"/>
      <c r="J135" s="319"/>
      <c r="K135" s="319"/>
      <c r="L135" s="319"/>
      <c r="M135" s="319"/>
      <c r="N135" s="319"/>
      <c r="O135" s="319"/>
      <c r="P135" s="319"/>
      <c r="Q135" s="320"/>
      <c r="R135" s="42"/>
      <c r="S135" s="316" t="str">
        <f>VLOOKUP(F135,PL!$B$9:$BH$862,14,FALSE)</f>
        <v>No Item</v>
      </c>
      <c r="T135" s="316"/>
      <c r="U135" s="316"/>
      <c r="V135" s="316"/>
      <c r="W135" s="316"/>
      <c r="X135" s="316"/>
      <c r="Y135" s="316"/>
      <c r="Z135" s="316"/>
      <c r="AA135" s="316"/>
      <c r="AB135" s="316"/>
      <c r="AC135" s="316"/>
      <c r="AD135" s="316"/>
      <c r="AE135" s="316"/>
      <c r="AF135" s="316"/>
      <c r="AG135" s="316"/>
      <c r="AH135" s="316"/>
      <c r="AI135" s="316"/>
      <c r="AJ135" s="317"/>
      <c r="AK135" s="42"/>
      <c r="AL135" s="311">
        <f>BK135</f>
        <v>0</v>
      </c>
      <c r="AM135" s="311"/>
      <c r="AN135" s="311"/>
      <c r="AO135" s="311"/>
      <c r="AP135" s="311"/>
      <c r="AR135" s="128"/>
      <c r="AS135" s="308" t="str">
        <f>VLOOKUP(F135,PL!$B$9:$BH$818,52,FALSE)</f>
        <v>-</v>
      </c>
      <c r="AT135" s="309"/>
      <c r="AU135" s="309"/>
      <c r="AV135" s="309"/>
      <c r="AW135" s="309"/>
      <c r="AX135" s="309"/>
      <c r="AY135" s="309"/>
      <c r="AZ135" s="309"/>
      <c r="BA135" s="309"/>
      <c r="BB135" s="309"/>
      <c r="BC135" s="309"/>
      <c r="BD135" s="309"/>
      <c r="BE135" s="309"/>
      <c r="BF135" s="309"/>
      <c r="BG135" s="309"/>
      <c r="BH135" s="309"/>
      <c r="BI135" s="124"/>
      <c r="BK135" s="310">
        <f>IF($AL$35="Included",IF(BA25=0,0,(ROUNDUP(BA25/5.7,0)-1)*2)+IF(X25=0,0,(ROUNDUP(X25/5.7,0)-1)*2),0)</f>
        <v>0</v>
      </c>
      <c r="BL135" s="311"/>
      <c r="BM135" s="311"/>
      <c r="BN135" s="312"/>
      <c r="BO135" s="313"/>
      <c r="BP135" s="313"/>
      <c r="BQ135" s="313"/>
      <c r="BR135" s="313"/>
      <c r="BS135" s="313"/>
      <c r="BT135" s="313"/>
      <c r="BU135" s="313"/>
      <c r="BV135" s="313"/>
      <c r="BW135" s="79"/>
    </row>
    <row r="136" spans="1:88" ht="7.4" customHeight="1" x14ac:dyDescent="0.5">
      <c r="A136" s="42"/>
      <c r="B136" s="311"/>
      <c r="C136" s="311"/>
      <c r="D136" s="41"/>
      <c r="E136" s="42"/>
      <c r="F136" s="319"/>
      <c r="G136" s="319"/>
      <c r="H136" s="319"/>
      <c r="I136" s="319"/>
      <c r="J136" s="319"/>
      <c r="K136" s="319"/>
      <c r="L136" s="319"/>
      <c r="M136" s="319"/>
      <c r="N136" s="319"/>
      <c r="O136" s="319"/>
      <c r="P136" s="319"/>
      <c r="Q136" s="320"/>
      <c r="R136" s="42"/>
      <c r="S136" s="316"/>
      <c r="T136" s="316"/>
      <c r="U136" s="316"/>
      <c r="V136" s="316"/>
      <c r="W136" s="316"/>
      <c r="X136" s="316"/>
      <c r="Y136" s="316"/>
      <c r="Z136" s="316"/>
      <c r="AA136" s="316"/>
      <c r="AB136" s="316"/>
      <c r="AC136" s="316"/>
      <c r="AD136" s="316"/>
      <c r="AE136" s="316"/>
      <c r="AF136" s="316"/>
      <c r="AG136" s="316"/>
      <c r="AH136" s="316"/>
      <c r="AI136" s="316"/>
      <c r="AJ136" s="317"/>
      <c r="AK136" s="42"/>
      <c r="AL136" s="311"/>
      <c r="AM136" s="311"/>
      <c r="AN136" s="311"/>
      <c r="AO136" s="311"/>
      <c r="AP136" s="311"/>
      <c r="AR136" s="128"/>
      <c r="AS136" s="309"/>
      <c r="AT136" s="309"/>
      <c r="AU136" s="309"/>
      <c r="AV136" s="309"/>
      <c r="AW136" s="309"/>
      <c r="AX136" s="309"/>
      <c r="AY136" s="309"/>
      <c r="AZ136" s="309"/>
      <c r="BA136" s="309"/>
      <c r="BB136" s="309"/>
      <c r="BC136" s="309"/>
      <c r="BD136" s="309"/>
      <c r="BE136" s="309"/>
      <c r="BF136" s="309"/>
      <c r="BG136" s="309"/>
      <c r="BH136" s="309"/>
      <c r="BI136" s="124"/>
      <c r="BK136" s="310"/>
      <c r="BL136" s="311"/>
      <c r="BM136" s="311"/>
      <c r="BN136" s="312"/>
      <c r="BO136" s="313"/>
      <c r="BP136" s="313"/>
      <c r="BQ136" s="313"/>
      <c r="BR136" s="313"/>
      <c r="BS136" s="313"/>
      <c r="BT136" s="313"/>
      <c r="BU136" s="313"/>
      <c r="BV136" s="313"/>
      <c r="BW136" s="79"/>
    </row>
    <row r="137" spans="1:88" s="117" customFormat="1" ht="7.4" customHeight="1" x14ac:dyDescent="0.5">
      <c r="A137" s="113"/>
      <c r="B137" s="114"/>
      <c r="C137" s="114"/>
      <c r="D137" s="115"/>
      <c r="E137" s="113"/>
      <c r="F137" s="56"/>
      <c r="G137" s="56"/>
      <c r="H137" s="56"/>
      <c r="I137" s="56"/>
      <c r="J137" s="56"/>
      <c r="K137" s="56"/>
      <c r="L137" s="56"/>
      <c r="M137" s="56"/>
      <c r="N137" s="56"/>
      <c r="O137" s="56"/>
      <c r="P137" s="56"/>
      <c r="Q137" s="115"/>
      <c r="R137" s="113"/>
      <c r="S137" s="116" t="str">
        <f>VLOOKUP(F135,PL!$B$9:$BH$1265,33,FALSE)</f>
        <v>.</v>
      </c>
      <c r="AJ137" s="115"/>
      <c r="AK137" s="113"/>
      <c r="AL137" s="118"/>
      <c r="AM137" s="118"/>
      <c r="AN137" s="118"/>
      <c r="AO137" s="118"/>
      <c r="AP137" s="118"/>
      <c r="AR137" s="113"/>
      <c r="AS137" s="282"/>
      <c r="AT137" s="282"/>
      <c r="AU137" s="282"/>
      <c r="AV137" s="282"/>
      <c r="AW137" s="282"/>
      <c r="AX137" s="282"/>
      <c r="AY137" s="283"/>
      <c r="AZ137" s="283"/>
      <c r="BA137" s="282"/>
      <c r="BB137" s="282"/>
      <c r="BC137" s="282"/>
      <c r="BD137" s="282"/>
      <c r="BE137" s="282"/>
      <c r="BF137" s="282"/>
      <c r="BG137" s="282"/>
      <c r="BH137" s="282"/>
      <c r="BI137" s="125"/>
      <c r="BK137" s="310"/>
      <c r="BL137" s="311"/>
      <c r="BM137" s="311"/>
      <c r="BN137" s="312"/>
      <c r="BO137" s="313"/>
      <c r="BP137" s="313"/>
      <c r="BQ137" s="313"/>
      <c r="BR137" s="313"/>
      <c r="BS137" s="313"/>
      <c r="BT137" s="313"/>
      <c r="BU137" s="313"/>
      <c r="BV137" s="313"/>
      <c r="BW137" s="79"/>
    </row>
    <row r="138" spans="1:88" ht="7.4" customHeight="1" x14ac:dyDescent="0.5">
      <c r="A138" s="42"/>
      <c r="B138" s="55"/>
      <c r="C138" s="55"/>
      <c r="D138" s="41"/>
      <c r="E138" s="42"/>
      <c r="F138" s="56"/>
      <c r="G138" s="56"/>
      <c r="H138" s="56"/>
      <c r="I138" s="56"/>
      <c r="J138" s="56"/>
      <c r="K138" s="56"/>
      <c r="L138" s="56"/>
      <c r="M138" s="56"/>
      <c r="N138" s="56"/>
      <c r="O138" s="56"/>
      <c r="P138" s="56"/>
      <c r="Q138" s="41"/>
      <c r="R138" s="42"/>
      <c r="S138" s="49"/>
      <c r="AJ138" s="44"/>
      <c r="AK138" s="42"/>
      <c r="AL138" s="75"/>
      <c r="AM138" s="75"/>
      <c r="AN138" s="75"/>
      <c r="AO138" s="75"/>
      <c r="AP138" s="75"/>
      <c r="AQ138" s="43"/>
      <c r="AR138" s="42"/>
      <c r="AS138" s="282"/>
      <c r="AT138" s="282"/>
      <c r="AU138" s="282"/>
      <c r="AV138" s="282"/>
      <c r="AW138" s="282"/>
      <c r="AX138" s="282"/>
      <c r="AY138" s="284"/>
      <c r="AZ138" s="191"/>
      <c r="BA138" s="282"/>
      <c r="BB138" s="282"/>
      <c r="BC138" s="282"/>
      <c r="BD138" s="282"/>
      <c r="BE138" s="282"/>
      <c r="BF138" s="282"/>
      <c r="BG138" s="282"/>
      <c r="BH138" s="282"/>
      <c r="BI138" s="124"/>
      <c r="BK138" s="42"/>
      <c r="BN138" s="41"/>
      <c r="BO138" s="313"/>
      <c r="BP138" s="313"/>
      <c r="BQ138" s="313"/>
      <c r="BR138" s="313"/>
      <c r="BS138" s="313"/>
      <c r="BT138" s="313"/>
      <c r="BU138" s="313"/>
      <c r="BV138" s="313"/>
      <c r="BW138" s="105"/>
    </row>
    <row r="139" spans="1:88" ht="7.4" customHeight="1" x14ac:dyDescent="0.5">
      <c r="A139" s="42"/>
      <c r="B139" s="311">
        <f>B135+1</f>
        <v>7</v>
      </c>
      <c r="C139" s="311"/>
      <c r="D139" s="41"/>
      <c r="E139" s="42"/>
      <c r="F139" s="319" t="str">
        <f>IF(AL139=0,"N/A","AXE_WC_8_AL")</f>
        <v>AXE_WC_8_AL</v>
      </c>
      <c r="G139" s="319"/>
      <c r="H139" s="319"/>
      <c r="I139" s="319"/>
      <c r="J139" s="319"/>
      <c r="K139" s="319"/>
      <c r="L139" s="319"/>
      <c r="M139" s="319"/>
      <c r="N139" s="319"/>
      <c r="O139" s="319"/>
      <c r="P139" s="319"/>
      <c r="Q139" s="320"/>
      <c r="R139" s="42"/>
      <c r="S139" s="316" t="str">
        <f>VLOOKUP(F139,PL!$B$9:$BH$862,14,FALSE)</f>
        <v>Clamp Washer</v>
      </c>
      <c r="T139" s="316"/>
      <c r="U139" s="316"/>
      <c r="V139" s="316"/>
      <c r="W139" s="316"/>
      <c r="X139" s="316"/>
      <c r="Y139" s="316"/>
      <c r="Z139" s="316"/>
      <c r="AA139" s="316"/>
      <c r="AB139" s="316"/>
      <c r="AC139" s="316"/>
      <c r="AD139" s="316"/>
      <c r="AE139" s="316"/>
      <c r="AF139" s="316"/>
      <c r="AG139" s="316"/>
      <c r="AH139" s="316"/>
      <c r="AI139" s="316"/>
      <c r="AJ139" s="317"/>
      <c r="AK139" s="42"/>
      <c r="AL139" s="311">
        <f>ROUND(BK139*(1+$H$36),0)</f>
        <v>42</v>
      </c>
      <c r="AM139" s="311"/>
      <c r="AN139" s="311"/>
      <c r="AO139" s="311"/>
      <c r="AP139" s="311"/>
      <c r="AR139" s="128"/>
      <c r="AS139" s="308" t="str">
        <f>VLOOKUP(F139,PL!$B$9:$BH$818,52,FALSE)</f>
        <v>SOL-6076</v>
      </c>
      <c r="AT139" s="309"/>
      <c r="AU139" s="309"/>
      <c r="AV139" s="309"/>
      <c r="AW139" s="309"/>
      <c r="AX139" s="309"/>
      <c r="AY139" s="309"/>
      <c r="AZ139" s="309"/>
      <c r="BA139" s="309"/>
      <c r="BB139" s="309"/>
      <c r="BC139" s="309"/>
      <c r="BD139" s="309"/>
      <c r="BE139" s="309"/>
      <c r="BF139" s="309"/>
      <c r="BG139" s="309"/>
      <c r="BH139" s="309"/>
      <c r="BI139" s="124"/>
      <c r="BK139" s="310">
        <f>BK127+BK131</f>
        <v>40</v>
      </c>
      <c r="BL139" s="311"/>
      <c r="BM139" s="311"/>
      <c r="BN139" s="312"/>
      <c r="BO139" s="313"/>
      <c r="BP139" s="313"/>
      <c r="BQ139" s="313"/>
      <c r="BR139" s="313"/>
      <c r="BS139" s="313"/>
      <c r="BT139" s="313"/>
      <c r="BU139" s="313"/>
      <c r="BV139" s="313"/>
      <c r="BW139" s="79"/>
    </row>
    <row r="140" spans="1:88" ht="7.4" customHeight="1" x14ac:dyDescent="0.5">
      <c r="A140" s="42"/>
      <c r="B140" s="311"/>
      <c r="C140" s="311"/>
      <c r="D140" s="41"/>
      <c r="E140" s="42"/>
      <c r="F140" s="319"/>
      <c r="G140" s="319"/>
      <c r="H140" s="319"/>
      <c r="I140" s="319"/>
      <c r="J140" s="319"/>
      <c r="K140" s="319"/>
      <c r="L140" s="319"/>
      <c r="M140" s="319"/>
      <c r="N140" s="319"/>
      <c r="O140" s="319"/>
      <c r="P140" s="319"/>
      <c r="Q140" s="320"/>
      <c r="R140" s="42"/>
      <c r="S140" s="316"/>
      <c r="T140" s="316"/>
      <c r="U140" s="316"/>
      <c r="V140" s="316"/>
      <c r="W140" s="316"/>
      <c r="X140" s="316"/>
      <c r="Y140" s="316"/>
      <c r="Z140" s="316"/>
      <c r="AA140" s="316"/>
      <c r="AB140" s="316"/>
      <c r="AC140" s="316"/>
      <c r="AD140" s="316"/>
      <c r="AE140" s="316"/>
      <c r="AF140" s="316"/>
      <c r="AG140" s="316"/>
      <c r="AH140" s="316"/>
      <c r="AI140" s="316"/>
      <c r="AJ140" s="317"/>
      <c r="AK140" s="42"/>
      <c r="AL140" s="311"/>
      <c r="AM140" s="311"/>
      <c r="AN140" s="311"/>
      <c r="AO140" s="311"/>
      <c r="AP140" s="311"/>
      <c r="AR140" s="128"/>
      <c r="AS140" s="309"/>
      <c r="AT140" s="309"/>
      <c r="AU140" s="309"/>
      <c r="AV140" s="309"/>
      <c r="AW140" s="309"/>
      <c r="AX140" s="309"/>
      <c r="AY140" s="309"/>
      <c r="AZ140" s="309"/>
      <c r="BA140" s="309"/>
      <c r="BB140" s="309"/>
      <c r="BC140" s="309"/>
      <c r="BD140" s="309"/>
      <c r="BE140" s="309"/>
      <c r="BF140" s="309"/>
      <c r="BG140" s="309"/>
      <c r="BH140" s="309"/>
      <c r="BI140" s="124"/>
      <c r="BK140" s="310"/>
      <c r="BL140" s="311"/>
      <c r="BM140" s="311"/>
      <c r="BN140" s="312"/>
      <c r="BO140" s="313"/>
      <c r="BP140" s="313"/>
      <c r="BQ140" s="313"/>
      <c r="BR140" s="313"/>
      <c r="BS140" s="313"/>
      <c r="BT140" s="313"/>
      <c r="BU140" s="313"/>
      <c r="BV140" s="313"/>
      <c r="BW140" s="79"/>
    </row>
    <row r="141" spans="1:88" s="117" customFormat="1" ht="7.4" customHeight="1" x14ac:dyDescent="0.5">
      <c r="A141" s="113"/>
      <c r="B141" s="114"/>
      <c r="C141" s="114"/>
      <c r="D141" s="115"/>
      <c r="E141" s="113"/>
      <c r="F141" s="56"/>
      <c r="G141" s="56"/>
      <c r="H141" s="56"/>
      <c r="I141" s="56"/>
      <c r="J141" s="56"/>
      <c r="K141" s="56"/>
      <c r="L141" s="56"/>
      <c r="M141" s="56"/>
      <c r="N141" s="56"/>
      <c r="O141" s="56"/>
      <c r="P141" s="56"/>
      <c r="Q141" s="115"/>
      <c r="R141" s="113"/>
      <c r="S141" s="116" t="str">
        <f>VLOOKUP(F139,PL!$B$9:$BH$1265,33,FALSE)</f>
        <v>Aluminium, Walkway, M8</v>
      </c>
      <c r="AJ141" s="115"/>
      <c r="AK141" s="113"/>
      <c r="AL141" s="118"/>
      <c r="AM141" s="118"/>
      <c r="AN141" s="118"/>
      <c r="AO141" s="118"/>
      <c r="AP141" s="118"/>
      <c r="AR141" s="113"/>
      <c r="AS141" s="282"/>
      <c r="AT141" s="282"/>
      <c r="AU141" s="282"/>
      <c r="AV141" s="282"/>
      <c r="AW141" s="282"/>
      <c r="AX141" s="282"/>
      <c r="AY141" s="283"/>
      <c r="AZ141" s="283"/>
      <c r="BA141" s="282"/>
      <c r="BB141" s="282"/>
      <c r="BC141" s="282"/>
      <c r="BD141" s="282"/>
      <c r="BE141" s="282"/>
      <c r="BF141" s="282"/>
      <c r="BG141" s="282"/>
      <c r="BH141" s="282"/>
      <c r="BI141" s="125"/>
      <c r="BK141" s="310"/>
      <c r="BL141" s="311"/>
      <c r="BM141" s="311"/>
      <c r="BN141" s="312"/>
      <c r="BO141" s="313"/>
      <c r="BP141" s="313"/>
      <c r="BQ141" s="313"/>
      <c r="BR141" s="313"/>
      <c r="BS141" s="313"/>
      <c r="BT141" s="313"/>
      <c r="BU141" s="313"/>
      <c r="BV141" s="313"/>
      <c r="BW141" s="79"/>
    </row>
    <row r="142" spans="1:88" ht="7.4" customHeight="1" x14ac:dyDescent="0.5">
      <c r="A142" s="42"/>
      <c r="D142" s="41"/>
      <c r="E142" s="42"/>
      <c r="F142" s="56"/>
      <c r="G142" s="56"/>
      <c r="H142" s="56"/>
      <c r="I142" s="56"/>
      <c r="J142" s="56"/>
      <c r="K142" s="56"/>
      <c r="L142" s="56"/>
      <c r="M142" s="56"/>
      <c r="N142" s="56"/>
      <c r="O142" s="56"/>
      <c r="P142" s="56"/>
      <c r="Q142" s="41"/>
      <c r="R142" s="42"/>
      <c r="S142" s="49"/>
      <c r="AJ142" s="41"/>
      <c r="AK142" s="42"/>
      <c r="AL142" s="75"/>
      <c r="AM142" s="75"/>
      <c r="AN142" s="75"/>
      <c r="AO142" s="75"/>
      <c r="AP142" s="75"/>
      <c r="AR142" s="42"/>
      <c r="AS142" s="282"/>
      <c r="AT142" s="282"/>
      <c r="AU142" s="282"/>
      <c r="AV142" s="282"/>
      <c r="AW142" s="282"/>
      <c r="AX142" s="282"/>
      <c r="AY142" s="191"/>
      <c r="AZ142" s="191"/>
      <c r="BA142" s="282"/>
      <c r="BB142" s="282"/>
      <c r="BC142" s="282"/>
      <c r="BD142" s="282"/>
      <c r="BE142" s="282"/>
      <c r="BF142" s="282"/>
      <c r="BG142" s="282"/>
      <c r="BH142" s="282"/>
      <c r="BI142" s="41"/>
      <c r="BK142" s="42"/>
      <c r="BN142" s="41"/>
      <c r="BO142" s="313"/>
      <c r="BP142" s="313"/>
      <c r="BQ142" s="313"/>
      <c r="BR142" s="313"/>
      <c r="BS142" s="313"/>
      <c r="BT142" s="313"/>
      <c r="BU142" s="313"/>
      <c r="BV142" s="313"/>
      <c r="BW142" s="105"/>
    </row>
    <row r="143" spans="1:88" ht="7.4" customHeight="1" x14ac:dyDescent="0.5">
      <c r="A143" s="42"/>
      <c r="B143" s="311">
        <f>B139+1</f>
        <v>8</v>
      </c>
      <c r="C143" s="311"/>
      <c r="D143" s="41"/>
      <c r="E143" s="42"/>
      <c r="F143" s="319" t="str">
        <f>IF(AL143=0,"N/A","AXE_CS_8_20_SS")</f>
        <v>AXE_CS_8_20_SS</v>
      </c>
      <c r="G143" s="319"/>
      <c r="H143" s="319"/>
      <c r="I143" s="319"/>
      <c r="J143" s="319"/>
      <c r="K143" s="319"/>
      <c r="L143" s="319"/>
      <c r="M143" s="319"/>
      <c r="N143" s="319"/>
      <c r="O143" s="319"/>
      <c r="P143" s="319"/>
      <c r="Q143" s="320"/>
      <c r="R143" s="42"/>
      <c r="S143" s="316" t="str">
        <f>VLOOKUP(F143,PL!$B$9:$BH$862,14,FALSE)</f>
        <v>Cap Screws Hexagon</v>
      </c>
      <c r="T143" s="316"/>
      <c r="U143" s="316"/>
      <c r="V143" s="316"/>
      <c r="W143" s="316"/>
      <c r="X143" s="316"/>
      <c r="Y143" s="316"/>
      <c r="Z143" s="316"/>
      <c r="AA143" s="316"/>
      <c r="AB143" s="316"/>
      <c r="AC143" s="316"/>
      <c r="AD143" s="316"/>
      <c r="AE143" s="316"/>
      <c r="AF143" s="316"/>
      <c r="AG143" s="316"/>
      <c r="AH143" s="316"/>
      <c r="AI143" s="316"/>
      <c r="AJ143" s="317"/>
      <c r="AK143" s="42"/>
      <c r="AL143" s="311">
        <f>ROUND(BK143*(1+$H$36),0)</f>
        <v>21</v>
      </c>
      <c r="AM143" s="311"/>
      <c r="AN143" s="311"/>
      <c r="AO143" s="311"/>
      <c r="AP143" s="311"/>
      <c r="AR143" s="128"/>
      <c r="AS143" s="308" t="str">
        <f>VLOOKUP(F143,PL!$B$9:$BH$818,52,FALSE)</f>
        <v>SOL-59506</v>
      </c>
      <c r="AT143" s="309"/>
      <c r="AU143" s="309"/>
      <c r="AV143" s="309"/>
      <c r="AW143" s="309"/>
      <c r="AX143" s="309"/>
      <c r="AY143" s="309"/>
      <c r="AZ143" s="309"/>
      <c r="BA143" s="309"/>
      <c r="BB143" s="309"/>
      <c r="BC143" s="309"/>
      <c r="BD143" s="309"/>
      <c r="BE143" s="309"/>
      <c r="BF143" s="309"/>
      <c r="BG143" s="309"/>
      <c r="BH143" s="309"/>
      <c r="BI143" s="124"/>
      <c r="BK143" s="310">
        <f>IF($X$28&gt;0,BK131,0)+IF(OR(MID(F131,8,4)="PF_H",MID(F131,8,4)="RF_H"),BK131,0)+BK127</f>
        <v>20</v>
      </c>
      <c r="BL143" s="311"/>
      <c r="BM143" s="311"/>
      <c r="BN143" s="312"/>
      <c r="BO143" s="313"/>
      <c r="BP143" s="313"/>
      <c r="BQ143" s="313"/>
      <c r="BR143" s="313"/>
      <c r="BS143" s="313"/>
      <c r="BT143" s="313"/>
      <c r="BU143" s="313"/>
      <c r="BV143" s="313"/>
      <c r="BW143" s="79"/>
    </row>
    <row r="144" spans="1:88" ht="7.4" customHeight="1" x14ac:dyDescent="0.5">
      <c r="A144" s="42"/>
      <c r="B144" s="311"/>
      <c r="C144" s="311"/>
      <c r="D144" s="41"/>
      <c r="E144" s="42"/>
      <c r="F144" s="319"/>
      <c r="G144" s="319"/>
      <c r="H144" s="319"/>
      <c r="I144" s="319"/>
      <c r="J144" s="319"/>
      <c r="K144" s="319"/>
      <c r="L144" s="319"/>
      <c r="M144" s="319"/>
      <c r="N144" s="319"/>
      <c r="O144" s="319"/>
      <c r="P144" s="319"/>
      <c r="Q144" s="320"/>
      <c r="R144" s="42"/>
      <c r="S144" s="316"/>
      <c r="T144" s="316"/>
      <c r="U144" s="316"/>
      <c r="V144" s="316"/>
      <c r="W144" s="316"/>
      <c r="X144" s="316"/>
      <c r="Y144" s="316"/>
      <c r="Z144" s="316"/>
      <c r="AA144" s="316"/>
      <c r="AB144" s="316"/>
      <c r="AC144" s="316"/>
      <c r="AD144" s="316"/>
      <c r="AE144" s="316"/>
      <c r="AF144" s="316"/>
      <c r="AG144" s="316"/>
      <c r="AH144" s="316"/>
      <c r="AI144" s="316"/>
      <c r="AJ144" s="317"/>
      <c r="AK144" s="42"/>
      <c r="AL144" s="311"/>
      <c r="AM144" s="311"/>
      <c r="AN144" s="311"/>
      <c r="AO144" s="311"/>
      <c r="AP144" s="311"/>
      <c r="AR144" s="128"/>
      <c r="AS144" s="309"/>
      <c r="AT144" s="309"/>
      <c r="AU144" s="309"/>
      <c r="AV144" s="309"/>
      <c r="AW144" s="309"/>
      <c r="AX144" s="309"/>
      <c r="AY144" s="309"/>
      <c r="AZ144" s="309"/>
      <c r="BA144" s="309"/>
      <c r="BB144" s="309"/>
      <c r="BC144" s="309"/>
      <c r="BD144" s="309"/>
      <c r="BE144" s="309"/>
      <c r="BF144" s="309"/>
      <c r="BG144" s="309"/>
      <c r="BH144" s="309"/>
      <c r="BI144" s="124"/>
      <c r="BK144" s="310"/>
      <c r="BL144" s="311"/>
      <c r="BM144" s="311"/>
      <c r="BN144" s="312"/>
      <c r="BO144" s="313"/>
      <c r="BP144" s="313"/>
      <c r="BQ144" s="313"/>
      <c r="BR144" s="313"/>
      <c r="BS144" s="313"/>
      <c r="BT144" s="313"/>
      <c r="BU144" s="313"/>
      <c r="BV144" s="313"/>
      <c r="BW144" s="79"/>
    </row>
    <row r="145" spans="1:75" s="117" customFormat="1" ht="7.4" customHeight="1" x14ac:dyDescent="0.5">
      <c r="A145" s="113"/>
      <c r="B145" s="114"/>
      <c r="C145" s="114"/>
      <c r="D145" s="115"/>
      <c r="E145" s="113"/>
      <c r="F145" s="56"/>
      <c r="G145" s="56"/>
      <c r="H145" s="56"/>
      <c r="I145" s="56"/>
      <c r="J145" s="56"/>
      <c r="K145" s="56"/>
      <c r="L145" s="56"/>
      <c r="M145" s="56"/>
      <c r="N145" s="56"/>
      <c r="O145" s="56"/>
      <c r="P145" s="56"/>
      <c r="Q145" s="115"/>
      <c r="R145" s="113"/>
      <c r="S145" s="116" t="str">
        <f>VLOOKUP(F143,PL!$B$9:$BH$1265,33,FALSE)</f>
        <v>Stainless Steel, M8x20</v>
      </c>
      <c r="AJ145" s="115"/>
      <c r="AK145" s="113"/>
      <c r="AL145" s="118"/>
      <c r="AM145" s="118"/>
      <c r="AN145" s="118"/>
      <c r="AO145" s="118"/>
      <c r="AP145" s="118"/>
      <c r="AR145" s="113"/>
      <c r="AS145" s="282"/>
      <c r="AT145" s="282"/>
      <c r="AU145" s="282"/>
      <c r="AV145" s="282"/>
      <c r="AW145" s="282"/>
      <c r="AX145" s="282"/>
      <c r="AY145" s="283"/>
      <c r="AZ145" s="283"/>
      <c r="BA145" s="282"/>
      <c r="BB145" s="282"/>
      <c r="BC145" s="282"/>
      <c r="BD145" s="282"/>
      <c r="BE145" s="282"/>
      <c r="BF145" s="282"/>
      <c r="BG145" s="282"/>
      <c r="BH145" s="282"/>
      <c r="BI145" s="125"/>
      <c r="BK145" s="310"/>
      <c r="BL145" s="311"/>
      <c r="BM145" s="311"/>
      <c r="BN145" s="312"/>
      <c r="BO145" s="313"/>
      <c r="BP145" s="313"/>
      <c r="BQ145" s="313"/>
      <c r="BR145" s="313"/>
      <c r="BS145" s="313"/>
      <c r="BT145" s="313"/>
      <c r="BU145" s="313"/>
      <c r="BV145" s="313"/>
      <c r="BW145" s="79"/>
    </row>
    <row r="146" spans="1:75" ht="7.4" customHeight="1" x14ac:dyDescent="0.5">
      <c r="A146" s="42"/>
      <c r="D146" s="41"/>
      <c r="E146" s="42"/>
      <c r="F146" s="56"/>
      <c r="G146" s="56"/>
      <c r="H146" s="56"/>
      <c r="I146" s="56"/>
      <c r="J146" s="56"/>
      <c r="K146" s="56"/>
      <c r="L146" s="56"/>
      <c r="M146" s="56"/>
      <c r="N146" s="56"/>
      <c r="O146" s="56"/>
      <c r="P146" s="56"/>
      <c r="Q146" s="41"/>
      <c r="R146" s="42"/>
      <c r="S146" s="49"/>
      <c r="AJ146" s="41"/>
      <c r="AK146" s="42"/>
      <c r="AL146" s="75"/>
      <c r="AM146" s="75"/>
      <c r="AN146" s="75"/>
      <c r="AO146" s="75"/>
      <c r="AP146" s="75"/>
      <c r="AR146" s="42"/>
      <c r="AS146" s="282"/>
      <c r="AT146" s="282"/>
      <c r="AU146" s="282"/>
      <c r="AV146" s="282"/>
      <c r="AW146" s="282"/>
      <c r="AX146" s="282"/>
      <c r="AY146" s="191"/>
      <c r="AZ146" s="191"/>
      <c r="BA146" s="282"/>
      <c r="BB146" s="282"/>
      <c r="BC146" s="282"/>
      <c r="BD146" s="282"/>
      <c r="BE146" s="282"/>
      <c r="BF146" s="282"/>
      <c r="BG146" s="282"/>
      <c r="BH146" s="282"/>
      <c r="BI146" s="41"/>
      <c r="BK146" s="42"/>
      <c r="BN146" s="41"/>
      <c r="BO146" s="313"/>
      <c r="BP146" s="313"/>
      <c r="BQ146" s="313"/>
      <c r="BR146" s="313"/>
      <c r="BS146" s="313"/>
      <c r="BT146" s="313"/>
      <c r="BU146" s="313"/>
      <c r="BV146" s="313"/>
      <c r="BW146" s="105"/>
    </row>
    <row r="147" spans="1:75" ht="7.4" customHeight="1" x14ac:dyDescent="0.5">
      <c r="A147" s="42"/>
      <c r="B147" s="311">
        <f>B143+1</f>
        <v>9</v>
      </c>
      <c r="C147" s="311"/>
      <c r="D147" s="41"/>
      <c r="E147" s="42"/>
      <c r="F147" s="319" t="str">
        <f>IF(AL147=0,"N/A","AXE_CS_8_25_SS")</f>
        <v>AXE_CS_8_25_SS</v>
      </c>
      <c r="G147" s="319"/>
      <c r="H147" s="319"/>
      <c r="I147" s="319"/>
      <c r="J147" s="319"/>
      <c r="K147" s="319"/>
      <c r="L147" s="319"/>
      <c r="M147" s="319"/>
      <c r="N147" s="319"/>
      <c r="O147" s="319"/>
      <c r="P147" s="319"/>
      <c r="Q147" s="320"/>
      <c r="R147" s="42"/>
      <c r="S147" s="316" t="str">
        <f>VLOOKUP(F147,PL!$B$9:$BH$862,14,FALSE)</f>
        <v>Cap Screws Hexagon</v>
      </c>
      <c r="T147" s="316"/>
      <c r="U147" s="316"/>
      <c r="V147" s="316"/>
      <c r="W147" s="316"/>
      <c r="X147" s="316"/>
      <c r="Y147" s="316"/>
      <c r="Z147" s="316"/>
      <c r="AA147" s="316"/>
      <c r="AB147" s="316"/>
      <c r="AC147" s="316"/>
      <c r="AD147" s="316"/>
      <c r="AE147" s="316"/>
      <c r="AF147" s="316"/>
      <c r="AG147" s="316"/>
      <c r="AH147" s="316"/>
      <c r="AI147" s="316"/>
      <c r="AJ147" s="317"/>
      <c r="AK147" s="42"/>
      <c r="AL147" s="311">
        <f>ROUND(BK147*(1+$H$36),0)</f>
        <v>21</v>
      </c>
      <c r="AM147" s="311"/>
      <c r="AN147" s="311"/>
      <c r="AO147" s="311"/>
      <c r="AP147" s="311"/>
      <c r="AR147" s="128"/>
      <c r="AS147" s="308" t="str">
        <f>VLOOKUP(F147,PL!$B$9:$BH$818,52,FALSE)</f>
        <v>SOL-59501</v>
      </c>
      <c r="AT147" s="309"/>
      <c r="AU147" s="309"/>
      <c r="AV147" s="309"/>
      <c r="AW147" s="309"/>
      <c r="AX147" s="309"/>
      <c r="AY147" s="309"/>
      <c r="AZ147" s="309"/>
      <c r="BA147" s="309"/>
      <c r="BB147" s="309"/>
      <c r="BC147" s="309"/>
      <c r="BD147" s="309"/>
      <c r="BE147" s="309"/>
      <c r="BF147" s="309"/>
      <c r="BG147" s="309"/>
      <c r="BH147" s="309"/>
      <c r="BI147" s="124"/>
      <c r="BK147" s="310">
        <f>IF(OR(MID(F131,8,4)="PF_H",MID(F131,8,4)="RF_H"),0,BK131)+BK135*4</f>
        <v>20</v>
      </c>
      <c r="BL147" s="311"/>
      <c r="BM147" s="311"/>
      <c r="BN147" s="312"/>
      <c r="BO147" s="313"/>
      <c r="BP147" s="313"/>
      <c r="BQ147" s="313"/>
      <c r="BR147" s="313"/>
      <c r="BS147" s="313"/>
      <c r="BT147" s="313"/>
      <c r="BU147" s="313"/>
      <c r="BV147" s="313"/>
      <c r="BW147" s="79"/>
    </row>
    <row r="148" spans="1:75" ht="7.4" customHeight="1" x14ac:dyDescent="0.5">
      <c r="A148" s="42"/>
      <c r="B148" s="311"/>
      <c r="C148" s="311"/>
      <c r="D148" s="41"/>
      <c r="E148" s="42"/>
      <c r="F148" s="319"/>
      <c r="G148" s="319"/>
      <c r="H148" s="319"/>
      <c r="I148" s="319"/>
      <c r="J148" s="319"/>
      <c r="K148" s="319"/>
      <c r="L148" s="319"/>
      <c r="M148" s="319"/>
      <c r="N148" s="319"/>
      <c r="O148" s="319"/>
      <c r="P148" s="319"/>
      <c r="Q148" s="320"/>
      <c r="R148" s="42"/>
      <c r="S148" s="316"/>
      <c r="T148" s="316"/>
      <c r="U148" s="316"/>
      <c r="V148" s="316"/>
      <c r="W148" s="316"/>
      <c r="X148" s="316"/>
      <c r="Y148" s="316"/>
      <c r="Z148" s="316"/>
      <c r="AA148" s="316"/>
      <c r="AB148" s="316"/>
      <c r="AC148" s="316"/>
      <c r="AD148" s="316"/>
      <c r="AE148" s="316"/>
      <c r="AF148" s="316"/>
      <c r="AG148" s="316"/>
      <c r="AH148" s="316"/>
      <c r="AI148" s="316"/>
      <c r="AJ148" s="317"/>
      <c r="AK148" s="42"/>
      <c r="AL148" s="311"/>
      <c r="AM148" s="311"/>
      <c r="AN148" s="311"/>
      <c r="AO148" s="311"/>
      <c r="AP148" s="311"/>
      <c r="AR148" s="128"/>
      <c r="AS148" s="309"/>
      <c r="AT148" s="309"/>
      <c r="AU148" s="309"/>
      <c r="AV148" s="309"/>
      <c r="AW148" s="309"/>
      <c r="AX148" s="309"/>
      <c r="AY148" s="309"/>
      <c r="AZ148" s="309"/>
      <c r="BA148" s="309"/>
      <c r="BB148" s="309"/>
      <c r="BC148" s="309"/>
      <c r="BD148" s="309"/>
      <c r="BE148" s="309"/>
      <c r="BF148" s="309"/>
      <c r="BG148" s="309"/>
      <c r="BH148" s="309"/>
      <c r="BI148" s="124"/>
      <c r="BK148" s="310"/>
      <c r="BL148" s="311"/>
      <c r="BM148" s="311"/>
      <c r="BN148" s="312"/>
      <c r="BO148" s="313"/>
      <c r="BP148" s="313"/>
      <c r="BQ148" s="313"/>
      <c r="BR148" s="313"/>
      <c r="BS148" s="313"/>
      <c r="BT148" s="313"/>
      <c r="BU148" s="313"/>
      <c r="BV148" s="313"/>
      <c r="BW148" s="79"/>
    </row>
    <row r="149" spans="1:75" s="117" customFormat="1" ht="7.4" customHeight="1" x14ac:dyDescent="0.5">
      <c r="A149" s="113"/>
      <c r="B149" s="114"/>
      <c r="C149" s="114"/>
      <c r="D149" s="115"/>
      <c r="E149" s="113"/>
      <c r="F149" s="56"/>
      <c r="G149" s="56"/>
      <c r="H149" s="56"/>
      <c r="I149" s="56"/>
      <c r="J149" s="56"/>
      <c r="K149" s="56"/>
      <c r="L149" s="56"/>
      <c r="M149" s="56"/>
      <c r="N149" s="56"/>
      <c r="O149" s="56"/>
      <c r="P149" s="56"/>
      <c r="Q149" s="115"/>
      <c r="R149" s="113"/>
      <c r="S149" s="116" t="str">
        <f>VLOOKUP(F147,PL!$B$9:$BH$1265,33,FALSE)</f>
        <v>Stainless Steel, M8x25</v>
      </c>
      <c r="AJ149" s="115"/>
      <c r="AK149" s="113"/>
      <c r="AL149" s="118"/>
      <c r="AM149" s="118"/>
      <c r="AN149" s="118"/>
      <c r="AO149" s="118"/>
      <c r="AP149" s="118"/>
      <c r="AR149" s="113"/>
      <c r="AS149" s="282"/>
      <c r="AT149" s="282"/>
      <c r="AU149" s="282"/>
      <c r="AV149" s="282"/>
      <c r="AW149" s="282"/>
      <c r="AX149" s="282"/>
      <c r="AY149" s="283"/>
      <c r="AZ149" s="283"/>
      <c r="BA149" s="282"/>
      <c r="BB149" s="282"/>
      <c r="BC149" s="282"/>
      <c r="BD149" s="282"/>
      <c r="BE149" s="282"/>
      <c r="BF149" s="282"/>
      <c r="BG149" s="282"/>
      <c r="BH149" s="282"/>
      <c r="BI149" s="125"/>
      <c r="BK149" s="310"/>
      <c r="BL149" s="311"/>
      <c r="BM149" s="311"/>
      <c r="BN149" s="312"/>
      <c r="BO149" s="313"/>
      <c r="BP149" s="313"/>
      <c r="BQ149" s="313"/>
      <c r="BR149" s="313"/>
      <c r="BS149" s="313"/>
      <c r="BT149" s="313"/>
      <c r="BU149" s="313"/>
      <c r="BV149" s="313"/>
      <c r="BW149" s="79"/>
    </row>
    <row r="150" spans="1:75" ht="7.4" customHeight="1" x14ac:dyDescent="0.5">
      <c r="A150" s="42"/>
      <c r="D150" s="41"/>
      <c r="E150" s="42"/>
      <c r="F150" s="56"/>
      <c r="G150" s="56"/>
      <c r="H150" s="56"/>
      <c r="I150" s="56"/>
      <c r="J150" s="56"/>
      <c r="K150" s="56"/>
      <c r="L150" s="56"/>
      <c r="M150" s="56"/>
      <c r="N150" s="56"/>
      <c r="O150" s="56"/>
      <c r="P150" s="56"/>
      <c r="Q150" s="41"/>
      <c r="R150" s="42"/>
      <c r="S150" s="49"/>
      <c r="AJ150" s="41"/>
      <c r="AK150" s="42"/>
      <c r="AL150" s="75"/>
      <c r="AM150" s="75"/>
      <c r="AN150" s="75"/>
      <c r="AO150" s="75"/>
      <c r="AP150" s="75"/>
      <c r="AR150" s="42"/>
      <c r="AS150" s="282"/>
      <c r="AT150" s="282"/>
      <c r="AU150" s="282"/>
      <c r="AV150" s="282"/>
      <c r="AW150" s="282"/>
      <c r="AX150" s="282"/>
      <c r="AY150" s="191"/>
      <c r="AZ150" s="191"/>
      <c r="BA150" s="282"/>
      <c r="BB150" s="282"/>
      <c r="BC150" s="282"/>
      <c r="BD150" s="282"/>
      <c r="BE150" s="282"/>
      <c r="BF150" s="282"/>
      <c r="BG150" s="282"/>
      <c r="BH150" s="282"/>
      <c r="BI150" s="41"/>
      <c r="BK150" s="42"/>
      <c r="BN150" s="41"/>
      <c r="BO150" s="313"/>
      <c r="BP150" s="313"/>
      <c r="BQ150" s="313"/>
      <c r="BR150" s="313"/>
      <c r="BS150" s="313"/>
      <c r="BT150" s="313"/>
      <c r="BU150" s="313"/>
      <c r="BV150" s="313"/>
      <c r="BW150" s="105"/>
    </row>
    <row r="151" spans="1:75" ht="7.4" customHeight="1" x14ac:dyDescent="0.5">
      <c r="A151" s="42"/>
      <c r="B151" s="311">
        <f>B147+1</f>
        <v>10</v>
      </c>
      <c r="C151" s="311"/>
      <c r="D151" s="41"/>
      <c r="E151" s="42"/>
      <c r="F151" s="319" t="str">
        <f>IF(AL151=0,"N/A","AXE_NST_8_PP")</f>
        <v>AXE_NST_8_PP</v>
      </c>
      <c r="G151" s="319"/>
      <c r="H151" s="319"/>
      <c r="I151" s="319"/>
      <c r="J151" s="319"/>
      <c r="K151" s="319"/>
      <c r="L151" s="319"/>
      <c r="M151" s="319"/>
      <c r="N151" s="319"/>
      <c r="O151" s="319"/>
      <c r="P151" s="319"/>
      <c r="Q151" s="320"/>
      <c r="R151" s="42"/>
      <c r="S151" s="316" t="str">
        <f>VLOOKUP(F151,PL!$B$9:$BH$862,14,FALSE)</f>
        <v>Nut Stopper</v>
      </c>
      <c r="T151" s="316"/>
      <c r="U151" s="316"/>
      <c r="V151" s="316"/>
      <c r="W151" s="316"/>
      <c r="X151" s="316"/>
      <c r="Y151" s="316"/>
      <c r="Z151" s="316"/>
      <c r="AA151" s="316"/>
      <c r="AB151" s="316"/>
      <c r="AC151" s="316"/>
      <c r="AD151" s="316"/>
      <c r="AE151" s="316"/>
      <c r="AF151" s="316"/>
      <c r="AG151" s="316"/>
      <c r="AH151" s="316"/>
      <c r="AI151" s="316"/>
      <c r="AJ151" s="317"/>
      <c r="AK151" s="42"/>
      <c r="AL151" s="311">
        <f>ROUND(BK151*(1+$H$36),0)</f>
        <v>21</v>
      </c>
      <c r="AM151" s="311"/>
      <c r="AN151" s="311"/>
      <c r="AO151" s="311"/>
      <c r="AP151" s="311"/>
      <c r="AR151" s="128"/>
      <c r="AS151" s="308" t="str">
        <f>VLOOKUP(F151,PL!$B$9:$BH$818,52,FALSE)</f>
        <v>SOL-5954</v>
      </c>
      <c r="AT151" s="309"/>
      <c r="AU151" s="309"/>
      <c r="AV151" s="309"/>
      <c r="AW151" s="309"/>
      <c r="AX151" s="309"/>
      <c r="AY151" s="309"/>
      <c r="AZ151" s="309"/>
      <c r="BA151" s="309"/>
      <c r="BB151" s="309"/>
      <c r="BC151" s="309"/>
      <c r="BD151" s="309"/>
      <c r="BE151" s="309"/>
      <c r="BF151" s="309"/>
      <c r="BG151" s="309"/>
      <c r="BH151" s="309"/>
      <c r="BI151" s="124"/>
      <c r="BK151" s="310">
        <f>IF($X$28&gt;0,BK131,IF($AA$36="Corrugated (Rib Surface)",BK131,IF($AA$36="IBR (Rib Surface)",BK131,0)))+BK127</f>
        <v>20</v>
      </c>
      <c r="BL151" s="311"/>
      <c r="BM151" s="311"/>
      <c r="BN151" s="312"/>
      <c r="BO151" s="313"/>
      <c r="BP151" s="313"/>
      <c r="BQ151" s="313"/>
      <c r="BR151" s="313"/>
      <c r="BS151" s="313"/>
      <c r="BT151" s="313"/>
      <c r="BU151" s="313"/>
      <c r="BV151" s="313"/>
      <c r="BW151" s="79"/>
    </row>
    <row r="152" spans="1:75" ht="7.4" customHeight="1" x14ac:dyDescent="0.5">
      <c r="A152" s="42"/>
      <c r="B152" s="311"/>
      <c r="C152" s="311"/>
      <c r="D152" s="41"/>
      <c r="E152" s="42"/>
      <c r="F152" s="319"/>
      <c r="G152" s="319"/>
      <c r="H152" s="319"/>
      <c r="I152" s="319"/>
      <c r="J152" s="319"/>
      <c r="K152" s="319"/>
      <c r="L152" s="319"/>
      <c r="M152" s="319"/>
      <c r="N152" s="319"/>
      <c r="O152" s="319"/>
      <c r="P152" s="319"/>
      <c r="Q152" s="320"/>
      <c r="R152" s="42"/>
      <c r="S152" s="316"/>
      <c r="T152" s="316"/>
      <c r="U152" s="316"/>
      <c r="V152" s="316"/>
      <c r="W152" s="316"/>
      <c r="X152" s="316"/>
      <c r="Y152" s="316"/>
      <c r="Z152" s="316"/>
      <c r="AA152" s="316"/>
      <c r="AB152" s="316"/>
      <c r="AC152" s="316"/>
      <c r="AD152" s="316"/>
      <c r="AE152" s="316"/>
      <c r="AF152" s="316"/>
      <c r="AG152" s="316"/>
      <c r="AH152" s="316"/>
      <c r="AI152" s="316"/>
      <c r="AJ152" s="317"/>
      <c r="AK152" s="42"/>
      <c r="AL152" s="311"/>
      <c r="AM152" s="311"/>
      <c r="AN152" s="311"/>
      <c r="AO152" s="311"/>
      <c r="AP152" s="311"/>
      <c r="AR152" s="128"/>
      <c r="AS152" s="309"/>
      <c r="AT152" s="309"/>
      <c r="AU152" s="309"/>
      <c r="AV152" s="309"/>
      <c r="AW152" s="309"/>
      <c r="AX152" s="309"/>
      <c r="AY152" s="309"/>
      <c r="AZ152" s="309"/>
      <c r="BA152" s="309"/>
      <c r="BB152" s="309"/>
      <c r="BC152" s="309"/>
      <c r="BD152" s="309"/>
      <c r="BE152" s="309"/>
      <c r="BF152" s="309"/>
      <c r="BG152" s="309"/>
      <c r="BH152" s="309"/>
      <c r="BI152" s="124"/>
      <c r="BK152" s="310"/>
      <c r="BL152" s="311"/>
      <c r="BM152" s="311"/>
      <c r="BN152" s="312"/>
      <c r="BO152" s="313"/>
      <c r="BP152" s="313"/>
      <c r="BQ152" s="313"/>
      <c r="BR152" s="313"/>
      <c r="BS152" s="313"/>
      <c r="BT152" s="313"/>
      <c r="BU152" s="313"/>
      <c r="BV152" s="313"/>
      <c r="BW152" s="79"/>
    </row>
    <row r="153" spans="1:75" s="117" customFormat="1" ht="7.4" customHeight="1" x14ac:dyDescent="0.5">
      <c r="A153" s="113"/>
      <c r="B153" s="114"/>
      <c r="C153" s="114"/>
      <c r="D153" s="115"/>
      <c r="E153" s="113"/>
      <c r="F153" s="56"/>
      <c r="G153" s="56"/>
      <c r="H153" s="56"/>
      <c r="I153" s="56"/>
      <c r="J153" s="56"/>
      <c r="K153" s="56"/>
      <c r="L153" s="56"/>
      <c r="M153" s="56"/>
      <c r="N153" s="56"/>
      <c r="O153" s="56"/>
      <c r="P153" s="56"/>
      <c r="Q153" s="115"/>
      <c r="R153" s="113"/>
      <c r="S153" s="116" t="str">
        <f>VLOOKUP(F151,PL!$B$9:$BH$1265,33,FALSE)</f>
        <v>Polypropylene Polymer, M8</v>
      </c>
      <c r="AJ153" s="115"/>
      <c r="AK153" s="113"/>
      <c r="AL153" s="108"/>
      <c r="AM153" s="108"/>
      <c r="AN153" s="108"/>
      <c r="AO153" s="108"/>
      <c r="AP153" s="108"/>
      <c r="AR153" s="113"/>
      <c r="AS153" s="282"/>
      <c r="AT153" s="282"/>
      <c r="AU153" s="282"/>
      <c r="AV153" s="282"/>
      <c r="AW153" s="282"/>
      <c r="AX153" s="282"/>
      <c r="AY153" s="283"/>
      <c r="AZ153" s="283"/>
      <c r="BA153" s="282"/>
      <c r="BB153" s="282"/>
      <c r="BC153" s="282"/>
      <c r="BD153" s="282"/>
      <c r="BE153" s="282"/>
      <c r="BF153" s="282"/>
      <c r="BG153" s="282"/>
      <c r="BH153" s="282"/>
      <c r="BI153" s="125"/>
      <c r="BK153" s="310"/>
      <c r="BL153" s="311"/>
      <c r="BM153" s="311"/>
      <c r="BN153" s="312"/>
      <c r="BO153" s="313"/>
      <c r="BP153" s="313"/>
      <c r="BQ153" s="313"/>
      <c r="BR153" s="313"/>
      <c r="BS153" s="313"/>
      <c r="BT153" s="313"/>
      <c r="BU153" s="313"/>
      <c r="BV153" s="313"/>
      <c r="BW153" s="79"/>
    </row>
    <row r="154" spans="1:75" ht="7.4" customHeight="1" x14ac:dyDescent="0.5">
      <c r="A154" s="42"/>
      <c r="D154" s="41"/>
      <c r="E154" s="42"/>
      <c r="F154" s="56"/>
      <c r="G154" s="56"/>
      <c r="H154" s="56"/>
      <c r="I154" s="56"/>
      <c r="J154" s="56"/>
      <c r="K154" s="56"/>
      <c r="L154" s="56"/>
      <c r="M154" s="56"/>
      <c r="N154" s="56"/>
      <c r="O154" s="56"/>
      <c r="P154" s="56"/>
      <c r="Q154" s="41"/>
      <c r="R154" s="42"/>
      <c r="S154" s="49"/>
      <c r="AJ154" s="41"/>
      <c r="AK154" s="42"/>
      <c r="AL154" s="75"/>
      <c r="AM154" s="75"/>
      <c r="AN154" s="75"/>
      <c r="AO154" s="75"/>
      <c r="AP154" s="75"/>
      <c r="AR154" s="42"/>
      <c r="AS154" s="282"/>
      <c r="AT154" s="282"/>
      <c r="AU154" s="282"/>
      <c r="AV154" s="282"/>
      <c r="AW154" s="282"/>
      <c r="AX154" s="282"/>
      <c r="AY154" s="191"/>
      <c r="AZ154" s="191"/>
      <c r="BA154" s="282"/>
      <c r="BB154" s="282"/>
      <c r="BC154" s="282"/>
      <c r="BD154" s="282"/>
      <c r="BE154" s="282"/>
      <c r="BF154" s="282"/>
      <c r="BG154" s="282"/>
      <c r="BH154" s="282"/>
      <c r="BI154" s="41"/>
      <c r="BK154" s="42"/>
      <c r="BN154" s="41"/>
      <c r="BO154" s="313"/>
      <c r="BP154" s="313"/>
      <c r="BQ154" s="313"/>
      <c r="BR154" s="313"/>
      <c r="BS154" s="313"/>
      <c r="BT154" s="313"/>
      <c r="BU154" s="313"/>
      <c r="BV154" s="313"/>
      <c r="BW154" s="105"/>
    </row>
    <row r="155" spans="1:75" ht="7.4" customHeight="1" x14ac:dyDescent="0.5">
      <c r="A155" s="42"/>
      <c r="B155" s="311">
        <f>B151+1</f>
        <v>11</v>
      </c>
      <c r="C155" s="311"/>
      <c r="D155" s="41"/>
      <c r="E155" s="42"/>
      <c r="F155" s="319" t="str">
        <f>IF(AL155=0,"N/A","AXE_NSQ_8_SS")</f>
        <v>AXE_NSQ_8_SS</v>
      </c>
      <c r="G155" s="319"/>
      <c r="H155" s="319"/>
      <c r="I155" s="319"/>
      <c r="J155" s="319"/>
      <c r="K155" s="319"/>
      <c r="L155" s="319"/>
      <c r="M155" s="319"/>
      <c r="N155" s="319"/>
      <c r="O155" s="319"/>
      <c r="P155" s="319"/>
      <c r="Q155" s="320"/>
      <c r="R155" s="42"/>
      <c r="S155" s="316" t="str">
        <f>VLOOKUP(F155,PL!$B$9:$BH$862,14,FALSE)</f>
        <v>Square Nut</v>
      </c>
      <c r="T155" s="316"/>
      <c r="U155" s="316"/>
      <c r="V155" s="316"/>
      <c r="W155" s="316"/>
      <c r="X155" s="316"/>
      <c r="Y155" s="316"/>
      <c r="Z155" s="316"/>
      <c r="AA155" s="316"/>
      <c r="AB155" s="316"/>
      <c r="AC155" s="316"/>
      <c r="AD155" s="316"/>
      <c r="AE155" s="316"/>
      <c r="AF155" s="316"/>
      <c r="AG155" s="316"/>
      <c r="AH155" s="316"/>
      <c r="AI155" s="316"/>
      <c r="AJ155" s="317"/>
      <c r="AK155" s="42"/>
      <c r="AL155" s="311">
        <f>ROUND(BK155*(1+$H$36),0)</f>
        <v>21</v>
      </c>
      <c r="AM155" s="311"/>
      <c r="AN155" s="311"/>
      <c r="AO155" s="311"/>
      <c r="AP155" s="311"/>
      <c r="AR155" s="128"/>
      <c r="AS155" s="308" t="str">
        <f>VLOOKUP(F155,PL!$B$9:$BH$818,52,FALSE)</f>
        <v>SOL-5953</v>
      </c>
      <c r="AT155" s="309"/>
      <c r="AU155" s="309"/>
      <c r="AV155" s="309"/>
      <c r="AW155" s="309"/>
      <c r="AX155" s="309"/>
      <c r="AY155" s="309"/>
      <c r="AZ155" s="309"/>
      <c r="BA155" s="309"/>
      <c r="BB155" s="309"/>
      <c r="BC155" s="309"/>
      <c r="BD155" s="309"/>
      <c r="BE155" s="309"/>
      <c r="BF155" s="309"/>
      <c r="BG155" s="309"/>
      <c r="BH155" s="309"/>
      <c r="BI155" s="41"/>
      <c r="BK155" s="310">
        <f>BK151</f>
        <v>20</v>
      </c>
      <c r="BL155" s="311"/>
      <c r="BM155" s="311"/>
      <c r="BN155" s="312"/>
      <c r="BO155" s="313"/>
      <c r="BP155" s="313"/>
      <c r="BQ155" s="313"/>
      <c r="BR155" s="313"/>
      <c r="BS155" s="313"/>
      <c r="BT155" s="313"/>
      <c r="BU155" s="313"/>
      <c r="BV155" s="313"/>
      <c r="BW155" s="79"/>
    </row>
    <row r="156" spans="1:75" ht="7.4" customHeight="1" x14ac:dyDescent="0.5">
      <c r="A156" s="42"/>
      <c r="B156" s="311"/>
      <c r="C156" s="311"/>
      <c r="D156" s="41"/>
      <c r="E156" s="42"/>
      <c r="F156" s="319"/>
      <c r="G156" s="319"/>
      <c r="H156" s="319"/>
      <c r="I156" s="319"/>
      <c r="J156" s="319"/>
      <c r="K156" s="319"/>
      <c r="L156" s="319"/>
      <c r="M156" s="319"/>
      <c r="N156" s="319"/>
      <c r="O156" s="319"/>
      <c r="P156" s="319"/>
      <c r="Q156" s="320"/>
      <c r="R156" s="42"/>
      <c r="S156" s="316"/>
      <c r="T156" s="316"/>
      <c r="U156" s="316"/>
      <c r="V156" s="316"/>
      <c r="W156" s="316"/>
      <c r="X156" s="316"/>
      <c r="Y156" s="316"/>
      <c r="Z156" s="316"/>
      <c r="AA156" s="316"/>
      <c r="AB156" s="316"/>
      <c r="AC156" s="316"/>
      <c r="AD156" s="316"/>
      <c r="AE156" s="316"/>
      <c r="AF156" s="316"/>
      <c r="AG156" s="316"/>
      <c r="AH156" s="316"/>
      <c r="AI156" s="316"/>
      <c r="AJ156" s="317"/>
      <c r="AK156" s="42"/>
      <c r="AL156" s="311"/>
      <c r="AM156" s="311"/>
      <c r="AN156" s="311"/>
      <c r="AO156" s="311"/>
      <c r="AP156" s="311"/>
      <c r="AR156" s="128"/>
      <c r="AS156" s="309"/>
      <c r="AT156" s="309"/>
      <c r="AU156" s="309"/>
      <c r="AV156" s="309"/>
      <c r="AW156" s="309"/>
      <c r="AX156" s="309"/>
      <c r="AY156" s="309"/>
      <c r="AZ156" s="309"/>
      <c r="BA156" s="309"/>
      <c r="BB156" s="309"/>
      <c r="BC156" s="309"/>
      <c r="BD156" s="309"/>
      <c r="BE156" s="309"/>
      <c r="BF156" s="309"/>
      <c r="BG156" s="309"/>
      <c r="BH156" s="309"/>
      <c r="BI156" s="41"/>
      <c r="BK156" s="310"/>
      <c r="BL156" s="311"/>
      <c r="BM156" s="311"/>
      <c r="BN156" s="312"/>
      <c r="BO156" s="313"/>
      <c r="BP156" s="313"/>
      <c r="BQ156" s="313"/>
      <c r="BR156" s="313"/>
      <c r="BS156" s="313"/>
      <c r="BT156" s="313"/>
      <c r="BU156" s="313"/>
      <c r="BV156" s="313"/>
      <c r="BW156" s="79"/>
    </row>
    <row r="157" spans="1:75" s="117" customFormat="1" ht="7.4" customHeight="1" x14ac:dyDescent="0.5">
      <c r="A157" s="113"/>
      <c r="B157" s="114"/>
      <c r="C157" s="114"/>
      <c r="D157" s="115"/>
      <c r="E157" s="113"/>
      <c r="F157" s="56"/>
      <c r="G157" s="56"/>
      <c r="H157" s="56"/>
      <c r="I157" s="56"/>
      <c r="J157" s="56"/>
      <c r="K157" s="56"/>
      <c r="L157" s="56"/>
      <c r="M157" s="56"/>
      <c r="N157" s="56"/>
      <c r="O157" s="56"/>
      <c r="P157" s="56"/>
      <c r="Q157" s="115"/>
      <c r="R157" s="113"/>
      <c r="S157" s="116" t="str">
        <f>VLOOKUP(F155,PL!$B$9:$BH$1265,33,FALSE)</f>
        <v>Stainless Steel, M8</v>
      </c>
      <c r="AJ157" s="115"/>
      <c r="AK157" s="113"/>
      <c r="AL157" s="118"/>
      <c r="AM157" s="118"/>
      <c r="AN157" s="118"/>
      <c r="AO157" s="118"/>
      <c r="AP157" s="118"/>
      <c r="AR157" s="113"/>
      <c r="AS157" s="282"/>
      <c r="AT157" s="282"/>
      <c r="AU157" s="282"/>
      <c r="AV157" s="282"/>
      <c r="AW157" s="282"/>
      <c r="AX157" s="282"/>
      <c r="AY157" s="283"/>
      <c r="AZ157" s="283"/>
      <c r="BA157" s="282"/>
      <c r="BB157" s="282"/>
      <c r="BC157" s="282"/>
      <c r="BD157" s="282"/>
      <c r="BE157" s="282"/>
      <c r="BF157" s="282"/>
      <c r="BG157" s="282"/>
      <c r="BH157" s="282"/>
      <c r="BI157" s="115"/>
      <c r="BK157" s="310"/>
      <c r="BL157" s="311"/>
      <c r="BM157" s="311"/>
      <c r="BN157" s="312"/>
      <c r="BO157" s="313"/>
      <c r="BP157" s="313"/>
      <c r="BQ157" s="313"/>
      <c r="BR157" s="313"/>
      <c r="BS157" s="313"/>
      <c r="BT157" s="313"/>
      <c r="BU157" s="313"/>
      <c r="BV157" s="313"/>
      <c r="BW157" s="79"/>
    </row>
    <row r="158" spans="1:75" ht="7.4" customHeight="1" x14ac:dyDescent="0.5">
      <c r="A158" s="42"/>
      <c r="D158" s="41"/>
      <c r="E158" s="42"/>
      <c r="F158" s="56"/>
      <c r="G158" s="56"/>
      <c r="H158" s="56"/>
      <c r="I158" s="56"/>
      <c r="J158" s="56"/>
      <c r="K158" s="56"/>
      <c r="L158" s="56"/>
      <c r="M158" s="56"/>
      <c r="N158" s="56"/>
      <c r="O158" s="56"/>
      <c r="P158" s="56"/>
      <c r="Q158" s="41"/>
      <c r="R158" s="42"/>
      <c r="S158" s="49"/>
      <c r="AJ158" s="41"/>
      <c r="AK158" s="42"/>
      <c r="AL158" s="75"/>
      <c r="AM158" s="75"/>
      <c r="AN158" s="75"/>
      <c r="AO158" s="75"/>
      <c r="AP158" s="75"/>
      <c r="AR158" s="42"/>
      <c r="AS158" s="282"/>
      <c r="AT158" s="282"/>
      <c r="AU158" s="282"/>
      <c r="AV158" s="282"/>
      <c r="AW158" s="282"/>
      <c r="AX158" s="282"/>
      <c r="AY158" s="191"/>
      <c r="AZ158" s="191"/>
      <c r="BA158" s="282"/>
      <c r="BB158" s="282"/>
      <c r="BC158" s="282"/>
      <c r="BD158" s="282"/>
      <c r="BE158" s="282"/>
      <c r="BF158" s="282"/>
      <c r="BG158" s="282"/>
      <c r="BH158" s="282"/>
      <c r="BI158" s="41"/>
      <c r="BK158" s="42"/>
      <c r="BN158" s="41"/>
      <c r="BO158" s="313"/>
      <c r="BP158" s="313"/>
      <c r="BQ158" s="313"/>
      <c r="BR158" s="313"/>
      <c r="BS158" s="313"/>
      <c r="BT158" s="313"/>
      <c r="BU158" s="313"/>
      <c r="BV158" s="313"/>
      <c r="BW158" s="105"/>
    </row>
    <row r="159" spans="1:75" ht="7.4" customHeight="1" x14ac:dyDescent="0.5">
      <c r="A159" s="42"/>
      <c r="B159" s="311">
        <f>B155+1</f>
        <v>12</v>
      </c>
      <c r="C159" s="311"/>
      <c r="D159" s="41"/>
      <c r="E159" s="42"/>
      <c r="F159" s="319" t="str">
        <f>IF(AL159=0,"N/A","AXE_NHF_8_SS")</f>
        <v>AXE_NHF_8_SS</v>
      </c>
      <c r="G159" s="319"/>
      <c r="H159" s="319"/>
      <c r="I159" s="319"/>
      <c r="J159" s="319"/>
      <c r="K159" s="319"/>
      <c r="L159" s="319"/>
      <c r="M159" s="319"/>
      <c r="N159" s="319"/>
      <c r="O159" s="319"/>
      <c r="P159" s="319"/>
      <c r="Q159" s="320"/>
      <c r="R159" s="42"/>
      <c r="S159" s="316" t="str">
        <f>VLOOKUP(F159,PL!$B$9:$BH$862,14,FALSE)</f>
        <v>Hex Flange Nut</v>
      </c>
      <c r="T159" s="316"/>
      <c r="U159" s="316"/>
      <c r="V159" s="316"/>
      <c r="W159" s="316"/>
      <c r="X159" s="316"/>
      <c r="Y159" s="316"/>
      <c r="Z159" s="316"/>
      <c r="AA159" s="316"/>
      <c r="AB159" s="316"/>
      <c r="AC159" s="316"/>
      <c r="AD159" s="316"/>
      <c r="AE159" s="316"/>
      <c r="AF159" s="316"/>
      <c r="AG159" s="316"/>
      <c r="AH159" s="316"/>
      <c r="AI159" s="316"/>
      <c r="AJ159" s="317"/>
      <c r="AK159" s="42"/>
      <c r="AL159" s="311">
        <f>ROUND(BK159*(1+$H$36),0)</f>
        <v>21</v>
      </c>
      <c r="AM159" s="311"/>
      <c r="AN159" s="311"/>
      <c r="AO159" s="311"/>
      <c r="AP159" s="311"/>
      <c r="AR159" s="128"/>
      <c r="AS159" s="308" t="str">
        <f>VLOOKUP(F159,PL!$B$9:$BH$818,52,FALSE)</f>
        <v>SOL-59530</v>
      </c>
      <c r="AT159" s="309"/>
      <c r="AU159" s="309"/>
      <c r="AV159" s="309"/>
      <c r="AW159" s="309"/>
      <c r="AX159" s="309"/>
      <c r="AY159" s="309"/>
      <c r="AZ159" s="309"/>
      <c r="BA159" s="309"/>
      <c r="BB159" s="309"/>
      <c r="BC159" s="309"/>
      <c r="BD159" s="309"/>
      <c r="BE159" s="309"/>
      <c r="BF159" s="309"/>
      <c r="BG159" s="309"/>
      <c r="BH159" s="309"/>
      <c r="BI159" s="41"/>
      <c r="BK159" s="310">
        <f>IF(OR(F131="AXE_BR_PF_H_AL",F131="AXE_BR_RF_H_AL"),0,BK131)+BK135*4</f>
        <v>20</v>
      </c>
      <c r="BL159" s="311"/>
      <c r="BM159" s="311"/>
      <c r="BN159" s="312"/>
      <c r="BO159" s="313"/>
      <c r="BP159" s="313"/>
      <c r="BQ159" s="313"/>
      <c r="BR159" s="313"/>
      <c r="BS159" s="313"/>
      <c r="BT159" s="313"/>
      <c r="BU159" s="313"/>
      <c r="BV159" s="313"/>
      <c r="BW159" s="79"/>
    </row>
    <row r="160" spans="1:75" ht="7.4" customHeight="1" x14ac:dyDescent="0.5">
      <c r="A160" s="42"/>
      <c r="B160" s="311"/>
      <c r="C160" s="311"/>
      <c r="D160" s="41"/>
      <c r="E160" s="42"/>
      <c r="F160" s="319"/>
      <c r="G160" s="319"/>
      <c r="H160" s="319"/>
      <c r="I160" s="319"/>
      <c r="J160" s="319"/>
      <c r="K160" s="319"/>
      <c r="L160" s="319"/>
      <c r="M160" s="319"/>
      <c r="N160" s="319"/>
      <c r="O160" s="319"/>
      <c r="P160" s="319"/>
      <c r="Q160" s="320"/>
      <c r="R160" s="42"/>
      <c r="S160" s="316"/>
      <c r="T160" s="316"/>
      <c r="U160" s="316"/>
      <c r="V160" s="316"/>
      <c r="W160" s="316"/>
      <c r="X160" s="316"/>
      <c r="Y160" s="316"/>
      <c r="Z160" s="316"/>
      <c r="AA160" s="316"/>
      <c r="AB160" s="316"/>
      <c r="AC160" s="316"/>
      <c r="AD160" s="316"/>
      <c r="AE160" s="316"/>
      <c r="AF160" s="316"/>
      <c r="AG160" s="316"/>
      <c r="AH160" s="316"/>
      <c r="AI160" s="316"/>
      <c r="AJ160" s="317"/>
      <c r="AK160" s="42"/>
      <c r="AL160" s="311"/>
      <c r="AM160" s="311"/>
      <c r="AN160" s="311"/>
      <c r="AO160" s="311"/>
      <c r="AP160" s="311"/>
      <c r="AR160" s="128"/>
      <c r="AS160" s="309"/>
      <c r="AT160" s="309"/>
      <c r="AU160" s="309"/>
      <c r="AV160" s="309"/>
      <c r="AW160" s="309"/>
      <c r="AX160" s="309"/>
      <c r="AY160" s="309"/>
      <c r="AZ160" s="309"/>
      <c r="BA160" s="309"/>
      <c r="BB160" s="309"/>
      <c r="BC160" s="309"/>
      <c r="BD160" s="309"/>
      <c r="BE160" s="309"/>
      <c r="BF160" s="309"/>
      <c r="BG160" s="309"/>
      <c r="BH160" s="309"/>
      <c r="BI160" s="41"/>
      <c r="BK160" s="310"/>
      <c r="BL160" s="311"/>
      <c r="BM160" s="311"/>
      <c r="BN160" s="312"/>
      <c r="BO160" s="313"/>
      <c r="BP160" s="313"/>
      <c r="BQ160" s="313"/>
      <c r="BR160" s="313"/>
      <c r="BS160" s="313"/>
      <c r="BT160" s="313"/>
      <c r="BU160" s="313"/>
      <c r="BV160" s="313"/>
      <c r="BW160" s="79"/>
    </row>
    <row r="161" spans="1:75" s="117" customFormat="1" ht="7.4" customHeight="1" x14ac:dyDescent="0.5">
      <c r="A161" s="113"/>
      <c r="B161" s="114"/>
      <c r="C161" s="114"/>
      <c r="D161" s="115"/>
      <c r="E161" s="113"/>
      <c r="F161" s="56"/>
      <c r="G161" s="56"/>
      <c r="H161" s="56"/>
      <c r="I161" s="56"/>
      <c r="J161" s="56"/>
      <c r="K161" s="56"/>
      <c r="L161" s="56"/>
      <c r="M161" s="56"/>
      <c r="N161" s="56"/>
      <c r="O161" s="56"/>
      <c r="P161" s="56"/>
      <c r="Q161" s="115"/>
      <c r="R161" s="113"/>
      <c r="S161" s="116" t="str">
        <f>VLOOKUP(F159,PL!$B$9:$BH$1265,33,FALSE)</f>
        <v>Stainless Steel, M8</v>
      </c>
      <c r="AJ161" s="115"/>
      <c r="AK161" s="113"/>
      <c r="AL161" s="118"/>
      <c r="AM161" s="118"/>
      <c r="AN161" s="118"/>
      <c r="AO161" s="118"/>
      <c r="AP161" s="118"/>
      <c r="AR161" s="113"/>
      <c r="AS161" s="282"/>
      <c r="AT161" s="282"/>
      <c r="AU161" s="282"/>
      <c r="AV161" s="282"/>
      <c r="AW161" s="282"/>
      <c r="AX161" s="282"/>
      <c r="AY161" s="283"/>
      <c r="AZ161" s="283"/>
      <c r="BA161" s="282"/>
      <c r="BB161" s="282"/>
      <c r="BC161" s="282"/>
      <c r="BD161" s="282"/>
      <c r="BE161" s="282"/>
      <c r="BF161" s="282"/>
      <c r="BG161" s="282"/>
      <c r="BH161" s="282"/>
      <c r="BI161" s="115"/>
      <c r="BK161" s="310"/>
      <c r="BL161" s="311"/>
      <c r="BM161" s="311"/>
      <c r="BN161" s="312"/>
      <c r="BO161" s="313"/>
      <c r="BP161" s="313"/>
      <c r="BQ161" s="313"/>
      <c r="BR161" s="313"/>
      <c r="BS161" s="313"/>
      <c r="BT161" s="313"/>
      <c r="BU161" s="313"/>
      <c r="BV161" s="313"/>
      <c r="BW161" s="79"/>
    </row>
    <row r="162" spans="1:75" ht="7.4" customHeight="1" x14ac:dyDescent="0.5">
      <c r="A162" s="42"/>
      <c r="D162" s="41"/>
      <c r="E162" s="42"/>
      <c r="F162" s="56"/>
      <c r="G162" s="56"/>
      <c r="H162" s="56"/>
      <c r="I162" s="56"/>
      <c r="J162" s="56"/>
      <c r="K162" s="56"/>
      <c r="L162" s="56"/>
      <c r="M162" s="56"/>
      <c r="N162" s="56"/>
      <c r="O162" s="56"/>
      <c r="P162" s="56"/>
      <c r="Q162" s="41"/>
      <c r="R162" s="42"/>
      <c r="S162" s="49"/>
      <c r="AJ162" s="41"/>
      <c r="AK162" s="42"/>
      <c r="AL162" s="75"/>
      <c r="AM162" s="75"/>
      <c r="AN162" s="75"/>
      <c r="AO162" s="75"/>
      <c r="AP162" s="75"/>
      <c r="AQ162" s="43"/>
      <c r="AR162" s="42"/>
      <c r="AS162" s="282"/>
      <c r="AT162" s="282"/>
      <c r="AU162" s="282"/>
      <c r="AV162" s="282"/>
      <c r="AW162" s="282"/>
      <c r="AX162" s="282"/>
      <c r="AY162" s="284"/>
      <c r="AZ162" s="191"/>
      <c r="BA162" s="282"/>
      <c r="BB162" s="282"/>
      <c r="BC162" s="282"/>
      <c r="BD162" s="282"/>
      <c r="BE162" s="282"/>
      <c r="BF162" s="282"/>
      <c r="BG162" s="282"/>
      <c r="BH162" s="282"/>
      <c r="BI162" s="41"/>
      <c r="BK162" s="42"/>
      <c r="BN162" s="41"/>
      <c r="BO162" s="313"/>
      <c r="BP162" s="313"/>
      <c r="BQ162" s="313"/>
      <c r="BR162" s="313"/>
      <c r="BS162" s="313"/>
      <c r="BT162" s="313"/>
      <c r="BU162" s="313"/>
      <c r="BV162" s="313"/>
      <c r="BW162" s="105"/>
    </row>
    <row r="163" spans="1:75" ht="7.4" customHeight="1" x14ac:dyDescent="0.5">
      <c r="A163" s="42"/>
      <c r="B163" s="311">
        <f>B159+1</f>
        <v>13</v>
      </c>
      <c r="C163" s="311"/>
      <c r="D163" s="41"/>
      <c r="E163" s="42"/>
      <c r="F163" s="319" t="str">
        <f>IF(AL163=0,"N/A","AXE_WP_8_SS")</f>
        <v>AXE_WP_8_SS</v>
      </c>
      <c r="G163" s="319"/>
      <c r="H163" s="319"/>
      <c r="I163" s="319"/>
      <c r="J163" s="319"/>
      <c r="K163" s="319"/>
      <c r="L163" s="319"/>
      <c r="M163" s="319"/>
      <c r="N163" s="319"/>
      <c r="O163" s="319"/>
      <c r="P163" s="319"/>
      <c r="Q163" s="320"/>
      <c r="R163" s="42"/>
      <c r="S163" s="316" t="str">
        <f>VLOOKUP(F163,PL!$B$9:$BH$862,14,FALSE)</f>
        <v>Plain Washer</v>
      </c>
      <c r="T163" s="316"/>
      <c r="U163" s="316"/>
      <c r="V163" s="316"/>
      <c r="W163" s="316"/>
      <c r="X163" s="316"/>
      <c r="Y163" s="316"/>
      <c r="Z163" s="316"/>
      <c r="AA163" s="316"/>
      <c r="AB163" s="316"/>
      <c r="AC163" s="316"/>
      <c r="AD163" s="316"/>
      <c r="AE163" s="316"/>
      <c r="AF163" s="316"/>
      <c r="AG163" s="316"/>
      <c r="AH163" s="316"/>
      <c r="AI163" s="316"/>
      <c r="AJ163" s="317"/>
      <c r="AK163" s="42"/>
      <c r="AL163" s="311">
        <f>ROUND(BK163*(1+$H$36),0)</f>
        <v>42</v>
      </c>
      <c r="AM163" s="311"/>
      <c r="AN163" s="311"/>
      <c r="AO163" s="311"/>
      <c r="AP163" s="311"/>
      <c r="AR163" s="128"/>
      <c r="AS163" s="308" t="str">
        <f>VLOOKUP(F163,PL!$B$9:$BH$818,52,FALSE)</f>
        <v>SOL-595101</v>
      </c>
      <c r="AT163" s="309"/>
      <c r="AU163" s="309"/>
      <c r="AV163" s="309"/>
      <c r="AW163" s="309"/>
      <c r="AX163" s="309"/>
      <c r="AY163" s="309"/>
      <c r="AZ163" s="309"/>
      <c r="BA163" s="309"/>
      <c r="BB163" s="309"/>
      <c r="BC163" s="309"/>
      <c r="BD163" s="309"/>
      <c r="BE163" s="309"/>
      <c r="BF163" s="309"/>
      <c r="BG163" s="309"/>
      <c r="BH163" s="309"/>
      <c r="BI163" s="41"/>
      <c r="BK163" s="310">
        <f>BK139</f>
        <v>40</v>
      </c>
      <c r="BL163" s="311"/>
      <c r="BM163" s="311"/>
      <c r="BN163" s="312"/>
      <c r="BO163" s="313"/>
      <c r="BP163" s="313"/>
      <c r="BQ163" s="313"/>
      <c r="BR163" s="313"/>
      <c r="BS163" s="313"/>
      <c r="BT163" s="313"/>
      <c r="BU163" s="313"/>
      <c r="BV163" s="313"/>
      <c r="BW163" s="79"/>
    </row>
    <row r="164" spans="1:75" ht="7.4" customHeight="1" x14ac:dyDescent="0.5">
      <c r="A164" s="42"/>
      <c r="B164" s="311"/>
      <c r="C164" s="311"/>
      <c r="D164" s="41"/>
      <c r="E164" s="42"/>
      <c r="F164" s="319"/>
      <c r="G164" s="319"/>
      <c r="H164" s="319"/>
      <c r="I164" s="319"/>
      <c r="J164" s="319"/>
      <c r="K164" s="319"/>
      <c r="L164" s="319"/>
      <c r="M164" s="319"/>
      <c r="N164" s="319"/>
      <c r="O164" s="319"/>
      <c r="P164" s="319"/>
      <c r="Q164" s="320"/>
      <c r="R164" s="42"/>
      <c r="S164" s="316"/>
      <c r="T164" s="316"/>
      <c r="U164" s="316"/>
      <c r="V164" s="316"/>
      <c r="W164" s="316"/>
      <c r="X164" s="316"/>
      <c r="Y164" s="316"/>
      <c r="Z164" s="316"/>
      <c r="AA164" s="316"/>
      <c r="AB164" s="316"/>
      <c r="AC164" s="316"/>
      <c r="AD164" s="316"/>
      <c r="AE164" s="316"/>
      <c r="AF164" s="316"/>
      <c r="AG164" s="316"/>
      <c r="AH164" s="316"/>
      <c r="AI164" s="316"/>
      <c r="AJ164" s="317"/>
      <c r="AK164" s="42"/>
      <c r="AL164" s="311"/>
      <c r="AM164" s="311"/>
      <c r="AN164" s="311"/>
      <c r="AO164" s="311"/>
      <c r="AP164" s="311"/>
      <c r="AR164" s="128"/>
      <c r="AS164" s="309"/>
      <c r="AT164" s="309"/>
      <c r="AU164" s="309"/>
      <c r="AV164" s="309"/>
      <c r="AW164" s="309"/>
      <c r="AX164" s="309"/>
      <c r="AY164" s="309"/>
      <c r="AZ164" s="309"/>
      <c r="BA164" s="309"/>
      <c r="BB164" s="309"/>
      <c r="BC164" s="309"/>
      <c r="BD164" s="309"/>
      <c r="BE164" s="309"/>
      <c r="BF164" s="309"/>
      <c r="BG164" s="309"/>
      <c r="BH164" s="309"/>
      <c r="BI164" s="41"/>
      <c r="BK164" s="310"/>
      <c r="BL164" s="311"/>
      <c r="BM164" s="311"/>
      <c r="BN164" s="312"/>
      <c r="BO164" s="313"/>
      <c r="BP164" s="313"/>
      <c r="BQ164" s="313"/>
      <c r="BR164" s="313"/>
      <c r="BS164" s="313"/>
      <c r="BT164" s="313"/>
      <c r="BU164" s="313"/>
      <c r="BV164" s="313"/>
      <c r="BW164" s="79"/>
    </row>
    <row r="165" spans="1:75" s="117" customFormat="1" ht="7.4" customHeight="1" x14ac:dyDescent="0.5">
      <c r="A165" s="113"/>
      <c r="B165" s="114"/>
      <c r="C165" s="114"/>
      <c r="D165" s="115"/>
      <c r="E165" s="113"/>
      <c r="F165" s="56"/>
      <c r="G165" s="56"/>
      <c r="H165" s="56"/>
      <c r="I165" s="56"/>
      <c r="J165" s="56"/>
      <c r="K165" s="56"/>
      <c r="L165" s="56"/>
      <c r="M165" s="56"/>
      <c r="N165" s="56"/>
      <c r="O165" s="56"/>
      <c r="P165" s="56"/>
      <c r="Q165" s="115"/>
      <c r="R165" s="113"/>
      <c r="S165" s="116" t="str">
        <f>VLOOKUP(F163,PL!$B$9:$BH$1265,33,FALSE)</f>
        <v>Stainless Steel, M8</v>
      </c>
      <c r="AJ165" s="115"/>
      <c r="AK165" s="113"/>
      <c r="AL165" s="118"/>
      <c r="AM165" s="118"/>
      <c r="AN165" s="118"/>
      <c r="AO165" s="118"/>
      <c r="AP165" s="118"/>
      <c r="AR165" s="113"/>
      <c r="AS165" s="282"/>
      <c r="AT165" s="282"/>
      <c r="AU165" s="282"/>
      <c r="AV165" s="282"/>
      <c r="AW165" s="282"/>
      <c r="AX165" s="282"/>
      <c r="AY165" s="283"/>
      <c r="AZ165" s="283"/>
      <c r="BA165" s="282"/>
      <c r="BB165" s="282"/>
      <c r="BC165" s="282"/>
      <c r="BD165" s="282"/>
      <c r="BE165" s="282"/>
      <c r="BF165" s="282"/>
      <c r="BG165" s="282"/>
      <c r="BH165" s="282"/>
      <c r="BI165" s="115"/>
      <c r="BK165" s="310"/>
      <c r="BL165" s="311"/>
      <c r="BM165" s="311"/>
      <c r="BN165" s="312"/>
      <c r="BO165" s="313"/>
      <c r="BP165" s="313"/>
      <c r="BQ165" s="313"/>
      <c r="BR165" s="313"/>
      <c r="BS165" s="313"/>
      <c r="BT165" s="313"/>
      <c r="BU165" s="313"/>
      <c r="BV165" s="313"/>
      <c r="BW165" s="79"/>
    </row>
    <row r="166" spans="1:75" ht="7.4" customHeight="1" x14ac:dyDescent="0.5">
      <c r="A166" s="42"/>
      <c r="D166" s="41"/>
      <c r="E166" s="42"/>
      <c r="F166" s="56"/>
      <c r="G166" s="56"/>
      <c r="H166" s="56"/>
      <c r="I166" s="56"/>
      <c r="J166" s="56"/>
      <c r="K166" s="56"/>
      <c r="L166" s="56"/>
      <c r="M166" s="56"/>
      <c r="N166" s="56"/>
      <c r="O166" s="56"/>
      <c r="P166" s="56"/>
      <c r="Q166" s="41"/>
      <c r="R166" s="42"/>
      <c r="S166" s="49"/>
      <c r="AJ166" s="41"/>
      <c r="AK166" s="42"/>
      <c r="AL166" s="75"/>
      <c r="AM166" s="75"/>
      <c r="AN166" s="75"/>
      <c r="AO166" s="75"/>
      <c r="AP166" s="75"/>
      <c r="AR166" s="42"/>
      <c r="AS166" s="282"/>
      <c r="AT166" s="282"/>
      <c r="AU166" s="282"/>
      <c r="AV166" s="282"/>
      <c r="AW166" s="282"/>
      <c r="AX166" s="282"/>
      <c r="AY166" s="191"/>
      <c r="AZ166" s="191"/>
      <c r="BA166" s="282"/>
      <c r="BB166" s="282"/>
      <c r="BC166" s="282"/>
      <c r="BD166" s="282"/>
      <c r="BE166" s="282"/>
      <c r="BF166" s="282"/>
      <c r="BG166" s="282"/>
      <c r="BH166" s="282"/>
      <c r="BI166" s="41"/>
      <c r="BK166" s="42"/>
      <c r="BN166" s="41"/>
      <c r="BO166" s="313"/>
      <c r="BP166" s="313"/>
      <c r="BQ166" s="313"/>
      <c r="BR166" s="313"/>
      <c r="BS166" s="313"/>
      <c r="BT166" s="313"/>
      <c r="BU166" s="313"/>
      <c r="BV166" s="313"/>
      <c r="BW166" s="105"/>
    </row>
    <row r="167" spans="1:75" ht="7.4" customHeight="1" x14ac:dyDescent="0.5">
      <c r="A167" s="42"/>
      <c r="B167" s="311">
        <f>B163+1</f>
        <v>14</v>
      </c>
      <c r="C167" s="311"/>
      <c r="D167" s="41"/>
      <c r="E167" s="42"/>
      <c r="F167" s="319" t="str">
        <f>IF(AL167=0,"N/A","AXE_WS_8_SS")</f>
        <v>AXE_WS_8_SS</v>
      </c>
      <c r="G167" s="319"/>
      <c r="H167" s="319"/>
      <c r="I167" s="319"/>
      <c r="J167" s="319"/>
      <c r="K167" s="319"/>
      <c r="L167" s="319"/>
      <c r="M167" s="319"/>
      <c r="N167" s="319"/>
      <c r="O167" s="319"/>
      <c r="P167" s="319"/>
      <c r="Q167" s="320"/>
      <c r="R167" s="42"/>
      <c r="S167" s="316" t="str">
        <f>VLOOKUP(F167,PL!$B$9:$BH$862,14,FALSE)</f>
        <v>Spring Washer</v>
      </c>
      <c r="T167" s="316"/>
      <c r="U167" s="316"/>
      <c r="V167" s="316"/>
      <c r="W167" s="316"/>
      <c r="X167" s="316"/>
      <c r="Y167" s="316"/>
      <c r="Z167" s="316"/>
      <c r="AA167" s="316"/>
      <c r="AB167" s="316"/>
      <c r="AC167" s="316"/>
      <c r="AD167" s="316"/>
      <c r="AE167" s="316"/>
      <c r="AF167" s="316"/>
      <c r="AG167" s="316"/>
      <c r="AH167" s="316"/>
      <c r="AI167" s="316"/>
      <c r="AJ167" s="317"/>
      <c r="AK167" s="42"/>
      <c r="AL167" s="311">
        <f>ROUND(BK167*(1+$H$36),0)</f>
        <v>42</v>
      </c>
      <c r="AM167" s="311"/>
      <c r="AN167" s="311"/>
      <c r="AO167" s="311"/>
      <c r="AP167" s="311"/>
      <c r="AR167" s="128"/>
      <c r="AS167" s="308" t="str">
        <f>VLOOKUP(F167,PL!$B$9:$BH$818,52,FALSE)</f>
        <v>SOL-5951</v>
      </c>
      <c r="AT167" s="309"/>
      <c r="AU167" s="309"/>
      <c r="AV167" s="309"/>
      <c r="AW167" s="309"/>
      <c r="AX167" s="309"/>
      <c r="AY167" s="309"/>
      <c r="AZ167" s="309"/>
      <c r="BA167" s="309"/>
      <c r="BB167" s="309"/>
      <c r="BC167" s="309"/>
      <c r="BD167" s="309"/>
      <c r="BE167" s="309"/>
      <c r="BF167" s="309"/>
      <c r="BG167" s="309"/>
      <c r="BH167" s="309"/>
      <c r="BI167" s="41"/>
      <c r="BK167" s="310">
        <f>BK143+BK147</f>
        <v>40</v>
      </c>
      <c r="BL167" s="311"/>
      <c r="BM167" s="311"/>
      <c r="BN167" s="312"/>
      <c r="BO167" s="313"/>
      <c r="BP167" s="313"/>
      <c r="BQ167" s="313"/>
      <c r="BR167" s="313"/>
      <c r="BS167" s="313"/>
      <c r="BT167" s="313"/>
      <c r="BU167" s="313"/>
      <c r="BV167" s="313"/>
      <c r="BW167" s="79"/>
    </row>
    <row r="168" spans="1:75" ht="7.4" customHeight="1" x14ac:dyDescent="0.5">
      <c r="A168" s="42"/>
      <c r="B168" s="311"/>
      <c r="C168" s="311"/>
      <c r="D168" s="41"/>
      <c r="E168" s="42"/>
      <c r="F168" s="319"/>
      <c r="G168" s="319"/>
      <c r="H168" s="319"/>
      <c r="I168" s="319"/>
      <c r="J168" s="319"/>
      <c r="K168" s="319"/>
      <c r="L168" s="319"/>
      <c r="M168" s="319"/>
      <c r="N168" s="319"/>
      <c r="O168" s="319"/>
      <c r="P168" s="319"/>
      <c r="Q168" s="320"/>
      <c r="R168" s="42"/>
      <c r="S168" s="316"/>
      <c r="T168" s="316"/>
      <c r="U168" s="316"/>
      <c r="V168" s="316"/>
      <c r="W168" s="316"/>
      <c r="X168" s="316"/>
      <c r="Y168" s="316"/>
      <c r="Z168" s="316"/>
      <c r="AA168" s="316"/>
      <c r="AB168" s="316"/>
      <c r="AC168" s="316"/>
      <c r="AD168" s="316"/>
      <c r="AE168" s="316"/>
      <c r="AF168" s="316"/>
      <c r="AG168" s="316"/>
      <c r="AH168" s="316"/>
      <c r="AI168" s="316"/>
      <c r="AJ168" s="317"/>
      <c r="AK168" s="42"/>
      <c r="AL168" s="311"/>
      <c r="AM168" s="311"/>
      <c r="AN168" s="311"/>
      <c r="AO168" s="311"/>
      <c r="AP168" s="311"/>
      <c r="AR168" s="128"/>
      <c r="AS168" s="309"/>
      <c r="AT168" s="309"/>
      <c r="AU168" s="309"/>
      <c r="AV168" s="309"/>
      <c r="AW168" s="309"/>
      <c r="AX168" s="309"/>
      <c r="AY168" s="309"/>
      <c r="AZ168" s="309"/>
      <c r="BA168" s="309"/>
      <c r="BB168" s="309"/>
      <c r="BC168" s="309"/>
      <c r="BD168" s="309"/>
      <c r="BE168" s="309"/>
      <c r="BF168" s="309"/>
      <c r="BG168" s="309"/>
      <c r="BH168" s="309"/>
      <c r="BI168" s="41"/>
      <c r="BK168" s="310"/>
      <c r="BL168" s="311"/>
      <c r="BM168" s="311"/>
      <c r="BN168" s="312"/>
      <c r="BO168" s="313"/>
      <c r="BP168" s="313"/>
      <c r="BQ168" s="313"/>
      <c r="BR168" s="313"/>
      <c r="BS168" s="313"/>
      <c r="BT168" s="313"/>
      <c r="BU168" s="313"/>
      <c r="BV168" s="313"/>
      <c r="BW168" s="79"/>
    </row>
    <row r="169" spans="1:75" s="117" customFormat="1" ht="7.4" customHeight="1" x14ac:dyDescent="0.5">
      <c r="A169" s="113"/>
      <c r="B169" s="114"/>
      <c r="C169" s="114"/>
      <c r="D169" s="115"/>
      <c r="E169" s="113"/>
      <c r="F169" s="56"/>
      <c r="G169" s="56"/>
      <c r="H169" s="56"/>
      <c r="I169" s="56"/>
      <c r="J169" s="56"/>
      <c r="K169" s="56"/>
      <c r="L169" s="56"/>
      <c r="M169" s="56"/>
      <c r="N169" s="56"/>
      <c r="O169" s="56"/>
      <c r="P169" s="56"/>
      <c r="Q169" s="115"/>
      <c r="R169" s="113"/>
      <c r="S169" s="116" t="str">
        <f>VLOOKUP(F167,PL!$B$9:$BH$1265,33,FALSE)</f>
        <v>Stainless Steel, M8</v>
      </c>
      <c r="AJ169" s="115"/>
      <c r="AK169" s="113"/>
      <c r="AL169" s="118"/>
      <c r="AM169" s="118"/>
      <c r="AN169" s="118"/>
      <c r="AO169" s="118"/>
      <c r="AP169" s="118"/>
      <c r="AR169" s="113"/>
      <c r="AS169" s="282"/>
      <c r="AT169" s="282"/>
      <c r="AU169" s="282"/>
      <c r="AV169" s="282"/>
      <c r="AW169" s="282"/>
      <c r="AX169" s="282"/>
      <c r="AY169" s="283"/>
      <c r="AZ169" s="283"/>
      <c r="BA169" s="282"/>
      <c r="BB169" s="282"/>
      <c r="BC169" s="282"/>
      <c r="BD169" s="282"/>
      <c r="BE169" s="282"/>
      <c r="BF169" s="282"/>
      <c r="BG169" s="282"/>
      <c r="BH169" s="282"/>
      <c r="BI169" s="115"/>
      <c r="BK169" s="310"/>
      <c r="BL169" s="311"/>
      <c r="BM169" s="311"/>
      <c r="BN169" s="312"/>
      <c r="BO169" s="313"/>
      <c r="BP169" s="313"/>
      <c r="BQ169" s="313"/>
      <c r="BR169" s="313"/>
      <c r="BS169" s="313"/>
      <c r="BT169" s="313"/>
      <c r="BU169" s="313"/>
      <c r="BV169" s="313"/>
      <c r="BW169" s="79"/>
    </row>
    <row r="170" spans="1:75" ht="7.4" customHeight="1" x14ac:dyDescent="0.5">
      <c r="A170" s="42"/>
      <c r="D170" s="41"/>
      <c r="E170" s="42"/>
      <c r="F170" s="56"/>
      <c r="G170" s="56"/>
      <c r="H170" s="56"/>
      <c r="I170" s="56"/>
      <c r="J170" s="56"/>
      <c r="K170" s="56"/>
      <c r="L170" s="56"/>
      <c r="M170" s="56"/>
      <c r="N170" s="56"/>
      <c r="O170" s="56"/>
      <c r="P170" s="56"/>
      <c r="Q170" s="41"/>
      <c r="R170" s="42"/>
      <c r="AJ170" s="41"/>
      <c r="AK170" s="42"/>
      <c r="AL170" s="75"/>
      <c r="AM170" s="75"/>
      <c r="AN170" s="75"/>
      <c r="AO170" s="75"/>
      <c r="AP170" s="75"/>
      <c r="AR170" s="42"/>
      <c r="AS170" s="282"/>
      <c r="AT170" s="282"/>
      <c r="AU170" s="282"/>
      <c r="AV170" s="282"/>
      <c r="AW170" s="282"/>
      <c r="AX170" s="282"/>
      <c r="AY170" s="284"/>
      <c r="AZ170" s="191"/>
      <c r="BA170" s="282"/>
      <c r="BB170" s="282"/>
      <c r="BC170" s="282"/>
      <c r="BD170" s="282"/>
      <c r="BE170" s="282"/>
      <c r="BF170" s="282"/>
      <c r="BG170" s="282"/>
      <c r="BH170" s="282"/>
      <c r="BI170" s="41"/>
      <c r="BK170" s="42"/>
      <c r="BN170" s="41"/>
      <c r="BO170" s="313"/>
      <c r="BP170" s="313"/>
      <c r="BQ170" s="313"/>
      <c r="BR170" s="313"/>
      <c r="BS170" s="313"/>
      <c r="BT170" s="313"/>
      <c r="BU170" s="313"/>
      <c r="BV170" s="313"/>
      <c r="BW170" s="105"/>
    </row>
    <row r="171" spans="1:75" ht="7.4" customHeight="1" x14ac:dyDescent="0.5">
      <c r="A171" s="42"/>
      <c r="B171" s="311">
        <f>B167+1</f>
        <v>15</v>
      </c>
      <c r="C171" s="311"/>
      <c r="D171" s="41"/>
      <c r="E171" s="42"/>
      <c r="F171" s="319" t="str">
        <f>IF(OR($AA$36="IBR",$AA$36="Corrugated",$AA$36="Corrugated (Rib Surface)",$AA$36="IBR (Rib Surface)"),"AXE_ST_6.3_22_SC","N/A")</f>
        <v>AXE_ST_6.3_22_SC</v>
      </c>
      <c r="G171" s="319"/>
      <c r="H171" s="319"/>
      <c r="I171" s="319"/>
      <c r="J171" s="319"/>
      <c r="K171" s="319"/>
      <c r="L171" s="319"/>
      <c r="M171" s="319"/>
      <c r="N171" s="319"/>
      <c r="O171" s="319"/>
      <c r="P171" s="319"/>
      <c r="Q171" s="320"/>
      <c r="R171" s="42"/>
      <c r="S171" s="316" t="str">
        <f>VLOOKUP(F171,PL!$B$9:$BH$862,14,FALSE)</f>
        <v>Self Drilling Tek Screw</v>
      </c>
      <c r="T171" s="316"/>
      <c r="U171" s="316"/>
      <c r="V171" s="316"/>
      <c r="W171" s="316"/>
      <c r="X171" s="316"/>
      <c r="Y171" s="316"/>
      <c r="Z171" s="316"/>
      <c r="AA171" s="316"/>
      <c r="AB171" s="316"/>
      <c r="AC171" s="316"/>
      <c r="AD171" s="316"/>
      <c r="AE171" s="316"/>
      <c r="AF171" s="316"/>
      <c r="AG171" s="316"/>
      <c r="AH171" s="316"/>
      <c r="AI171" s="316"/>
      <c r="AJ171" s="317"/>
      <c r="AK171" s="42"/>
      <c r="AL171" s="311">
        <f>ROUND(BK171*(1+$H$36),0)</f>
        <v>166</v>
      </c>
      <c r="AM171" s="311"/>
      <c r="AN171" s="311"/>
      <c r="AO171" s="311"/>
      <c r="AP171" s="311"/>
      <c r="AR171" s="128"/>
      <c r="AS171" s="308" t="str">
        <f>VLOOKUP(F171,PL!$B$9:$BH$818,52,FALSE)</f>
        <v>SOL-5952</v>
      </c>
      <c r="AT171" s="309"/>
      <c r="AU171" s="309"/>
      <c r="AV171" s="309"/>
      <c r="AW171" s="309"/>
      <c r="AX171" s="309"/>
      <c r="AY171" s="309"/>
      <c r="AZ171" s="309"/>
      <c r="BA171" s="309"/>
      <c r="BB171" s="309"/>
      <c r="BC171" s="309"/>
      <c r="BD171" s="309"/>
      <c r="BE171" s="309"/>
      <c r="BF171" s="309"/>
      <c r="BG171" s="309"/>
      <c r="BH171" s="309"/>
      <c r="BI171" s="41"/>
      <c r="BK171" s="310">
        <f>IF(OR($AA$36="IBR",$AA$36="Corrugated"),($BK$127+$BK$131)*4,IF(OR($AA$36="Corrugated (Rib Surface)",$AA$36="IBR (Rib Surface)"),($BK$127*2+$BK$131)*2,0))</f>
        <v>160</v>
      </c>
      <c r="BL171" s="311"/>
      <c r="BM171" s="311"/>
      <c r="BN171" s="312"/>
      <c r="BO171" s="313"/>
      <c r="BP171" s="313"/>
      <c r="BQ171" s="313"/>
      <c r="BR171" s="313"/>
      <c r="BS171" s="313"/>
      <c r="BT171" s="313"/>
      <c r="BU171" s="313"/>
      <c r="BV171" s="313"/>
      <c r="BW171" s="79"/>
    </row>
    <row r="172" spans="1:75" ht="7.4" customHeight="1" x14ac:dyDescent="0.5">
      <c r="A172" s="42"/>
      <c r="B172" s="311"/>
      <c r="C172" s="311"/>
      <c r="D172" s="41"/>
      <c r="E172" s="42"/>
      <c r="F172" s="319"/>
      <c r="G172" s="319"/>
      <c r="H172" s="319"/>
      <c r="I172" s="319"/>
      <c r="J172" s="319"/>
      <c r="K172" s="319"/>
      <c r="L172" s="319"/>
      <c r="M172" s="319"/>
      <c r="N172" s="319"/>
      <c r="O172" s="319"/>
      <c r="P172" s="319"/>
      <c r="Q172" s="320"/>
      <c r="R172" s="42"/>
      <c r="S172" s="316"/>
      <c r="T172" s="316"/>
      <c r="U172" s="316"/>
      <c r="V172" s="316"/>
      <c r="W172" s="316"/>
      <c r="X172" s="316"/>
      <c r="Y172" s="316"/>
      <c r="Z172" s="316"/>
      <c r="AA172" s="316"/>
      <c r="AB172" s="316"/>
      <c r="AC172" s="316"/>
      <c r="AD172" s="316"/>
      <c r="AE172" s="316"/>
      <c r="AF172" s="316"/>
      <c r="AG172" s="316"/>
      <c r="AH172" s="316"/>
      <c r="AI172" s="316"/>
      <c r="AJ172" s="317"/>
      <c r="AK172" s="42"/>
      <c r="AL172" s="311"/>
      <c r="AM172" s="311"/>
      <c r="AN172" s="311"/>
      <c r="AO172" s="311"/>
      <c r="AP172" s="311"/>
      <c r="AR172" s="128"/>
      <c r="AS172" s="309"/>
      <c r="AT172" s="309"/>
      <c r="AU172" s="309"/>
      <c r="AV172" s="309"/>
      <c r="AW172" s="309"/>
      <c r="AX172" s="309"/>
      <c r="AY172" s="309"/>
      <c r="AZ172" s="309"/>
      <c r="BA172" s="309"/>
      <c r="BB172" s="309"/>
      <c r="BC172" s="309"/>
      <c r="BD172" s="309"/>
      <c r="BE172" s="309"/>
      <c r="BF172" s="309"/>
      <c r="BG172" s="309"/>
      <c r="BH172" s="309"/>
      <c r="BI172" s="41"/>
      <c r="BK172" s="310"/>
      <c r="BL172" s="311"/>
      <c r="BM172" s="311"/>
      <c r="BN172" s="312"/>
      <c r="BO172" s="313"/>
      <c r="BP172" s="313"/>
      <c r="BQ172" s="313"/>
      <c r="BR172" s="313"/>
      <c r="BS172" s="313"/>
      <c r="BT172" s="313"/>
      <c r="BU172" s="313"/>
      <c r="BV172" s="313"/>
      <c r="BW172" s="79"/>
    </row>
    <row r="173" spans="1:75" s="117" customFormat="1" ht="7.4" customHeight="1" x14ac:dyDescent="0.5">
      <c r="A173" s="113"/>
      <c r="B173" s="114"/>
      <c r="C173" s="114"/>
      <c r="D173" s="115"/>
      <c r="E173" s="113"/>
      <c r="F173" s="56"/>
      <c r="G173" s="56"/>
      <c r="H173" s="56"/>
      <c r="I173" s="56"/>
      <c r="J173" s="56"/>
      <c r="K173" s="56"/>
      <c r="L173" s="56"/>
      <c r="M173" s="56"/>
      <c r="N173" s="56"/>
      <c r="O173" s="56"/>
      <c r="P173" s="56"/>
      <c r="Q173" s="115"/>
      <c r="R173" s="113"/>
      <c r="S173" s="116" t="str">
        <f>VLOOKUP(F171,PL!$B$9:$BH$1265,33,FALSE)</f>
        <v>Class4 Coated Steel, M6.3x22</v>
      </c>
      <c r="AJ173" s="115"/>
      <c r="AK173" s="113"/>
      <c r="AL173" s="118"/>
      <c r="AM173" s="118"/>
      <c r="AN173" s="118"/>
      <c r="AO173" s="118"/>
      <c r="AP173" s="118"/>
      <c r="AR173" s="113"/>
      <c r="AS173" s="282"/>
      <c r="AT173" s="282"/>
      <c r="AU173" s="282"/>
      <c r="AV173" s="282"/>
      <c r="AW173" s="282"/>
      <c r="AX173" s="282"/>
      <c r="AY173" s="283"/>
      <c r="AZ173" s="283"/>
      <c r="BA173" s="282"/>
      <c r="BB173" s="282"/>
      <c r="BC173" s="282"/>
      <c r="BD173" s="282"/>
      <c r="BE173" s="282"/>
      <c r="BF173" s="282"/>
      <c r="BG173" s="282"/>
      <c r="BH173" s="282"/>
      <c r="BI173" s="115"/>
      <c r="BK173" s="310"/>
      <c r="BL173" s="311"/>
      <c r="BM173" s="311"/>
      <c r="BN173" s="312"/>
      <c r="BO173" s="313"/>
      <c r="BP173" s="313"/>
      <c r="BQ173" s="313"/>
      <c r="BR173" s="313"/>
      <c r="BS173" s="313"/>
      <c r="BT173" s="313"/>
      <c r="BU173" s="313"/>
      <c r="BV173" s="313"/>
      <c r="BW173" s="79"/>
    </row>
    <row r="174" spans="1:75" ht="7.4" customHeight="1" x14ac:dyDescent="0.5">
      <c r="A174" s="42"/>
      <c r="D174" s="41"/>
      <c r="E174" s="42"/>
      <c r="F174" s="56"/>
      <c r="G174" s="56"/>
      <c r="H174" s="56"/>
      <c r="I174" s="56"/>
      <c r="J174" s="56"/>
      <c r="K174" s="56"/>
      <c r="L174" s="56"/>
      <c r="M174" s="56"/>
      <c r="N174" s="56"/>
      <c r="O174" s="56"/>
      <c r="P174" s="56"/>
      <c r="Q174" s="41"/>
      <c r="R174" s="42"/>
      <c r="S174" s="49"/>
      <c r="AJ174" s="41"/>
      <c r="AK174" s="42"/>
      <c r="AL174" s="75"/>
      <c r="AM174" s="75"/>
      <c r="AN174" s="75"/>
      <c r="AO174" s="75"/>
      <c r="AP174" s="75"/>
      <c r="AR174" s="42"/>
      <c r="AS174" s="282"/>
      <c r="AT174" s="282"/>
      <c r="AU174" s="282"/>
      <c r="AV174" s="282"/>
      <c r="AW174" s="282"/>
      <c r="AX174" s="282"/>
      <c r="AY174" s="191"/>
      <c r="AZ174" s="191"/>
      <c r="BA174" s="282"/>
      <c r="BB174" s="282"/>
      <c r="BC174" s="282"/>
      <c r="BD174" s="282"/>
      <c r="BE174" s="282"/>
      <c r="BF174" s="282"/>
      <c r="BG174" s="282"/>
      <c r="BH174" s="282"/>
      <c r="BI174" s="41"/>
      <c r="BK174" s="42"/>
      <c r="BN174" s="41"/>
      <c r="BO174" s="313"/>
      <c r="BP174" s="313"/>
      <c r="BQ174" s="313"/>
      <c r="BR174" s="313"/>
      <c r="BS174" s="313"/>
      <c r="BT174" s="313"/>
      <c r="BU174" s="313"/>
      <c r="BV174" s="313"/>
      <c r="BW174" s="105"/>
    </row>
    <row r="175" spans="1:75" ht="7.4" customHeight="1" x14ac:dyDescent="0.5">
      <c r="A175" s="42"/>
      <c r="B175" s="311">
        <f>B171+1</f>
        <v>16</v>
      </c>
      <c r="C175" s="311"/>
      <c r="D175" s="41"/>
      <c r="E175" s="42"/>
      <c r="F175" s="314" t="s">
        <v>55</v>
      </c>
      <c r="G175" s="314"/>
      <c r="H175" s="314"/>
      <c r="I175" s="314"/>
      <c r="J175" s="314"/>
      <c r="K175" s="314"/>
      <c r="L175" s="314"/>
      <c r="M175" s="314"/>
      <c r="N175" s="314"/>
      <c r="O175" s="314"/>
      <c r="P175" s="314"/>
      <c r="Q175" s="315"/>
      <c r="R175" s="42"/>
      <c r="S175" s="316" t="str">
        <f>IF(AL175=1,"Transport estimate","Transport excluded")</f>
        <v>Transport excluded</v>
      </c>
      <c r="T175" s="316"/>
      <c r="U175" s="316"/>
      <c r="V175" s="316"/>
      <c r="W175" s="316"/>
      <c r="X175" s="316"/>
      <c r="Y175" s="316"/>
      <c r="Z175" s="316"/>
      <c r="AA175" s="316"/>
      <c r="AB175" s="316"/>
      <c r="AC175" s="316"/>
      <c r="AD175" s="316"/>
      <c r="AE175" s="316"/>
      <c r="AF175" s="316"/>
      <c r="AG175" s="316"/>
      <c r="AH175" s="316"/>
      <c r="AI175" s="316"/>
      <c r="AJ175" s="317"/>
      <c r="AK175" s="42"/>
      <c r="AL175" s="318">
        <v>0</v>
      </c>
      <c r="AM175" s="318"/>
      <c r="AN175" s="318"/>
      <c r="AO175" s="318"/>
      <c r="AP175" s="318"/>
      <c r="AR175" s="128"/>
      <c r="AS175" s="308" t="str">
        <f>VLOOKUP(F175,PL!$B$9:$BH$818,52,FALSE)</f>
        <v>-</v>
      </c>
      <c r="AT175" s="309"/>
      <c r="AU175" s="309"/>
      <c r="AV175" s="309"/>
      <c r="AW175" s="309"/>
      <c r="AX175" s="309"/>
      <c r="AY175" s="309"/>
      <c r="AZ175" s="309"/>
      <c r="BA175" s="309"/>
      <c r="BB175" s="309"/>
      <c r="BC175" s="309"/>
      <c r="BD175" s="309"/>
      <c r="BE175" s="309"/>
      <c r="BF175" s="309"/>
      <c r="BG175" s="309"/>
      <c r="BH175" s="309"/>
      <c r="BI175" s="41"/>
      <c r="BK175" s="310"/>
      <c r="BL175" s="311"/>
      <c r="BM175" s="311"/>
      <c r="BN175" s="312"/>
      <c r="BO175" s="313"/>
      <c r="BP175" s="313"/>
      <c r="BQ175" s="313"/>
      <c r="BR175" s="313"/>
      <c r="BS175" s="313"/>
      <c r="BT175" s="313"/>
      <c r="BU175" s="313"/>
      <c r="BV175" s="313"/>
      <c r="BW175" s="79"/>
    </row>
    <row r="176" spans="1:75" ht="7.4" customHeight="1" x14ac:dyDescent="0.5">
      <c r="A176" s="42"/>
      <c r="B176" s="311"/>
      <c r="C176" s="311"/>
      <c r="D176" s="41"/>
      <c r="E176" s="42"/>
      <c r="F176" s="314"/>
      <c r="G176" s="314"/>
      <c r="H176" s="314"/>
      <c r="I176" s="314"/>
      <c r="J176" s="314"/>
      <c r="K176" s="314"/>
      <c r="L176" s="314"/>
      <c r="M176" s="314"/>
      <c r="N176" s="314"/>
      <c r="O176" s="314"/>
      <c r="P176" s="314"/>
      <c r="Q176" s="315"/>
      <c r="R176" s="42"/>
      <c r="S176" s="316"/>
      <c r="T176" s="316"/>
      <c r="U176" s="316"/>
      <c r="V176" s="316"/>
      <c r="W176" s="316"/>
      <c r="X176" s="316"/>
      <c r="Y176" s="316"/>
      <c r="Z176" s="316"/>
      <c r="AA176" s="316"/>
      <c r="AB176" s="316"/>
      <c r="AC176" s="316"/>
      <c r="AD176" s="316"/>
      <c r="AE176" s="316"/>
      <c r="AF176" s="316"/>
      <c r="AG176" s="316"/>
      <c r="AH176" s="316"/>
      <c r="AI176" s="316"/>
      <c r="AJ176" s="317"/>
      <c r="AK176" s="42"/>
      <c r="AL176" s="318"/>
      <c r="AM176" s="318"/>
      <c r="AN176" s="318"/>
      <c r="AO176" s="318"/>
      <c r="AP176" s="318"/>
      <c r="AR176" s="128"/>
      <c r="AS176" s="309"/>
      <c r="AT176" s="309"/>
      <c r="AU176" s="309"/>
      <c r="AV176" s="309"/>
      <c r="AW176" s="309"/>
      <c r="AX176" s="309"/>
      <c r="AY176" s="309"/>
      <c r="AZ176" s="309"/>
      <c r="BA176" s="309"/>
      <c r="BB176" s="309"/>
      <c r="BC176" s="309"/>
      <c r="BD176" s="309"/>
      <c r="BE176" s="309"/>
      <c r="BF176" s="309"/>
      <c r="BG176" s="309"/>
      <c r="BH176" s="309"/>
      <c r="BI176" s="41"/>
      <c r="BK176" s="310"/>
      <c r="BL176" s="311"/>
      <c r="BM176" s="311"/>
      <c r="BN176" s="312"/>
      <c r="BO176" s="313"/>
      <c r="BP176" s="313"/>
      <c r="BQ176" s="313"/>
      <c r="BR176" s="313"/>
      <c r="BS176" s="313"/>
      <c r="BT176" s="313"/>
      <c r="BU176" s="313"/>
      <c r="BV176" s="313"/>
      <c r="BW176" s="79"/>
    </row>
    <row r="177" spans="1:116" ht="7.4" customHeight="1" x14ac:dyDescent="0.5">
      <c r="A177" s="42"/>
      <c r="B177" s="75"/>
      <c r="C177" s="75"/>
      <c r="D177" s="41"/>
      <c r="E177" s="42"/>
      <c r="F177" s="56"/>
      <c r="G177" s="56"/>
      <c r="H177" s="56"/>
      <c r="I177" s="56"/>
      <c r="J177" s="56"/>
      <c r="K177" s="56"/>
      <c r="L177" s="56"/>
      <c r="M177" s="56"/>
      <c r="N177" s="56"/>
      <c r="O177" s="56"/>
      <c r="P177" s="56"/>
      <c r="Q177" s="126"/>
      <c r="R177" s="42"/>
      <c r="S177" s="49"/>
      <c r="T177" s="49"/>
      <c r="U177" s="49"/>
      <c r="V177" s="49"/>
      <c r="W177" s="49"/>
      <c r="X177" s="49"/>
      <c r="Y177" s="49"/>
      <c r="Z177" s="49"/>
      <c r="AA177" s="49"/>
      <c r="AB177" s="49"/>
      <c r="AC177" s="49"/>
      <c r="AD177" s="49"/>
      <c r="AE177" s="49"/>
      <c r="AF177" s="49"/>
      <c r="AG177" s="49"/>
      <c r="AH177" s="49"/>
      <c r="AI177" s="49"/>
      <c r="AJ177" s="110"/>
      <c r="AK177" s="42"/>
      <c r="AL177" s="127"/>
      <c r="AM177" s="127"/>
      <c r="AN177" s="127"/>
      <c r="AO177" s="127"/>
      <c r="AP177" s="127"/>
      <c r="AR177" s="128"/>
      <c r="AS177" s="285"/>
      <c r="AT177" s="285"/>
      <c r="AU177" s="285"/>
      <c r="AV177" s="285"/>
      <c r="AW177" s="285"/>
      <c r="AX177" s="285"/>
      <c r="AY177" s="191"/>
      <c r="AZ177" s="201"/>
      <c r="BA177" s="282"/>
      <c r="BB177" s="282"/>
      <c r="BC177" s="282"/>
      <c r="BD177" s="282"/>
      <c r="BE177" s="282"/>
      <c r="BF177" s="282"/>
      <c r="BG177" s="282"/>
      <c r="BH177" s="282"/>
      <c r="BI177" s="41"/>
      <c r="BK177" s="310"/>
      <c r="BL177" s="311"/>
      <c r="BM177" s="311"/>
      <c r="BN177" s="312"/>
      <c r="BO177" s="313"/>
      <c r="BP177" s="313"/>
      <c r="BQ177" s="313"/>
      <c r="BR177" s="313"/>
      <c r="BS177" s="313"/>
      <c r="BT177" s="313"/>
      <c r="BU177" s="313"/>
      <c r="BV177" s="313"/>
      <c r="BW177" s="79"/>
    </row>
    <row r="178" spans="1:116" ht="7.4" customHeight="1" x14ac:dyDescent="0.5">
      <c r="A178" s="50"/>
      <c r="B178" s="57"/>
      <c r="C178" s="57"/>
      <c r="D178" s="52"/>
      <c r="E178" s="50"/>
      <c r="F178" s="132"/>
      <c r="G178" s="132"/>
      <c r="H178" s="132"/>
      <c r="I178" s="132"/>
      <c r="J178" s="132"/>
      <c r="K178" s="132"/>
      <c r="L178" s="132"/>
      <c r="M178" s="132"/>
      <c r="N178" s="132"/>
      <c r="O178" s="132"/>
      <c r="P178" s="132"/>
      <c r="Q178" s="133"/>
      <c r="R178" s="50"/>
      <c r="S178" s="51"/>
      <c r="T178" s="51"/>
      <c r="U178" s="51"/>
      <c r="V178" s="51"/>
      <c r="W178" s="51"/>
      <c r="X178" s="51"/>
      <c r="Y178" s="51"/>
      <c r="Z178" s="51"/>
      <c r="AA178" s="51"/>
      <c r="AB178" s="51"/>
      <c r="AC178" s="51"/>
      <c r="AD178" s="51"/>
      <c r="AE178" s="51"/>
      <c r="AF178" s="51"/>
      <c r="AG178" s="51"/>
      <c r="AH178" s="51"/>
      <c r="AI178" s="51"/>
      <c r="AJ178" s="52"/>
      <c r="AK178" s="50"/>
      <c r="AL178" s="134"/>
      <c r="AM178" s="134"/>
      <c r="AN178" s="134"/>
      <c r="AO178" s="134"/>
      <c r="AP178" s="134"/>
      <c r="AQ178" s="51"/>
      <c r="AR178" s="50"/>
      <c r="AS178" s="135"/>
      <c r="AT178" s="135"/>
      <c r="AU178" s="135"/>
      <c r="AV178" s="135"/>
      <c r="AW178" s="135"/>
      <c r="AX178" s="135"/>
      <c r="AY178" s="51"/>
      <c r="AZ178" s="51"/>
      <c r="BA178" s="135"/>
      <c r="BB178" s="135"/>
      <c r="BC178" s="135"/>
      <c r="BD178" s="135"/>
      <c r="BE178" s="135"/>
      <c r="BF178" s="135"/>
      <c r="BG178" s="135"/>
      <c r="BH178" s="135"/>
      <c r="BI178" s="52"/>
      <c r="BK178" s="50"/>
      <c r="BL178" s="51"/>
      <c r="BM178" s="51"/>
      <c r="BN178" s="52"/>
      <c r="BO178" s="313"/>
      <c r="BP178" s="313"/>
      <c r="BQ178" s="313"/>
      <c r="BR178" s="313"/>
      <c r="BS178" s="313"/>
      <c r="BT178" s="313"/>
      <c r="BU178" s="313"/>
      <c r="BV178" s="313"/>
      <c r="BW178" s="105"/>
    </row>
    <row r="180" spans="1:116" ht="7.4" customHeight="1" x14ac:dyDescent="0.5">
      <c r="A180" s="297" t="s">
        <v>56</v>
      </c>
      <c r="B180" s="297"/>
      <c r="C180" s="297"/>
      <c r="D180" s="297"/>
      <c r="E180" s="297"/>
      <c r="F180" s="297"/>
      <c r="G180" s="297"/>
      <c r="H180" s="297"/>
      <c r="I180" s="297"/>
      <c r="J180" s="297"/>
      <c r="K180" s="297"/>
      <c r="L180" s="297"/>
      <c r="M180" s="297"/>
      <c r="N180" s="297"/>
      <c r="O180" s="297"/>
      <c r="P180" s="297"/>
      <c r="Q180" s="297"/>
      <c r="R180" s="297"/>
      <c r="S180" s="297"/>
      <c r="T180" s="297"/>
      <c r="U180" s="297"/>
      <c r="V180" s="297"/>
      <c r="W180" s="297"/>
      <c r="X180" s="297"/>
      <c r="Y180" s="297"/>
      <c r="Z180" s="297"/>
      <c r="AA180" s="297"/>
      <c r="AB180" s="297"/>
      <c r="AC180" s="297"/>
      <c r="AD180" s="297"/>
      <c r="AE180" s="297"/>
      <c r="AF180" s="297"/>
      <c r="AG180" s="297"/>
      <c r="AH180" s="297"/>
      <c r="AI180" s="297"/>
      <c r="AJ180" s="297"/>
      <c r="AK180" s="297"/>
      <c r="AL180" s="297"/>
      <c r="AM180" s="297"/>
      <c r="AN180" s="297"/>
      <c r="AO180" s="297"/>
      <c r="AP180" s="297"/>
      <c r="AQ180" s="297"/>
      <c r="AR180" s="297"/>
      <c r="AS180" s="297"/>
      <c r="AT180" s="297"/>
      <c r="AU180" s="297"/>
      <c r="AV180" s="297"/>
      <c r="AW180" s="297"/>
      <c r="AX180" s="297"/>
      <c r="AY180" s="297"/>
      <c r="AZ180" s="297"/>
      <c r="BA180" s="297"/>
      <c r="BB180" s="297"/>
      <c r="BC180" s="297"/>
      <c r="BD180" s="297"/>
      <c r="BE180" s="297"/>
      <c r="BF180" s="297"/>
      <c r="BG180" s="297"/>
      <c r="BH180" s="297"/>
      <c r="BI180" s="297"/>
      <c r="DH180" s="75"/>
      <c r="DI180" s="75"/>
      <c r="DJ180" s="75"/>
      <c r="DK180" s="75"/>
      <c r="DL180" s="75"/>
    </row>
    <row r="181" spans="1:116" ht="7.4" customHeight="1" x14ac:dyDescent="0.5">
      <c r="A181" s="297"/>
      <c r="B181" s="297"/>
      <c r="C181" s="297"/>
      <c r="D181" s="297"/>
      <c r="E181" s="297"/>
      <c r="F181" s="297"/>
      <c r="G181" s="297"/>
      <c r="H181" s="297"/>
      <c r="I181" s="297"/>
      <c r="J181" s="297"/>
      <c r="K181" s="297"/>
      <c r="L181" s="297"/>
      <c r="M181" s="297"/>
      <c r="N181" s="297"/>
      <c r="O181" s="297"/>
      <c r="P181" s="297"/>
      <c r="Q181" s="297"/>
      <c r="R181" s="297"/>
      <c r="S181" s="297"/>
      <c r="T181" s="297"/>
      <c r="U181" s="297"/>
      <c r="V181" s="297"/>
      <c r="W181" s="297"/>
      <c r="X181" s="297"/>
      <c r="Y181" s="297"/>
      <c r="Z181" s="297"/>
      <c r="AA181" s="297"/>
      <c r="AB181" s="297"/>
      <c r="AC181" s="297"/>
      <c r="AD181" s="297"/>
      <c r="AE181" s="297"/>
      <c r="AF181" s="297"/>
      <c r="AG181" s="297"/>
      <c r="AH181" s="297"/>
      <c r="AI181" s="297"/>
      <c r="AJ181" s="297"/>
      <c r="AK181" s="297"/>
      <c r="AL181" s="297"/>
      <c r="AM181" s="297"/>
      <c r="AN181" s="297"/>
      <c r="AO181" s="297"/>
      <c r="AP181" s="297"/>
      <c r="AQ181" s="297"/>
      <c r="AR181" s="297"/>
      <c r="AS181" s="297"/>
      <c r="AT181" s="297"/>
      <c r="AU181" s="297"/>
      <c r="AV181" s="297"/>
      <c r="AW181" s="297"/>
      <c r="AX181" s="297"/>
      <c r="AY181" s="297"/>
      <c r="AZ181" s="297"/>
      <c r="BA181" s="297"/>
      <c r="BB181" s="297"/>
      <c r="BC181" s="297"/>
      <c r="BD181" s="297"/>
      <c r="BE181" s="297"/>
      <c r="BF181" s="297"/>
      <c r="BG181" s="297"/>
      <c r="BH181" s="297"/>
      <c r="BI181" s="297"/>
      <c r="DH181" s="75"/>
      <c r="DI181" s="75"/>
      <c r="DJ181" s="75"/>
      <c r="DK181" s="75"/>
      <c r="DL181" s="75"/>
    </row>
    <row r="182" spans="1:116" ht="7.4" customHeight="1" x14ac:dyDescent="0.5">
      <c r="DH182" s="75"/>
      <c r="DI182" s="75"/>
      <c r="DJ182" s="75"/>
      <c r="DK182" s="75"/>
      <c r="DL182" s="75"/>
    </row>
    <row r="183" spans="1:116" ht="7.4" customHeight="1" x14ac:dyDescent="0.5">
      <c r="A183" s="298" t="s">
        <v>57</v>
      </c>
      <c r="B183" s="298"/>
      <c r="C183" s="298"/>
      <c r="D183" s="298"/>
      <c r="E183" s="298"/>
      <c r="F183" s="298"/>
      <c r="G183" s="298"/>
      <c r="H183" s="298"/>
      <c r="I183" s="298"/>
      <c r="J183" s="298"/>
      <c r="K183" s="298"/>
      <c r="L183" s="298"/>
      <c r="M183" s="298"/>
      <c r="N183" s="298"/>
      <c r="O183" s="298"/>
      <c r="P183" s="298"/>
      <c r="Q183" s="298"/>
      <c r="R183" s="298"/>
      <c r="S183" s="298"/>
      <c r="T183" s="298"/>
      <c r="U183" s="298"/>
      <c r="V183" s="298"/>
      <c r="W183" s="298"/>
      <c r="X183" s="298"/>
      <c r="Y183" s="298"/>
      <c r="Z183" s="298"/>
      <c r="AA183" s="298"/>
      <c r="AB183" s="298"/>
      <c r="AC183" s="298"/>
      <c r="AD183" s="298"/>
      <c r="AE183" s="298"/>
      <c r="AF183" s="298"/>
      <c r="AG183" s="298"/>
      <c r="AH183" s="298"/>
      <c r="AI183" s="298"/>
      <c r="AJ183" s="298"/>
      <c r="AK183" s="298"/>
      <c r="AL183" s="298"/>
      <c r="AM183" s="298"/>
      <c r="AN183" s="298"/>
      <c r="AO183" s="298"/>
      <c r="AP183" s="298"/>
      <c r="AQ183" s="298"/>
      <c r="AR183" s="298"/>
      <c r="AS183" s="298"/>
      <c r="AT183" s="298"/>
      <c r="AU183" s="298"/>
      <c r="AV183" s="298"/>
      <c r="AW183" s="298"/>
      <c r="AX183" s="298"/>
      <c r="AY183" s="298"/>
      <c r="AZ183" s="298"/>
      <c r="BA183" s="298"/>
      <c r="BB183" s="298"/>
      <c r="BC183" s="298"/>
      <c r="BD183" s="298"/>
      <c r="BE183" s="298"/>
      <c r="BF183" s="298"/>
      <c r="BG183" s="298"/>
      <c r="BH183" s="298"/>
      <c r="BI183" s="298"/>
      <c r="DH183" s="75"/>
      <c r="DI183" s="75"/>
      <c r="DJ183" s="75"/>
      <c r="DK183" s="75"/>
      <c r="DL183" s="75"/>
    </row>
    <row r="184" spans="1:116" ht="7.4" customHeight="1" x14ac:dyDescent="0.5">
      <c r="A184" s="298"/>
      <c r="B184" s="298"/>
      <c r="C184" s="298"/>
      <c r="D184" s="298"/>
      <c r="E184" s="298"/>
      <c r="F184" s="298"/>
      <c r="G184" s="298"/>
      <c r="H184" s="298"/>
      <c r="I184" s="298"/>
      <c r="J184" s="298"/>
      <c r="K184" s="298"/>
      <c r="L184" s="298"/>
      <c r="M184" s="298"/>
      <c r="N184" s="298"/>
      <c r="O184" s="298"/>
      <c r="P184" s="298"/>
      <c r="Q184" s="298"/>
      <c r="R184" s="298"/>
      <c r="S184" s="298"/>
      <c r="T184" s="298"/>
      <c r="U184" s="298"/>
      <c r="V184" s="298"/>
      <c r="W184" s="298"/>
      <c r="X184" s="298"/>
      <c r="Y184" s="298"/>
      <c r="Z184" s="298"/>
      <c r="AA184" s="298"/>
      <c r="AB184" s="298"/>
      <c r="AC184" s="298"/>
      <c r="AD184" s="298"/>
      <c r="AE184" s="298"/>
      <c r="AF184" s="298"/>
      <c r="AG184" s="298"/>
      <c r="AH184" s="298"/>
      <c r="AI184" s="298"/>
      <c r="AJ184" s="298"/>
      <c r="AK184" s="298"/>
      <c r="AL184" s="298"/>
      <c r="AM184" s="298"/>
      <c r="AN184" s="298"/>
      <c r="AO184" s="298"/>
      <c r="AP184" s="298"/>
      <c r="AQ184" s="298"/>
      <c r="AR184" s="298"/>
      <c r="AS184" s="298"/>
      <c r="AT184" s="298"/>
      <c r="AU184" s="298"/>
      <c r="AV184" s="298"/>
      <c r="AW184" s="298"/>
      <c r="AX184" s="298"/>
      <c r="AY184" s="298"/>
      <c r="AZ184" s="298"/>
      <c r="BA184" s="298"/>
      <c r="BB184" s="298"/>
      <c r="BC184" s="298"/>
      <c r="BD184" s="298"/>
      <c r="BE184" s="298"/>
      <c r="BF184" s="298"/>
      <c r="BG184" s="298"/>
      <c r="BH184" s="298"/>
      <c r="BI184" s="298"/>
      <c r="DH184" s="75"/>
      <c r="DI184" s="75"/>
      <c r="DJ184" s="75"/>
      <c r="DK184" s="75"/>
      <c r="DL184" s="75"/>
    </row>
    <row r="185" spans="1:116" ht="7.4" customHeight="1" x14ac:dyDescent="0.5">
      <c r="DH185" s="75"/>
      <c r="DI185" s="75"/>
      <c r="DJ185" s="75"/>
      <c r="DK185" s="75"/>
      <c r="DL185" s="75"/>
    </row>
    <row r="186" spans="1:116" ht="7.4" customHeight="1" x14ac:dyDescent="0.5">
      <c r="DH186" s="75"/>
      <c r="DI186" s="75"/>
      <c r="DJ186" s="75"/>
      <c r="DK186" s="75"/>
      <c r="DL186" s="75"/>
    </row>
    <row r="187" spans="1:116" ht="7.4" customHeight="1" x14ac:dyDescent="0.5">
      <c r="DH187" s="75"/>
      <c r="DI187" s="75"/>
      <c r="DJ187" s="75"/>
      <c r="DK187" s="75"/>
      <c r="DL187" s="75"/>
    </row>
    <row r="188" spans="1:116" ht="7.4" customHeight="1" x14ac:dyDescent="0.5">
      <c r="DH188" s="75"/>
      <c r="DI188" s="75"/>
      <c r="DJ188" s="75"/>
      <c r="DK188" s="75"/>
      <c r="DL188" s="75"/>
    </row>
    <row r="189" spans="1:116" ht="7.4" customHeight="1" x14ac:dyDescent="0.5">
      <c r="DH189" s="75"/>
      <c r="DI189" s="75"/>
      <c r="DJ189" s="75"/>
      <c r="DK189" s="75"/>
      <c r="DL189" s="75"/>
    </row>
    <row r="190" spans="1:116" ht="7.4" customHeight="1" x14ac:dyDescent="0.5">
      <c r="DH190" s="75"/>
      <c r="DI190" s="75"/>
      <c r="DJ190" s="75"/>
      <c r="DK190" s="75"/>
      <c r="DL190" s="75"/>
    </row>
    <row r="191" spans="1:116" ht="7.4" customHeight="1" x14ac:dyDescent="0.5">
      <c r="DH191" s="75"/>
      <c r="DI191" s="75"/>
      <c r="DJ191" s="75"/>
      <c r="DK191" s="75"/>
      <c r="DL191" s="75"/>
    </row>
    <row r="192" spans="1:116" ht="7.4" customHeight="1" x14ac:dyDescent="0.5">
      <c r="DH192" s="75"/>
      <c r="DI192" s="75"/>
      <c r="DJ192" s="75"/>
      <c r="DK192" s="75"/>
      <c r="DL192" s="75"/>
    </row>
    <row r="193" spans="112:116" ht="7.4" customHeight="1" x14ac:dyDescent="0.5">
      <c r="DH193" s="75"/>
      <c r="DI193" s="75"/>
      <c r="DJ193" s="75"/>
      <c r="DK193" s="75"/>
      <c r="DL193" s="75"/>
    </row>
    <row r="194" spans="112:116" ht="7.4" customHeight="1" x14ac:dyDescent="0.5">
      <c r="DH194" s="75"/>
      <c r="DI194" s="75"/>
      <c r="DJ194" s="75"/>
      <c r="DK194" s="75"/>
      <c r="DL194" s="75"/>
    </row>
    <row r="195" spans="112:116" ht="7.4" customHeight="1" x14ac:dyDescent="0.5">
      <c r="DH195" s="75"/>
      <c r="DI195" s="75"/>
      <c r="DJ195" s="75"/>
      <c r="DK195" s="75"/>
      <c r="DL195" s="75"/>
    </row>
    <row r="196" spans="112:116" ht="7.4" customHeight="1" x14ac:dyDescent="0.5">
      <c r="DH196" s="75"/>
      <c r="DI196" s="75"/>
      <c r="DJ196" s="75"/>
      <c r="DK196" s="75"/>
      <c r="DL196" s="75"/>
    </row>
    <row r="197" spans="112:116" ht="7.4" customHeight="1" x14ac:dyDescent="0.5">
      <c r="DH197" s="75"/>
      <c r="DI197" s="75"/>
      <c r="DJ197" s="75"/>
      <c r="DK197" s="75"/>
      <c r="DL197" s="75"/>
    </row>
    <row r="198" spans="112:116" ht="7.4" customHeight="1" x14ac:dyDescent="0.5">
      <c r="DH198" s="75"/>
      <c r="DI198" s="75"/>
      <c r="DJ198" s="75"/>
      <c r="DK198" s="75"/>
      <c r="DL198" s="75"/>
    </row>
  </sheetData>
  <sheetProtection algorithmName="SHA-512" hashValue="79rRqQoRCMfUX2StUp3fpiV8MCf3CUOAX8vGyYcYwdyO0e5q5i590jyF7R1tusn4LTy88MtNZKWBS8/dlt8YGA==" saltValue="Pc9mZdcMIgH4Cwe6lEy/wg==" spinCount="100000" sheet="1" objects="1" scenarios="1" selectLockedCells="1"/>
  <mergeCells count="231">
    <mergeCell ref="C17:F18"/>
    <mergeCell ref="G17:X18"/>
    <mergeCell ref="Y17:AC18"/>
    <mergeCell ref="AD17:AS18"/>
    <mergeCell ref="AT17:AW18"/>
    <mergeCell ref="AX17:BH18"/>
    <mergeCell ref="C1:AI9"/>
    <mergeCell ref="AN1:BH2"/>
    <mergeCell ref="AN3:BH4"/>
    <mergeCell ref="AN5:BH6"/>
    <mergeCell ref="AN7:BH8"/>
    <mergeCell ref="A10:AL15"/>
    <mergeCell ref="AN11:AV12"/>
    <mergeCell ref="AX11:BH12"/>
    <mergeCell ref="AN13:AV14"/>
    <mergeCell ref="AX13:BH14"/>
    <mergeCell ref="BE25:BG27"/>
    <mergeCell ref="D28:V30"/>
    <mergeCell ref="X28:AA30"/>
    <mergeCell ref="AB28:AD30"/>
    <mergeCell ref="AG28:AY30"/>
    <mergeCell ref="AZ28:BG30"/>
    <mergeCell ref="T21:AP22"/>
    <mergeCell ref="C25:V27"/>
    <mergeCell ref="X25:AA27"/>
    <mergeCell ref="AB25:AD27"/>
    <mergeCell ref="AF25:AY27"/>
    <mergeCell ref="BA25:BD27"/>
    <mergeCell ref="U36:Z37"/>
    <mergeCell ref="AA36:AJ37"/>
    <mergeCell ref="AY36:BH37"/>
    <mergeCell ref="BK36:BP37"/>
    <mergeCell ref="AL37:AW38"/>
    <mergeCell ref="B32:S34"/>
    <mergeCell ref="U32:AJ34"/>
    <mergeCell ref="AL32:AW34"/>
    <mergeCell ref="AY32:BH34"/>
    <mergeCell ref="BK34:BP35"/>
    <mergeCell ref="AL35:AW36"/>
    <mergeCell ref="B36:G37"/>
    <mergeCell ref="H36:J37"/>
    <mergeCell ref="K36:P37"/>
    <mergeCell ref="Q36:S37"/>
    <mergeCell ref="CI105:CN106"/>
    <mergeCell ref="CO105:CT106"/>
    <mergeCell ref="T106:AP107"/>
    <mergeCell ref="CI107:CN108"/>
    <mergeCell ref="CO107:CT108"/>
    <mergeCell ref="A42:BI43"/>
    <mergeCell ref="BK101:BP102"/>
    <mergeCell ref="BQ101:BW102"/>
    <mergeCell ref="BX101:CC102"/>
    <mergeCell ref="BK105:BO106"/>
    <mergeCell ref="BK103:BP104"/>
    <mergeCell ref="BQ103:BW104"/>
    <mergeCell ref="BX103:CC104"/>
    <mergeCell ref="BK107:BO108"/>
    <mergeCell ref="BO114:BV114"/>
    <mergeCell ref="B115:C116"/>
    <mergeCell ref="F115:Q116"/>
    <mergeCell ref="S115:AJ116"/>
    <mergeCell ref="AL115:AP116"/>
    <mergeCell ref="CO109:CT109"/>
    <mergeCell ref="B110:D113"/>
    <mergeCell ref="F110:Q113"/>
    <mergeCell ref="S110:AJ113"/>
    <mergeCell ref="AL110:AQ113"/>
    <mergeCell ref="BK111:BN112"/>
    <mergeCell ref="BO111:BW112"/>
    <mergeCell ref="BO118:BV118"/>
    <mergeCell ref="B119:C120"/>
    <mergeCell ref="F119:Q120"/>
    <mergeCell ref="S119:AE120"/>
    <mergeCell ref="AF119:AJ120"/>
    <mergeCell ref="AL119:AP120"/>
    <mergeCell ref="BK115:BN116"/>
    <mergeCell ref="BO115:BV116"/>
    <mergeCell ref="B117:C117"/>
    <mergeCell ref="BK117:BN117"/>
    <mergeCell ref="BO117:BV117"/>
    <mergeCell ref="BO122:BV122"/>
    <mergeCell ref="B123:C124"/>
    <mergeCell ref="F123:Q124"/>
    <mergeCell ref="S123:AJ124"/>
    <mergeCell ref="AL123:AP124"/>
    <mergeCell ref="BK119:BN120"/>
    <mergeCell ref="BO119:BV120"/>
    <mergeCell ref="BK121:BN121"/>
    <mergeCell ref="BO121:BV121"/>
    <mergeCell ref="BO126:BV126"/>
    <mergeCell ref="B127:C128"/>
    <mergeCell ref="F127:Q128"/>
    <mergeCell ref="S127:AJ128"/>
    <mergeCell ref="AL127:AP128"/>
    <mergeCell ref="BK123:BN124"/>
    <mergeCell ref="BO123:BV124"/>
    <mergeCell ref="BK125:BN125"/>
    <mergeCell ref="BO125:BV125"/>
    <mergeCell ref="BO131:BV132"/>
    <mergeCell ref="BK133:BN133"/>
    <mergeCell ref="BO133:BV133"/>
    <mergeCell ref="BO130:BV130"/>
    <mergeCell ref="B131:C132"/>
    <mergeCell ref="F131:Q132"/>
    <mergeCell ref="S131:AJ132"/>
    <mergeCell ref="AL131:AP132"/>
    <mergeCell ref="BK127:BN128"/>
    <mergeCell ref="BO127:BV128"/>
    <mergeCell ref="BK129:BN129"/>
    <mergeCell ref="BO129:BV129"/>
    <mergeCell ref="BO135:BV136"/>
    <mergeCell ref="BK137:BN137"/>
    <mergeCell ref="BO137:BV137"/>
    <mergeCell ref="AS135:BH136"/>
    <mergeCell ref="BO134:BV134"/>
    <mergeCell ref="B135:C136"/>
    <mergeCell ref="F135:Q136"/>
    <mergeCell ref="S135:AJ136"/>
    <mergeCell ref="AL135:AP136"/>
    <mergeCell ref="BO139:BV140"/>
    <mergeCell ref="BK141:BN141"/>
    <mergeCell ref="BO141:BV141"/>
    <mergeCell ref="AS139:BH140"/>
    <mergeCell ref="BO138:BV138"/>
    <mergeCell ref="B139:C140"/>
    <mergeCell ref="F139:Q140"/>
    <mergeCell ref="S139:AJ140"/>
    <mergeCell ref="AL139:AP140"/>
    <mergeCell ref="BO143:BV144"/>
    <mergeCell ref="BK145:BN145"/>
    <mergeCell ref="BO145:BV145"/>
    <mergeCell ref="AS143:BH144"/>
    <mergeCell ref="BO142:BV142"/>
    <mergeCell ref="B143:C144"/>
    <mergeCell ref="F143:Q144"/>
    <mergeCell ref="S143:AJ144"/>
    <mergeCell ref="AL143:AP144"/>
    <mergeCell ref="BO147:BV148"/>
    <mergeCell ref="BK149:BN149"/>
    <mergeCell ref="BO149:BV149"/>
    <mergeCell ref="AS147:BH148"/>
    <mergeCell ref="BO146:BV146"/>
    <mergeCell ref="B147:C148"/>
    <mergeCell ref="F147:Q148"/>
    <mergeCell ref="S147:AJ148"/>
    <mergeCell ref="AL147:AP148"/>
    <mergeCell ref="BO151:BV152"/>
    <mergeCell ref="BK153:BN153"/>
    <mergeCell ref="BO153:BV153"/>
    <mergeCell ref="AS151:BH152"/>
    <mergeCell ref="BO150:BV150"/>
    <mergeCell ref="B151:C152"/>
    <mergeCell ref="F151:Q152"/>
    <mergeCell ref="S151:AJ152"/>
    <mergeCell ref="AL151:AP152"/>
    <mergeCell ref="BO155:BV156"/>
    <mergeCell ref="BK157:BN157"/>
    <mergeCell ref="BO157:BV157"/>
    <mergeCell ref="AS155:BH156"/>
    <mergeCell ref="BO154:BV154"/>
    <mergeCell ref="B155:C156"/>
    <mergeCell ref="F155:Q156"/>
    <mergeCell ref="S155:AJ156"/>
    <mergeCell ref="AL155:AP156"/>
    <mergeCell ref="BO159:BV160"/>
    <mergeCell ref="BK161:BN161"/>
    <mergeCell ref="BO161:BV161"/>
    <mergeCell ref="AS159:BH160"/>
    <mergeCell ref="BO158:BV158"/>
    <mergeCell ref="B159:C160"/>
    <mergeCell ref="F159:Q160"/>
    <mergeCell ref="S159:AJ160"/>
    <mergeCell ref="AL159:AP160"/>
    <mergeCell ref="BO163:BV164"/>
    <mergeCell ref="BK165:BN165"/>
    <mergeCell ref="BO165:BV165"/>
    <mergeCell ref="AS163:BH164"/>
    <mergeCell ref="BO162:BV162"/>
    <mergeCell ref="B163:C164"/>
    <mergeCell ref="F163:Q164"/>
    <mergeCell ref="S163:AJ164"/>
    <mergeCell ref="AL163:AP164"/>
    <mergeCell ref="BO167:BV168"/>
    <mergeCell ref="BK169:BN169"/>
    <mergeCell ref="BO169:BV169"/>
    <mergeCell ref="AS167:BH168"/>
    <mergeCell ref="BO166:BV166"/>
    <mergeCell ref="B167:C168"/>
    <mergeCell ref="F167:Q168"/>
    <mergeCell ref="S167:AJ168"/>
    <mergeCell ref="AL167:AP168"/>
    <mergeCell ref="BO171:BV172"/>
    <mergeCell ref="BK173:BN173"/>
    <mergeCell ref="BO173:BV173"/>
    <mergeCell ref="AS171:BH172"/>
    <mergeCell ref="BO170:BV170"/>
    <mergeCell ref="B171:C172"/>
    <mergeCell ref="F171:Q172"/>
    <mergeCell ref="S171:AJ172"/>
    <mergeCell ref="AL171:AP172"/>
    <mergeCell ref="BO175:BV176"/>
    <mergeCell ref="BK177:BN177"/>
    <mergeCell ref="BO177:BV177"/>
    <mergeCell ref="BO178:BV178"/>
    <mergeCell ref="AS175:BH176"/>
    <mergeCell ref="BO174:BV174"/>
    <mergeCell ref="B175:C176"/>
    <mergeCell ref="F175:Q176"/>
    <mergeCell ref="S175:AJ176"/>
    <mergeCell ref="AL175:AP176"/>
    <mergeCell ref="A180:BI181"/>
    <mergeCell ref="A183:BI184"/>
    <mergeCell ref="AR110:BI113"/>
    <mergeCell ref="AS115:BH116"/>
    <mergeCell ref="AS119:BH120"/>
    <mergeCell ref="AS123:BH124"/>
    <mergeCell ref="AS127:BH128"/>
    <mergeCell ref="AS131:BH132"/>
    <mergeCell ref="BK175:BN176"/>
    <mergeCell ref="BK171:BN172"/>
    <mergeCell ref="BK167:BN168"/>
    <mergeCell ref="BK163:BN164"/>
    <mergeCell ref="BK159:BN160"/>
    <mergeCell ref="BK155:BN156"/>
    <mergeCell ref="BK151:BN152"/>
    <mergeCell ref="BK147:BN148"/>
    <mergeCell ref="BK143:BN144"/>
    <mergeCell ref="BK139:BN140"/>
    <mergeCell ref="BK135:BN136"/>
    <mergeCell ref="BK131:BN132"/>
    <mergeCell ref="BK114:BN114"/>
  </mergeCells>
  <dataValidations count="7">
    <dataValidation type="list" allowBlank="1" showInputMessage="1" showErrorMessage="1" sqref="AY36" xr:uid="{2CA3C50D-C427-4413-9484-565BA80A2660}">
      <formula1>"300,415,475"</formula1>
    </dataValidation>
    <dataValidation type="list" allowBlank="1" showInputMessage="1" showErrorMessage="1" sqref="AZ28" xr:uid="{B69B95BE-B916-48B1-BBB5-CC50DF32CEF3}">
      <formula1>"Included,Not Required"</formula1>
    </dataValidation>
    <dataValidation type="list" allowBlank="1" showInputMessage="1" showErrorMessage="1" sqref="AA36" xr:uid="{552C8490-28A9-4F8A-9630-B6C060C30DF9}">
      <formula1>$BK$1:$BK$25</formula1>
    </dataValidation>
    <dataValidation type="list" allowBlank="1" showInputMessage="1" showErrorMessage="1" sqref="CI115:CN115" xr:uid="{D11223BB-31DB-46FC-9D9E-469195B96C7A}">
      <formula1>"USD,ZAR"</formula1>
    </dataValidation>
    <dataValidation type="list" allowBlank="1" showInputMessage="1" showErrorMessage="1" sqref="AL35" xr:uid="{D770AF36-69CE-47FC-B586-8AC49241844F}">
      <formula1>"Included,Not Included"</formula1>
    </dataValidation>
    <dataValidation type="list" allowBlank="1" showInputMessage="1" showErrorMessage="1" sqref="X28" xr:uid="{252EEA9B-9DFB-492E-9BB2-5FF753664C0E}">
      <formula1>"0,10,15,20,25,30"</formula1>
    </dataValidation>
    <dataValidation type="list" allowBlank="1" showInputMessage="1" showErrorMessage="1" sqref="CI107:CN108" xr:uid="{2919E2A4-15F9-4736-BF1A-6E2F8C6CD55B}">
      <formula1>"EUR,USD,ZAR"</formula1>
    </dataValidation>
  </dataValidations>
  <pageMargins left="0.7" right="0.7" top="0.75" bottom="0.75" header="0.3" footer="0.3"/>
  <pageSetup paperSize="9" scale="85" fitToWidth="0" fitToHeight="0" orientation="portrait" r:id="rId1"/>
  <headerFooter>
    <oddFooter>&amp;R&amp;"Yu Gothic Medium,Regular"&amp;10Page &amp;P of &amp;N</oddFooter>
  </headerFooter>
  <rowBreaks count="1" manualBreakCount="1">
    <brk id="104" max="8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ACD01-8A75-4FEC-A6A3-84DCE4CFEFAB}">
  <sheetPr codeName="Sheet36">
    <tabColor theme="3" tint="0.499984740745262"/>
  </sheetPr>
  <dimension ref="A1:ME197"/>
  <sheetViews>
    <sheetView view="pageBreakPreview" topLeftCell="A184" zoomScale="115" zoomScaleNormal="100" zoomScaleSheetLayoutView="115" workbookViewId="0">
      <selection activeCell="X78" sqref="X78:AO79"/>
    </sheetView>
  </sheetViews>
  <sheetFormatPr defaultColWidth="1.54296875" defaultRowHeight="7.4" customHeight="1" x14ac:dyDescent="0.5"/>
  <cols>
    <col min="1" max="2" width="1.54296875" style="24"/>
    <col min="3" max="3" width="1.54296875" style="24" customWidth="1"/>
    <col min="4" max="6" width="1.54296875" style="24"/>
    <col min="7" max="7" width="1.54296875" style="24" customWidth="1"/>
    <col min="8" max="19" width="1.54296875" style="24"/>
    <col min="20" max="20" width="1.54296875" style="24" customWidth="1"/>
    <col min="21" max="22" width="1.54296875" style="24"/>
    <col min="23" max="23" width="1.54296875" style="24" customWidth="1"/>
    <col min="24" max="30" width="1.54296875" style="24"/>
    <col min="31" max="31" width="2.453125" style="24" bestFit="1" customWidth="1"/>
    <col min="32" max="33" width="1.54296875" style="24"/>
    <col min="34" max="34" width="1.54296875" style="24" customWidth="1"/>
    <col min="35" max="35" width="1.54296875" style="24"/>
    <col min="36" max="36" width="1.54296875" style="24" customWidth="1"/>
    <col min="37" max="37" width="1.54296875" style="24"/>
    <col min="38" max="38" width="1.54296875" style="24" customWidth="1"/>
    <col min="39" max="41" width="1.54296875" style="24"/>
    <col min="42" max="53" width="1.54296875" style="24" customWidth="1"/>
    <col min="54" max="54" width="1.54296875" style="24"/>
    <col min="55" max="55" width="1.453125" style="24" customWidth="1"/>
    <col min="56" max="61" width="1.54296875" style="24"/>
    <col min="62" max="62" width="0" style="24" hidden="1" customWidth="1"/>
    <col min="63" max="81" width="1.453125" style="24" hidden="1" customWidth="1"/>
    <col min="82" max="83" width="0" style="24" hidden="1" customWidth="1"/>
    <col min="84" max="111" width="1.453125" style="24" hidden="1" customWidth="1"/>
    <col min="112" max="116" width="1.453125" style="75" hidden="1" customWidth="1"/>
    <col min="117" max="126" width="0" style="24" hidden="1" customWidth="1"/>
    <col min="127" max="343" width="4" style="24" hidden="1" customWidth="1"/>
    <col min="344" max="16384" width="1.54296875" style="24"/>
  </cols>
  <sheetData>
    <row r="1" spans="1:61" ht="7.4" customHeight="1" x14ac:dyDescent="0.5">
      <c r="C1" s="333" t="e" vm="2">
        <v>#VALUE!</v>
      </c>
      <c r="D1" s="333"/>
      <c r="E1" s="333"/>
      <c r="F1" s="333"/>
      <c r="G1" s="333"/>
      <c r="H1" s="333"/>
      <c r="I1" s="333"/>
      <c r="J1" s="333"/>
      <c r="K1" s="333"/>
      <c r="L1" s="333"/>
      <c r="M1" s="333"/>
      <c r="N1" s="333"/>
      <c r="O1" s="333"/>
      <c r="P1" s="333"/>
      <c r="Q1" s="333"/>
      <c r="R1" s="333"/>
      <c r="S1" s="333"/>
      <c r="T1" s="333"/>
      <c r="U1" s="333"/>
      <c r="V1" s="333"/>
      <c r="W1" s="333"/>
      <c r="X1" s="333"/>
      <c r="Y1" s="333"/>
      <c r="Z1" s="333"/>
      <c r="AA1" s="333"/>
      <c r="AB1" s="333"/>
      <c r="AC1" s="333"/>
      <c r="AD1" s="333"/>
      <c r="AE1" s="333"/>
      <c r="AF1" s="333"/>
      <c r="AG1" s="333"/>
      <c r="AH1" s="333"/>
      <c r="AI1" s="333"/>
      <c r="AN1" s="405" t="s">
        <v>0</v>
      </c>
      <c r="AO1" s="405"/>
      <c r="AP1" s="405"/>
      <c r="AQ1" s="405"/>
      <c r="AR1" s="405"/>
      <c r="AS1" s="405"/>
      <c r="AT1" s="405"/>
      <c r="AU1" s="405"/>
      <c r="AV1" s="405"/>
      <c r="AW1" s="405"/>
      <c r="AX1" s="405"/>
      <c r="AY1" s="405"/>
      <c r="AZ1" s="405"/>
      <c r="BA1" s="405"/>
      <c r="BB1" s="405"/>
      <c r="BC1" s="405"/>
      <c r="BD1" s="405"/>
      <c r="BE1" s="405"/>
      <c r="BF1" s="405"/>
      <c r="BG1" s="405"/>
      <c r="BH1" s="405"/>
    </row>
    <row r="2" spans="1:61" ht="7.4" customHeight="1" x14ac:dyDescent="0.5">
      <c r="C2" s="333"/>
      <c r="D2" s="333"/>
      <c r="E2" s="333"/>
      <c r="F2" s="333"/>
      <c r="G2" s="333"/>
      <c r="H2" s="333"/>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N2" s="405"/>
      <c r="AO2" s="405"/>
      <c r="AP2" s="405"/>
      <c r="AQ2" s="405"/>
      <c r="AR2" s="405"/>
      <c r="AS2" s="405"/>
      <c r="AT2" s="405"/>
      <c r="AU2" s="405"/>
      <c r="AV2" s="405"/>
      <c r="AW2" s="405"/>
      <c r="AX2" s="405"/>
      <c r="AY2" s="405"/>
      <c r="AZ2" s="405"/>
      <c r="BA2" s="405"/>
      <c r="BB2" s="405"/>
      <c r="BC2" s="405"/>
      <c r="BD2" s="405"/>
      <c r="BE2" s="405"/>
      <c r="BF2" s="405"/>
      <c r="BG2" s="405"/>
      <c r="BH2" s="405"/>
    </row>
    <row r="3" spans="1:61" ht="7.4" customHeight="1" x14ac:dyDescent="0.5">
      <c r="C3" s="333"/>
      <c r="D3" s="333"/>
      <c r="E3" s="333"/>
      <c r="F3" s="333"/>
      <c r="G3" s="333"/>
      <c r="H3" s="333"/>
      <c r="I3" s="333"/>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N3" s="314" t="s">
        <v>3</v>
      </c>
      <c r="AO3" s="314"/>
      <c r="AP3" s="314"/>
      <c r="AQ3" s="314"/>
      <c r="AR3" s="314"/>
      <c r="AS3" s="314"/>
      <c r="AT3" s="314"/>
      <c r="AU3" s="314"/>
      <c r="AV3" s="314"/>
      <c r="AW3" s="314"/>
      <c r="AX3" s="314"/>
      <c r="AY3" s="314"/>
      <c r="AZ3" s="314"/>
      <c r="BA3" s="314"/>
      <c r="BB3" s="314"/>
      <c r="BC3" s="314"/>
      <c r="BD3" s="314"/>
      <c r="BE3" s="314"/>
      <c r="BF3" s="314"/>
      <c r="BG3" s="314"/>
      <c r="BH3" s="314"/>
    </row>
    <row r="4" spans="1:61" ht="7.4" customHeight="1" x14ac:dyDescent="0.5">
      <c r="C4" s="333"/>
      <c r="D4" s="333"/>
      <c r="E4" s="333"/>
      <c r="F4" s="333"/>
      <c r="G4" s="333"/>
      <c r="H4" s="333"/>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N4" s="314"/>
      <c r="AO4" s="314"/>
      <c r="AP4" s="314"/>
      <c r="AQ4" s="314"/>
      <c r="AR4" s="314"/>
      <c r="AS4" s="314"/>
      <c r="AT4" s="314"/>
      <c r="AU4" s="314"/>
      <c r="AV4" s="314"/>
      <c r="AW4" s="314"/>
      <c r="AX4" s="314"/>
      <c r="AY4" s="314"/>
      <c r="AZ4" s="314"/>
      <c r="BA4" s="314"/>
      <c r="BB4" s="314"/>
      <c r="BC4" s="314"/>
      <c r="BD4" s="314"/>
      <c r="BE4" s="314"/>
      <c r="BF4" s="314"/>
      <c r="BG4" s="314"/>
      <c r="BH4" s="314"/>
    </row>
    <row r="5" spans="1:61" ht="7.4" customHeight="1" x14ac:dyDescent="0.5">
      <c r="C5" s="333"/>
      <c r="D5" s="333"/>
      <c r="E5" s="333"/>
      <c r="F5" s="333"/>
      <c r="G5" s="333"/>
      <c r="H5" s="333"/>
      <c r="I5" s="333"/>
      <c r="J5" s="333"/>
      <c r="K5" s="333"/>
      <c r="L5" s="333"/>
      <c r="M5" s="333"/>
      <c r="N5" s="333"/>
      <c r="O5" s="333"/>
      <c r="P5" s="333"/>
      <c r="Q5" s="333"/>
      <c r="R5" s="333"/>
      <c r="S5" s="333"/>
      <c r="T5" s="333"/>
      <c r="U5" s="333"/>
      <c r="V5" s="333"/>
      <c r="W5" s="333"/>
      <c r="X5" s="333"/>
      <c r="Y5" s="333"/>
      <c r="Z5" s="333"/>
      <c r="AA5" s="333"/>
      <c r="AB5" s="333"/>
      <c r="AC5" s="333"/>
      <c r="AD5" s="333"/>
      <c r="AE5" s="333"/>
      <c r="AF5" s="333"/>
      <c r="AG5" s="333"/>
      <c r="AH5" s="333"/>
      <c r="AI5" s="333"/>
      <c r="AN5" s="406" t="s">
        <v>6</v>
      </c>
      <c r="AO5" s="314"/>
      <c r="AP5" s="314"/>
      <c r="AQ5" s="314"/>
      <c r="AR5" s="314"/>
      <c r="AS5" s="314"/>
      <c r="AT5" s="314"/>
      <c r="AU5" s="314"/>
      <c r="AV5" s="314"/>
      <c r="AW5" s="314"/>
      <c r="AX5" s="314"/>
      <c r="AY5" s="314"/>
      <c r="AZ5" s="314"/>
      <c r="BA5" s="314"/>
      <c r="BB5" s="314"/>
      <c r="BC5" s="314"/>
      <c r="BD5" s="314"/>
      <c r="BE5" s="314"/>
      <c r="BF5" s="314"/>
      <c r="BG5" s="314"/>
      <c r="BH5" s="314"/>
    </row>
    <row r="6" spans="1:61" ht="7.4" customHeight="1" x14ac:dyDescent="0.5">
      <c r="C6" s="333"/>
      <c r="D6" s="333"/>
      <c r="E6" s="333"/>
      <c r="F6" s="333"/>
      <c r="G6" s="333"/>
      <c r="H6" s="333"/>
      <c r="I6" s="333"/>
      <c r="J6" s="333"/>
      <c r="K6" s="333"/>
      <c r="L6" s="333"/>
      <c r="M6" s="333"/>
      <c r="N6" s="333"/>
      <c r="O6" s="333"/>
      <c r="P6" s="333"/>
      <c r="Q6" s="333"/>
      <c r="R6" s="333"/>
      <c r="S6" s="333"/>
      <c r="T6" s="333"/>
      <c r="U6" s="333"/>
      <c r="V6" s="333"/>
      <c r="W6" s="333"/>
      <c r="X6" s="333"/>
      <c r="Y6" s="333"/>
      <c r="Z6" s="333"/>
      <c r="AA6" s="333"/>
      <c r="AB6" s="333"/>
      <c r="AC6" s="333"/>
      <c r="AD6" s="333"/>
      <c r="AE6" s="333"/>
      <c r="AF6" s="333"/>
      <c r="AG6" s="333"/>
      <c r="AH6" s="333"/>
      <c r="AI6" s="333"/>
      <c r="AN6" s="314"/>
      <c r="AO6" s="314"/>
      <c r="AP6" s="314"/>
      <c r="AQ6" s="314"/>
      <c r="AR6" s="314"/>
      <c r="AS6" s="314"/>
      <c r="AT6" s="314"/>
      <c r="AU6" s="314"/>
      <c r="AV6" s="314"/>
      <c r="AW6" s="314"/>
      <c r="AX6" s="314"/>
      <c r="AY6" s="314"/>
      <c r="AZ6" s="314"/>
      <c r="BA6" s="314"/>
      <c r="BB6" s="314"/>
      <c r="BC6" s="314"/>
      <c r="BD6" s="314"/>
      <c r="BE6" s="314"/>
      <c r="BF6" s="314"/>
      <c r="BG6" s="314"/>
      <c r="BH6" s="314"/>
    </row>
    <row r="7" spans="1:61" ht="7.4" customHeight="1" x14ac:dyDescent="0.5">
      <c r="C7" s="333"/>
      <c r="D7" s="333"/>
      <c r="E7" s="333"/>
      <c r="F7" s="333"/>
      <c r="G7" s="333"/>
      <c r="H7" s="333"/>
      <c r="I7" s="333"/>
      <c r="J7" s="333"/>
      <c r="K7" s="333"/>
      <c r="L7" s="333"/>
      <c r="M7" s="333"/>
      <c r="N7" s="333"/>
      <c r="O7" s="333"/>
      <c r="P7" s="333"/>
      <c r="Q7" s="333"/>
      <c r="R7" s="333"/>
      <c r="S7" s="333"/>
      <c r="T7" s="333"/>
      <c r="U7" s="333"/>
      <c r="V7" s="333"/>
      <c r="W7" s="333"/>
      <c r="X7" s="333"/>
      <c r="Y7" s="333"/>
      <c r="Z7" s="333"/>
      <c r="AA7" s="333"/>
      <c r="AB7" s="333"/>
      <c r="AC7" s="333"/>
      <c r="AD7" s="333"/>
      <c r="AE7" s="333"/>
      <c r="AF7" s="333"/>
      <c r="AG7" s="333"/>
      <c r="AH7" s="333"/>
      <c r="AI7" s="333"/>
      <c r="AN7" s="405" t="s">
        <v>9</v>
      </c>
      <c r="AO7" s="405"/>
      <c r="AP7" s="405"/>
      <c r="AQ7" s="405"/>
      <c r="AR7" s="405"/>
      <c r="AS7" s="405"/>
      <c r="AT7" s="405"/>
      <c r="AU7" s="405"/>
      <c r="AV7" s="405"/>
      <c r="AW7" s="405"/>
      <c r="AX7" s="405"/>
      <c r="AY7" s="405"/>
      <c r="AZ7" s="405"/>
      <c r="BA7" s="405"/>
      <c r="BB7" s="405"/>
      <c r="BC7" s="405"/>
      <c r="BD7" s="405"/>
      <c r="BE7" s="405"/>
      <c r="BF7" s="405"/>
      <c r="BG7" s="405"/>
      <c r="BH7" s="405"/>
    </row>
    <row r="8" spans="1:61" ht="7.4" customHeight="1" x14ac:dyDescent="0.5">
      <c r="C8" s="333"/>
      <c r="D8" s="333"/>
      <c r="E8" s="333"/>
      <c r="F8" s="333"/>
      <c r="G8" s="333"/>
      <c r="H8" s="333"/>
      <c r="I8" s="333"/>
      <c r="J8" s="333"/>
      <c r="K8" s="333"/>
      <c r="L8" s="333"/>
      <c r="M8" s="333"/>
      <c r="N8" s="333"/>
      <c r="O8" s="333"/>
      <c r="P8" s="333"/>
      <c r="Q8" s="333"/>
      <c r="R8" s="333"/>
      <c r="S8" s="333"/>
      <c r="T8" s="333"/>
      <c r="U8" s="333"/>
      <c r="V8" s="333"/>
      <c r="W8" s="333"/>
      <c r="X8" s="333"/>
      <c r="Y8" s="333"/>
      <c r="Z8" s="333"/>
      <c r="AA8" s="333"/>
      <c r="AB8" s="333"/>
      <c r="AC8" s="333"/>
      <c r="AD8" s="333"/>
      <c r="AE8" s="333"/>
      <c r="AF8" s="333"/>
      <c r="AG8" s="333"/>
      <c r="AH8" s="333"/>
      <c r="AI8" s="333"/>
      <c r="AN8" s="405"/>
      <c r="AO8" s="405"/>
      <c r="AP8" s="405"/>
      <c r="AQ8" s="405"/>
      <c r="AR8" s="405"/>
      <c r="AS8" s="405"/>
      <c r="AT8" s="405"/>
      <c r="AU8" s="405"/>
      <c r="AV8" s="405"/>
      <c r="AW8" s="405"/>
      <c r="AX8" s="405"/>
      <c r="AY8" s="405"/>
      <c r="AZ8" s="405"/>
      <c r="BA8" s="405"/>
      <c r="BB8" s="405"/>
      <c r="BC8" s="405"/>
      <c r="BD8" s="405"/>
      <c r="BE8" s="405"/>
      <c r="BF8" s="405"/>
      <c r="BG8" s="405"/>
      <c r="BH8" s="405"/>
    </row>
    <row r="9" spans="1:61" ht="7.4" customHeight="1" x14ac:dyDescent="0.5">
      <c r="C9" s="404"/>
      <c r="D9" s="404"/>
      <c r="E9" s="404"/>
      <c r="F9" s="404"/>
      <c r="G9" s="404"/>
      <c r="H9" s="404"/>
      <c r="I9" s="404"/>
      <c r="J9" s="404"/>
      <c r="K9" s="404"/>
      <c r="L9" s="404"/>
      <c r="M9" s="404"/>
      <c r="N9" s="404"/>
      <c r="O9" s="404"/>
      <c r="P9" s="404"/>
      <c r="Q9" s="404"/>
      <c r="R9" s="404"/>
      <c r="S9" s="404"/>
      <c r="T9" s="404"/>
      <c r="U9" s="404"/>
      <c r="V9" s="404"/>
      <c r="W9" s="404"/>
      <c r="X9" s="404"/>
      <c r="Y9" s="404"/>
      <c r="Z9" s="404"/>
      <c r="AA9" s="404"/>
      <c r="AB9" s="404"/>
      <c r="AC9" s="404"/>
      <c r="AD9" s="404"/>
      <c r="AE9" s="404"/>
      <c r="AF9" s="404"/>
      <c r="AG9" s="404"/>
      <c r="AH9" s="404"/>
      <c r="AI9" s="404"/>
    </row>
    <row r="10" spans="1:61" ht="7.4" customHeight="1" x14ac:dyDescent="0.5">
      <c r="A10" s="407" t="s">
        <v>13</v>
      </c>
      <c r="B10" s="407"/>
      <c r="C10" s="407"/>
      <c r="D10" s="407"/>
      <c r="E10" s="407"/>
      <c r="F10" s="407"/>
      <c r="G10" s="407"/>
      <c r="H10" s="407"/>
      <c r="I10" s="407"/>
      <c r="J10" s="407"/>
      <c r="K10" s="407"/>
      <c r="L10" s="407"/>
      <c r="M10" s="407"/>
      <c r="N10" s="407"/>
      <c r="O10" s="407"/>
      <c r="P10" s="407"/>
      <c r="Q10" s="407"/>
      <c r="R10" s="407"/>
      <c r="S10" s="407"/>
      <c r="T10" s="407"/>
      <c r="U10" s="407"/>
      <c r="V10" s="407"/>
      <c r="W10" s="407"/>
      <c r="X10" s="407"/>
      <c r="Y10" s="407"/>
      <c r="Z10" s="407"/>
      <c r="AA10" s="407"/>
      <c r="AB10" s="407"/>
      <c r="AC10" s="407"/>
      <c r="AD10" s="407"/>
      <c r="AE10" s="407"/>
      <c r="AF10" s="407"/>
      <c r="AG10" s="407"/>
      <c r="AH10" s="407"/>
      <c r="AI10" s="407"/>
      <c r="AJ10" s="407"/>
      <c r="AK10" s="407"/>
      <c r="AL10" s="407"/>
      <c r="AM10" s="30"/>
      <c r="AN10" s="30"/>
      <c r="AO10" s="30"/>
      <c r="AP10" s="30"/>
      <c r="AQ10" s="30"/>
      <c r="AR10" s="30"/>
      <c r="AS10" s="30"/>
      <c r="AT10" s="30"/>
      <c r="AU10" s="30"/>
      <c r="AV10" s="30"/>
      <c r="AW10" s="30"/>
      <c r="AX10" s="30"/>
      <c r="AY10" s="30"/>
      <c r="AZ10" s="30"/>
      <c r="BA10" s="30"/>
      <c r="BB10" s="30"/>
      <c r="BC10" s="30"/>
      <c r="BD10" s="30"/>
      <c r="BE10" s="30"/>
      <c r="BF10" s="30"/>
      <c r="BG10" s="30"/>
      <c r="BH10" s="30"/>
      <c r="BI10" s="31"/>
    </row>
    <row r="11" spans="1:61" ht="7.4" customHeight="1" x14ac:dyDescent="0.5">
      <c r="A11" s="407"/>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407"/>
      <c r="AE11" s="407"/>
      <c r="AF11" s="407"/>
      <c r="AG11" s="407"/>
      <c r="AH11" s="407"/>
      <c r="AI11" s="407"/>
      <c r="AJ11" s="407"/>
      <c r="AK11" s="407"/>
      <c r="AL11" s="407"/>
      <c r="AM11" s="33"/>
      <c r="AN11" s="408" t="s">
        <v>15</v>
      </c>
      <c r="AO11" s="408"/>
      <c r="AP11" s="408"/>
      <c r="AQ11" s="408"/>
      <c r="AR11" s="408"/>
      <c r="AS11" s="408"/>
      <c r="AT11" s="408"/>
      <c r="AU11" s="408"/>
      <c r="AV11" s="408"/>
      <c r="AW11" s="33"/>
      <c r="AX11" s="409" t="s">
        <v>58</v>
      </c>
      <c r="AY11" s="409"/>
      <c r="AZ11" s="409"/>
      <c r="BA11" s="409"/>
      <c r="BB11" s="409"/>
      <c r="BC11" s="409"/>
      <c r="BD11" s="409"/>
      <c r="BE11" s="409"/>
      <c r="BF11" s="409"/>
      <c r="BG11" s="409"/>
      <c r="BH11" s="409"/>
      <c r="BI11" s="34"/>
    </row>
    <row r="12" spans="1:61" ht="7.4" customHeight="1" x14ac:dyDescent="0.5">
      <c r="A12" s="407"/>
      <c r="B12" s="407"/>
      <c r="C12" s="407"/>
      <c r="D12" s="407"/>
      <c r="E12" s="407"/>
      <c r="F12" s="407"/>
      <c r="G12" s="407"/>
      <c r="H12" s="407"/>
      <c r="I12" s="407"/>
      <c r="J12" s="407"/>
      <c r="K12" s="407"/>
      <c r="L12" s="407"/>
      <c r="M12" s="407"/>
      <c r="N12" s="407"/>
      <c r="O12" s="407"/>
      <c r="P12" s="407"/>
      <c r="Q12" s="407"/>
      <c r="R12" s="407"/>
      <c r="S12" s="407"/>
      <c r="T12" s="407"/>
      <c r="U12" s="407"/>
      <c r="V12" s="407"/>
      <c r="W12" s="407"/>
      <c r="X12" s="407"/>
      <c r="Y12" s="407"/>
      <c r="Z12" s="407"/>
      <c r="AA12" s="407"/>
      <c r="AB12" s="407"/>
      <c r="AC12" s="407"/>
      <c r="AD12" s="407"/>
      <c r="AE12" s="407"/>
      <c r="AF12" s="407"/>
      <c r="AG12" s="407"/>
      <c r="AH12" s="407"/>
      <c r="AI12" s="407"/>
      <c r="AJ12" s="407"/>
      <c r="AK12" s="407"/>
      <c r="AL12" s="407"/>
      <c r="AM12" s="33"/>
      <c r="AN12" s="408"/>
      <c r="AO12" s="408"/>
      <c r="AP12" s="408"/>
      <c r="AQ12" s="408"/>
      <c r="AR12" s="408"/>
      <c r="AS12" s="408"/>
      <c r="AT12" s="408"/>
      <c r="AU12" s="408"/>
      <c r="AV12" s="408"/>
      <c r="AW12" s="33"/>
      <c r="AX12" s="409"/>
      <c r="AY12" s="409"/>
      <c r="AZ12" s="409"/>
      <c r="BA12" s="409"/>
      <c r="BB12" s="409"/>
      <c r="BC12" s="409"/>
      <c r="BD12" s="409"/>
      <c r="BE12" s="409"/>
      <c r="BF12" s="409"/>
      <c r="BG12" s="409"/>
      <c r="BH12" s="409"/>
      <c r="BI12" s="34"/>
    </row>
    <row r="13" spans="1:61" ht="7.4" customHeight="1" x14ac:dyDescent="0.5">
      <c r="A13" s="407"/>
      <c r="B13" s="407"/>
      <c r="C13" s="407"/>
      <c r="D13" s="407"/>
      <c r="E13" s="407"/>
      <c r="F13" s="407"/>
      <c r="G13" s="407"/>
      <c r="H13" s="407"/>
      <c r="I13" s="407"/>
      <c r="J13" s="407"/>
      <c r="K13" s="407"/>
      <c r="L13" s="407"/>
      <c r="M13" s="407"/>
      <c r="N13" s="407"/>
      <c r="O13" s="407"/>
      <c r="P13" s="407"/>
      <c r="Q13" s="407"/>
      <c r="R13" s="407"/>
      <c r="S13" s="407"/>
      <c r="T13" s="407"/>
      <c r="U13" s="407"/>
      <c r="V13" s="407"/>
      <c r="W13" s="407"/>
      <c r="X13" s="407"/>
      <c r="Y13" s="407"/>
      <c r="Z13" s="407"/>
      <c r="AA13" s="407"/>
      <c r="AB13" s="407"/>
      <c r="AC13" s="407"/>
      <c r="AD13" s="407"/>
      <c r="AE13" s="407"/>
      <c r="AF13" s="407"/>
      <c r="AG13" s="407"/>
      <c r="AH13" s="407"/>
      <c r="AI13" s="407"/>
      <c r="AJ13" s="407"/>
      <c r="AK13" s="407"/>
      <c r="AL13" s="407"/>
      <c r="AM13" s="33"/>
      <c r="AN13" s="408" t="s">
        <v>19</v>
      </c>
      <c r="AO13" s="408"/>
      <c r="AP13" s="408"/>
      <c r="AQ13" s="408"/>
      <c r="AR13" s="408"/>
      <c r="AS13" s="408"/>
      <c r="AT13" s="408"/>
      <c r="AU13" s="408"/>
      <c r="AV13" s="408"/>
      <c r="AW13" s="33"/>
      <c r="AX13" s="410" t="s">
        <v>20</v>
      </c>
      <c r="AY13" s="410"/>
      <c r="AZ13" s="410"/>
      <c r="BA13" s="410"/>
      <c r="BB13" s="410"/>
      <c r="BC13" s="410"/>
      <c r="BD13" s="410"/>
      <c r="BE13" s="410"/>
      <c r="BF13" s="410"/>
      <c r="BG13" s="410"/>
      <c r="BH13" s="410"/>
      <c r="BI13" s="34"/>
    </row>
    <row r="14" spans="1:61" ht="7.4" customHeight="1" x14ac:dyDescent="0.5">
      <c r="A14" s="407"/>
      <c r="B14" s="407"/>
      <c r="C14" s="407"/>
      <c r="D14" s="407"/>
      <c r="E14" s="407"/>
      <c r="F14" s="407"/>
      <c r="G14" s="407"/>
      <c r="H14" s="407"/>
      <c r="I14" s="407"/>
      <c r="J14" s="407"/>
      <c r="K14" s="407"/>
      <c r="L14" s="407"/>
      <c r="M14" s="407"/>
      <c r="N14" s="407"/>
      <c r="O14" s="407"/>
      <c r="P14" s="407"/>
      <c r="Q14" s="407"/>
      <c r="R14" s="407"/>
      <c r="S14" s="407"/>
      <c r="T14" s="407"/>
      <c r="U14" s="407"/>
      <c r="V14" s="407"/>
      <c r="W14" s="407"/>
      <c r="X14" s="407"/>
      <c r="Y14" s="407"/>
      <c r="Z14" s="407"/>
      <c r="AA14" s="407"/>
      <c r="AB14" s="407"/>
      <c r="AC14" s="407"/>
      <c r="AD14" s="407"/>
      <c r="AE14" s="407"/>
      <c r="AF14" s="407"/>
      <c r="AG14" s="407"/>
      <c r="AH14" s="407"/>
      <c r="AI14" s="407"/>
      <c r="AJ14" s="407"/>
      <c r="AK14" s="407"/>
      <c r="AL14" s="407"/>
      <c r="AM14" s="33"/>
      <c r="AN14" s="408"/>
      <c r="AO14" s="408"/>
      <c r="AP14" s="408"/>
      <c r="AQ14" s="408"/>
      <c r="AR14" s="408"/>
      <c r="AS14" s="408"/>
      <c r="AT14" s="408"/>
      <c r="AU14" s="408"/>
      <c r="AV14" s="408"/>
      <c r="AW14" s="33"/>
      <c r="AX14" s="410"/>
      <c r="AY14" s="410"/>
      <c r="AZ14" s="410"/>
      <c r="BA14" s="410"/>
      <c r="BB14" s="410"/>
      <c r="BC14" s="410"/>
      <c r="BD14" s="410"/>
      <c r="BE14" s="410"/>
      <c r="BF14" s="410"/>
      <c r="BG14" s="410"/>
      <c r="BH14" s="410"/>
      <c r="BI14" s="34"/>
    </row>
    <row r="15" spans="1:61" ht="7.4" customHeight="1" x14ac:dyDescent="0.5">
      <c r="A15" s="407"/>
      <c r="B15" s="407"/>
      <c r="C15" s="407"/>
      <c r="D15" s="407"/>
      <c r="E15" s="407"/>
      <c r="F15" s="407"/>
      <c r="G15" s="407"/>
      <c r="H15" s="407"/>
      <c r="I15" s="407"/>
      <c r="J15" s="407"/>
      <c r="K15" s="407"/>
      <c r="L15" s="407"/>
      <c r="M15" s="407"/>
      <c r="N15" s="407"/>
      <c r="O15" s="407"/>
      <c r="P15" s="407"/>
      <c r="Q15" s="407"/>
      <c r="R15" s="407"/>
      <c r="S15" s="407"/>
      <c r="T15" s="407"/>
      <c r="U15" s="407"/>
      <c r="V15" s="407"/>
      <c r="W15" s="407"/>
      <c r="X15" s="407"/>
      <c r="Y15" s="407"/>
      <c r="Z15" s="407"/>
      <c r="AA15" s="407"/>
      <c r="AB15" s="407"/>
      <c r="AC15" s="407"/>
      <c r="AD15" s="407"/>
      <c r="AE15" s="407"/>
      <c r="AF15" s="407"/>
      <c r="AG15" s="407"/>
      <c r="AH15" s="407"/>
      <c r="AI15" s="407"/>
      <c r="AJ15" s="407"/>
      <c r="AK15" s="407"/>
      <c r="AL15" s="407"/>
      <c r="AM15" s="36"/>
      <c r="AN15" s="36"/>
      <c r="AO15" s="36"/>
      <c r="AP15" s="36"/>
      <c r="AQ15" s="36"/>
      <c r="AR15" s="36"/>
      <c r="AS15" s="36"/>
      <c r="AT15" s="36"/>
      <c r="AU15" s="36"/>
      <c r="AV15" s="36"/>
      <c r="AW15" s="36"/>
      <c r="AX15" s="36"/>
      <c r="AY15" s="36"/>
      <c r="AZ15" s="36"/>
      <c r="BA15" s="36"/>
      <c r="BB15" s="36"/>
      <c r="BC15" s="36"/>
      <c r="BD15" s="36"/>
      <c r="BE15" s="36"/>
      <c r="BF15" s="36"/>
      <c r="BG15" s="36"/>
      <c r="BH15" s="36"/>
      <c r="BI15" s="37"/>
    </row>
    <row r="16" spans="1:61" ht="7.4" customHeight="1" x14ac:dyDescent="0.5">
      <c r="A16" s="58"/>
      <c r="B16" s="59"/>
      <c r="C16" s="59"/>
      <c r="D16" s="59"/>
      <c r="E16" s="59"/>
      <c r="F16" s="59"/>
      <c r="G16" s="59"/>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60"/>
    </row>
    <row r="17" spans="1:70" ht="7.4" customHeight="1" x14ac:dyDescent="0.5">
      <c r="A17" s="61"/>
      <c r="B17" s="62"/>
      <c r="C17" s="400" t="s">
        <v>25</v>
      </c>
      <c r="D17" s="400"/>
      <c r="E17" s="400"/>
      <c r="F17" s="400"/>
      <c r="G17" s="401"/>
      <c r="H17" s="401"/>
      <c r="I17" s="401"/>
      <c r="J17" s="401"/>
      <c r="K17" s="401"/>
      <c r="L17" s="401"/>
      <c r="M17" s="401"/>
      <c r="N17" s="401"/>
      <c r="O17" s="401"/>
      <c r="P17" s="401"/>
      <c r="Q17" s="401"/>
      <c r="R17" s="401"/>
      <c r="S17" s="401"/>
      <c r="T17" s="401"/>
      <c r="U17" s="401"/>
      <c r="V17" s="401"/>
      <c r="W17" s="401"/>
      <c r="X17" s="401"/>
      <c r="Y17" s="400" t="s">
        <v>26</v>
      </c>
      <c r="Z17" s="400"/>
      <c r="AA17" s="400"/>
      <c r="AB17" s="400"/>
      <c r="AC17" s="400"/>
      <c r="AD17" s="401"/>
      <c r="AE17" s="401"/>
      <c r="AF17" s="401"/>
      <c r="AG17" s="401"/>
      <c r="AH17" s="401"/>
      <c r="AI17" s="401"/>
      <c r="AJ17" s="401"/>
      <c r="AK17" s="401"/>
      <c r="AL17" s="401"/>
      <c r="AM17" s="401"/>
      <c r="AN17" s="401"/>
      <c r="AO17" s="401"/>
      <c r="AP17" s="401"/>
      <c r="AQ17" s="401"/>
      <c r="AR17" s="401"/>
      <c r="AS17" s="401"/>
      <c r="AT17" s="400" t="s">
        <v>27</v>
      </c>
      <c r="AU17" s="400"/>
      <c r="AV17" s="400"/>
      <c r="AW17" s="400"/>
      <c r="AX17" s="402">
        <f ca="1">TODAY()</f>
        <v>45960</v>
      </c>
      <c r="AY17" s="402"/>
      <c r="AZ17" s="402"/>
      <c r="BA17" s="402"/>
      <c r="BB17" s="402"/>
      <c r="BC17" s="402"/>
      <c r="BD17" s="402"/>
      <c r="BE17" s="402"/>
      <c r="BF17" s="402"/>
      <c r="BG17" s="402"/>
      <c r="BH17" s="402"/>
      <c r="BI17" s="63"/>
    </row>
    <row r="18" spans="1:70" ht="7.4" customHeight="1" x14ac:dyDescent="0.5">
      <c r="A18" s="61"/>
      <c r="B18" s="62"/>
      <c r="C18" s="400"/>
      <c r="D18" s="400"/>
      <c r="E18" s="400"/>
      <c r="F18" s="400"/>
      <c r="G18" s="401"/>
      <c r="H18" s="401"/>
      <c r="I18" s="401"/>
      <c r="J18" s="401"/>
      <c r="K18" s="401"/>
      <c r="L18" s="401"/>
      <c r="M18" s="401"/>
      <c r="N18" s="401"/>
      <c r="O18" s="401"/>
      <c r="P18" s="401"/>
      <c r="Q18" s="401"/>
      <c r="R18" s="401"/>
      <c r="S18" s="401"/>
      <c r="T18" s="401"/>
      <c r="U18" s="401"/>
      <c r="V18" s="401"/>
      <c r="W18" s="401"/>
      <c r="X18" s="401"/>
      <c r="Y18" s="400"/>
      <c r="Z18" s="400"/>
      <c r="AA18" s="400"/>
      <c r="AB18" s="400"/>
      <c r="AC18" s="400"/>
      <c r="AD18" s="401"/>
      <c r="AE18" s="401"/>
      <c r="AF18" s="401"/>
      <c r="AG18" s="401"/>
      <c r="AH18" s="401"/>
      <c r="AI18" s="401"/>
      <c r="AJ18" s="401"/>
      <c r="AK18" s="401"/>
      <c r="AL18" s="401"/>
      <c r="AM18" s="401"/>
      <c r="AN18" s="401"/>
      <c r="AO18" s="401"/>
      <c r="AP18" s="401"/>
      <c r="AQ18" s="401"/>
      <c r="AR18" s="401"/>
      <c r="AS18" s="401"/>
      <c r="AT18" s="400"/>
      <c r="AU18" s="400"/>
      <c r="AV18" s="400"/>
      <c r="AW18" s="400"/>
      <c r="AX18" s="403"/>
      <c r="AY18" s="402"/>
      <c r="AZ18" s="402"/>
      <c r="BA18" s="402"/>
      <c r="BB18" s="402"/>
      <c r="BC18" s="402"/>
      <c r="BD18" s="402"/>
      <c r="BE18" s="402"/>
      <c r="BF18" s="402"/>
      <c r="BG18" s="402"/>
      <c r="BH18" s="402"/>
      <c r="BI18" s="63"/>
    </row>
    <row r="19" spans="1:70" ht="7.4" customHeight="1" x14ac:dyDescent="0.5">
      <c r="A19" s="64"/>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6"/>
    </row>
    <row r="20" spans="1:70" ht="7.4" customHeight="1" x14ac:dyDescent="0.5">
      <c r="A20" s="38"/>
      <c r="B20" s="39"/>
      <c r="C20" s="39"/>
      <c r="D20" s="39"/>
      <c r="E20" s="39"/>
      <c r="F20" s="39"/>
      <c r="G20" s="39"/>
      <c r="H20" s="39"/>
      <c r="I20" s="39"/>
      <c r="J20" s="39"/>
      <c r="K20" s="39"/>
      <c r="L20" s="39"/>
      <c r="M20" s="39"/>
      <c r="N20" s="39"/>
      <c r="O20" s="39"/>
      <c r="P20" s="39"/>
      <c r="Q20" s="39"/>
      <c r="R20" s="39"/>
      <c r="S20" s="67"/>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9"/>
      <c r="AR20" s="39"/>
      <c r="AS20" s="39"/>
      <c r="AT20" s="39"/>
      <c r="AU20" s="39"/>
      <c r="AV20" s="39"/>
      <c r="AW20" s="39"/>
      <c r="AX20" s="39"/>
      <c r="AY20" s="39"/>
      <c r="AZ20" s="39"/>
      <c r="BA20" s="39"/>
      <c r="BB20" s="39"/>
      <c r="BC20" s="39"/>
      <c r="BD20" s="39"/>
      <c r="BE20" s="39"/>
      <c r="BF20" s="39"/>
      <c r="BG20" s="39"/>
      <c r="BH20" s="39"/>
      <c r="BI20" s="40"/>
    </row>
    <row r="21" spans="1:70" ht="7.4" customHeight="1" x14ac:dyDescent="0.5">
      <c r="A21" s="42"/>
      <c r="S21" s="70"/>
      <c r="T21" s="335" t="str">
        <f>"Roof Top Ballast "&amp;$X$78</f>
        <v>Roof Top Ballast Frameless</v>
      </c>
      <c r="U21" s="335"/>
      <c r="V21" s="335"/>
      <c r="W21" s="335"/>
      <c r="X21" s="335"/>
      <c r="Y21" s="335"/>
      <c r="Z21" s="335"/>
      <c r="AA21" s="335"/>
      <c r="AB21" s="335"/>
      <c r="AC21" s="335"/>
      <c r="AD21" s="335"/>
      <c r="AE21" s="335"/>
      <c r="AF21" s="335"/>
      <c r="AG21" s="335"/>
      <c r="AH21" s="335"/>
      <c r="AI21" s="335"/>
      <c r="AJ21" s="335"/>
      <c r="AK21" s="335"/>
      <c r="AL21" s="335"/>
      <c r="AM21" s="335"/>
      <c r="AN21" s="335"/>
      <c r="AO21" s="335"/>
      <c r="AP21" s="335"/>
      <c r="AQ21" s="71"/>
      <c r="BI21" s="41"/>
    </row>
    <row r="22" spans="1:70" ht="7.4" customHeight="1" x14ac:dyDescent="0.5">
      <c r="A22" s="42"/>
      <c r="S22" s="70"/>
      <c r="T22" s="335"/>
      <c r="U22" s="335"/>
      <c r="V22" s="335"/>
      <c r="W22" s="335"/>
      <c r="X22" s="335"/>
      <c r="Y22" s="335"/>
      <c r="Z22" s="335"/>
      <c r="AA22" s="335"/>
      <c r="AB22" s="335"/>
      <c r="AC22" s="335"/>
      <c r="AD22" s="335"/>
      <c r="AE22" s="335"/>
      <c r="AF22" s="335"/>
      <c r="AG22" s="335"/>
      <c r="AH22" s="335"/>
      <c r="AI22" s="335"/>
      <c r="AJ22" s="335"/>
      <c r="AK22" s="335"/>
      <c r="AL22" s="335"/>
      <c r="AM22" s="335"/>
      <c r="AN22" s="335"/>
      <c r="AO22" s="335"/>
      <c r="AP22" s="335"/>
      <c r="AQ22" s="71"/>
      <c r="BI22" s="41"/>
    </row>
    <row r="23" spans="1:70" ht="7.4" customHeight="1" x14ac:dyDescent="0.5">
      <c r="A23" s="42"/>
      <c r="S23" s="72"/>
      <c r="T23" s="73"/>
      <c r="U23" s="73"/>
      <c r="V23" s="73"/>
      <c r="W23" s="73"/>
      <c r="X23" s="73"/>
      <c r="Y23" s="73"/>
      <c r="Z23" s="73"/>
      <c r="AA23" s="73"/>
      <c r="AB23" s="73"/>
      <c r="AC23" s="73"/>
      <c r="AD23" s="73"/>
      <c r="AE23" s="73"/>
      <c r="AF23" s="73"/>
      <c r="AG23" s="73"/>
      <c r="AH23" s="73"/>
      <c r="AI23" s="73"/>
      <c r="AJ23" s="73"/>
      <c r="AK23" s="73"/>
      <c r="AL23" s="73"/>
      <c r="AM23" s="73"/>
      <c r="AN23" s="73"/>
      <c r="AO23" s="73"/>
      <c r="AP23" s="73"/>
      <c r="AQ23" s="74"/>
      <c r="BI23" s="41"/>
    </row>
    <row r="24" spans="1:70" ht="7.4" customHeight="1" x14ac:dyDescent="0.5">
      <c r="A24" s="42"/>
      <c r="BI24" s="41"/>
    </row>
    <row r="25" spans="1:70" ht="7.4" customHeight="1" x14ac:dyDescent="0.5">
      <c r="A25" s="42"/>
      <c r="B25" s="299" t="s">
        <v>59</v>
      </c>
      <c r="C25" s="363"/>
      <c r="D25" s="363"/>
      <c r="E25" s="363"/>
      <c r="F25" s="363"/>
      <c r="G25" s="363"/>
      <c r="H25" s="363"/>
      <c r="I25" s="363"/>
      <c r="J25" s="363"/>
      <c r="K25" s="363"/>
      <c r="L25" s="363"/>
      <c r="M25" s="363"/>
      <c r="N25" s="363"/>
      <c r="O25" s="363"/>
      <c r="P25" s="363"/>
      <c r="Q25" s="363"/>
      <c r="R25" s="363"/>
      <c r="S25" s="363"/>
      <c r="T25" s="363"/>
      <c r="U25" s="363"/>
      <c r="V25" s="363"/>
      <c r="W25" s="363"/>
      <c r="X25" s="363"/>
      <c r="Y25" s="363"/>
      <c r="Z25" s="363"/>
      <c r="AA25" s="363"/>
      <c r="AB25" s="363"/>
      <c r="AC25" s="364"/>
      <c r="AE25" s="299" t="s">
        <v>60</v>
      </c>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4"/>
      <c r="BI25" s="41"/>
    </row>
    <row r="26" spans="1:70" ht="7.4" customHeight="1" x14ac:dyDescent="0.5">
      <c r="A26" s="42"/>
      <c r="B26" s="365"/>
      <c r="C26" s="366"/>
      <c r="D26" s="366"/>
      <c r="E26" s="366"/>
      <c r="F26" s="366"/>
      <c r="G26" s="366"/>
      <c r="H26" s="366"/>
      <c r="I26" s="366"/>
      <c r="J26" s="366"/>
      <c r="K26" s="366"/>
      <c r="L26" s="366"/>
      <c r="M26" s="366"/>
      <c r="N26" s="366"/>
      <c r="O26" s="366"/>
      <c r="P26" s="366"/>
      <c r="Q26" s="366"/>
      <c r="R26" s="366"/>
      <c r="S26" s="366"/>
      <c r="T26" s="366"/>
      <c r="U26" s="366"/>
      <c r="V26" s="366"/>
      <c r="W26" s="366"/>
      <c r="X26" s="366"/>
      <c r="Y26" s="366"/>
      <c r="Z26" s="366"/>
      <c r="AA26" s="366"/>
      <c r="AB26" s="366"/>
      <c r="AC26" s="367"/>
      <c r="AE26" s="365"/>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7"/>
      <c r="BI26" s="41"/>
    </row>
    <row r="27" spans="1:70" ht="7.4" customHeight="1" x14ac:dyDescent="0.5">
      <c r="A27" s="42"/>
      <c r="B27" s="368"/>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70"/>
      <c r="AE27" s="368"/>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70"/>
      <c r="BI27" s="41"/>
    </row>
    <row r="28" spans="1:70" ht="7.4" customHeight="1" x14ac:dyDescent="0.5">
      <c r="A28" s="42"/>
      <c r="B28" s="58"/>
      <c r="C28" s="503" t="s">
        <v>61</v>
      </c>
      <c r="D28" s="503"/>
      <c r="E28" s="503"/>
      <c r="F28" s="503"/>
      <c r="G28" s="503"/>
      <c r="H28" s="503"/>
      <c r="I28" s="503"/>
      <c r="J28" s="503"/>
      <c r="K28" s="503"/>
      <c r="L28" s="503"/>
      <c r="M28" s="503"/>
      <c r="N28" s="503"/>
      <c r="O28" s="503"/>
      <c r="P28" s="503"/>
      <c r="Q28" s="503"/>
      <c r="R28" s="504"/>
      <c r="S28" s="39"/>
      <c r="T28" s="380" t="str">
        <f>(J43*BC43)/1000 &amp; " kWp"</f>
        <v>60 kWp</v>
      </c>
      <c r="U28" s="380"/>
      <c r="V28" s="380"/>
      <c r="W28" s="380"/>
      <c r="X28" s="380"/>
      <c r="Y28" s="380"/>
      <c r="Z28" s="380"/>
      <c r="AA28" s="380"/>
      <c r="AB28" s="380"/>
      <c r="AC28" s="381"/>
      <c r="AD28" s="108"/>
      <c r="AE28" s="137"/>
      <c r="AF28" s="503" t="s">
        <v>62</v>
      </c>
      <c r="AG28" s="503"/>
      <c r="AH28" s="503"/>
      <c r="AI28" s="503"/>
      <c r="AJ28" s="503"/>
      <c r="AK28" s="503"/>
      <c r="AL28" s="503"/>
      <c r="AM28" s="504"/>
      <c r="AN28" s="77"/>
      <c r="AO28" s="489" t="s">
        <v>63</v>
      </c>
      <c r="AP28" s="489"/>
      <c r="AQ28" s="489"/>
      <c r="AR28" s="489"/>
      <c r="AS28" s="489"/>
      <c r="AT28" s="489"/>
      <c r="AU28" s="489"/>
      <c r="AV28" s="493" t="s">
        <v>64</v>
      </c>
      <c r="AW28" s="493"/>
      <c r="AX28" s="493"/>
      <c r="AY28" s="493"/>
      <c r="AZ28" s="493"/>
      <c r="BA28" s="493"/>
      <c r="BB28" s="493"/>
      <c r="BC28" s="493"/>
      <c r="BD28" s="77"/>
      <c r="BE28" s="77"/>
      <c r="BF28" s="77"/>
      <c r="BG28" s="77"/>
      <c r="BH28" s="138"/>
      <c r="BI28" s="124"/>
    </row>
    <row r="29" spans="1:70" ht="7.4" customHeight="1" x14ac:dyDescent="0.5">
      <c r="A29" s="42"/>
      <c r="B29" s="61"/>
      <c r="C29" s="400"/>
      <c r="D29" s="400"/>
      <c r="E29" s="400"/>
      <c r="F29" s="400"/>
      <c r="G29" s="400"/>
      <c r="H29" s="400"/>
      <c r="I29" s="400"/>
      <c r="J29" s="400"/>
      <c r="K29" s="400"/>
      <c r="L29" s="400"/>
      <c r="M29" s="400"/>
      <c r="N29" s="400"/>
      <c r="O29" s="400"/>
      <c r="P29" s="400"/>
      <c r="Q29" s="400"/>
      <c r="R29" s="448"/>
      <c r="S29" s="108"/>
      <c r="T29" s="382"/>
      <c r="U29" s="382"/>
      <c r="V29" s="382"/>
      <c r="W29" s="382"/>
      <c r="X29" s="382"/>
      <c r="Y29" s="382"/>
      <c r="Z29" s="382"/>
      <c r="AA29" s="382"/>
      <c r="AB29" s="382"/>
      <c r="AC29" s="383"/>
      <c r="AD29" s="25"/>
      <c r="AE29" s="139"/>
      <c r="AF29" s="400"/>
      <c r="AG29" s="400"/>
      <c r="AH29" s="400"/>
      <c r="AI29" s="400"/>
      <c r="AJ29" s="400"/>
      <c r="AK29" s="400"/>
      <c r="AL29" s="400"/>
      <c r="AM29" s="448"/>
      <c r="AN29" s="25"/>
      <c r="AO29" s="405"/>
      <c r="AP29" s="405"/>
      <c r="AQ29" s="405"/>
      <c r="AR29" s="405"/>
      <c r="AS29" s="405"/>
      <c r="AT29" s="405"/>
      <c r="AU29" s="405"/>
      <c r="AV29" s="480"/>
      <c r="AW29" s="480"/>
      <c r="AX29" s="480"/>
      <c r="AY29" s="480"/>
      <c r="AZ29" s="480"/>
      <c r="BA29" s="480"/>
      <c r="BB29" s="480"/>
      <c r="BC29" s="480"/>
      <c r="BE29" s="79"/>
      <c r="BF29" s="79"/>
      <c r="BG29" s="79"/>
      <c r="BH29" s="124"/>
      <c r="BI29" s="41"/>
    </row>
    <row r="30" spans="1:70" ht="7.4" customHeight="1" x14ac:dyDescent="0.5">
      <c r="A30" s="42"/>
      <c r="B30" s="61"/>
      <c r="C30" s="400"/>
      <c r="D30" s="400"/>
      <c r="E30" s="400"/>
      <c r="F30" s="400"/>
      <c r="G30" s="400"/>
      <c r="H30" s="400"/>
      <c r="I30" s="400"/>
      <c r="J30" s="400"/>
      <c r="K30" s="400"/>
      <c r="L30" s="400"/>
      <c r="M30" s="400"/>
      <c r="N30" s="400"/>
      <c r="O30" s="400"/>
      <c r="P30" s="400"/>
      <c r="Q30" s="400"/>
      <c r="R30" s="448"/>
      <c r="T30" s="388"/>
      <c r="U30" s="388"/>
      <c r="V30" s="388"/>
      <c r="W30" s="388"/>
      <c r="X30" s="388"/>
      <c r="Y30" s="388"/>
      <c r="Z30" s="388"/>
      <c r="AA30" s="388"/>
      <c r="AB30" s="388"/>
      <c r="AC30" s="389"/>
      <c r="AD30" s="25"/>
      <c r="AE30" s="139"/>
      <c r="AF30" s="400"/>
      <c r="AG30" s="400"/>
      <c r="AH30" s="400"/>
      <c r="AI30" s="400"/>
      <c r="AJ30" s="400"/>
      <c r="AK30" s="400"/>
      <c r="AL30" s="400"/>
      <c r="AM30" s="448"/>
      <c r="AN30" s="79"/>
      <c r="AO30" s="491"/>
      <c r="AP30" s="491"/>
      <c r="AQ30" s="491"/>
      <c r="AR30" s="491"/>
      <c r="AS30" s="491"/>
      <c r="AT30" s="491"/>
      <c r="AU30" s="491"/>
      <c r="AV30" s="494"/>
      <c r="AW30" s="494"/>
      <c r="AX30" s="494"/>
      <c r="AY30" s="494"/>
      <c r="AZ30" s="494"/>
      <c r="BA30" s="494"/>
      <c r="BB30" s="494"/>
      <c r="BC30" s="494"/>
      <c r="BD30" s="79"/>
      <c r="BE30" s="79"/>
      <c r="BF30" s="79"/>
      <c r="BG30" s="79"/>
      <c r="BH30" s="124"/>
      <c r="BI30" s="41"/>
      <c r="BK30" s="311">
        <v>10</v>
      </c>
      <c r="BL30" s="311"/>
      <c r="BM30" s="311">
        <v>1198</v>
      </c>
      <c r="BN30" s="311"/>
      <c r="BO30" s="311"/>
      <c r="BP30" s="311">
        <v>1351</v>
      </c>
      <c r="BQ30" s="311"/>
      <c r="BR30" s="311"/>
    </row>
    <row r="31" spans="1:70" ht="7.4" customHeight="1" x14ac:dyDescent="0.5">
      <c r="A31" s="42"/>
      <c r="B31" s="61"/>
      <c r="C31" s="400" t="s">
        <v>65</v>
      </c>
      <c r="D31" s="400"/>
      <c r="E31" s="400"/>
      <c r="F31" s="400"/>
      <c r="G31" s="400"/>
      <c r="H31" s="400"/>
      <c r="I31" s="400"/>
      <c r="J31" s="400"/>
      <c r="K31" s="400"/>
      <c r="L31" s="400"/>
      <c r="M31" s="400"/>
      <c r="N31" s="400"/>
      <c r="O31" s="400"/>
      <c r="P31" s="400"/>
      <c r="Q31" s="400"/>
      <c r="R31" s="448"/>
      <c r="S31" s="39"/>
      <c r="T31" s="489" t="s">
        <v>66</v>
      </c>
      <c r="U31" s="489"/>
      <c r="V31" s="489"/>
      <c r="W31" s="489"/>
      <c r="X31" s="489"/>
      <c r="Y31" s="489"/>
      <c r="Z31" s="489"/>
      <c r="AA31" s="489"/>
      <c r="AB31" s="489"/>
      <c r="AC31" s="490"/>
      <c r="AD31" s="25"/>
      <c r="AE31" s="139"/>
      <c r="AF31" s="400" t="s">
        <v>67</v>
      </c>
      <c r="AG31" s="400"/>
      <c r="AH31" s="400"/>
      <c r="AI31" s="400"/>
      <c r="AJ31" s="400"/>
      <c r="AK31" s="400"/>
      <c r="AL31" s="400"/>
      <c r="AM31" s="448"/>
      <c r="AN31" s="77"/>
      <c r="AO31" s="493">
        <v>10</v>
      </c>
      <c r="AP31" s="493"/>
      <c r="AQ31" s="495" t="s">
        <v>68</v>
      </c>
      <c r="AR31" s="495"/>
      <c r="AS31" s="495"/>
      <c r="AT31" s="495"/>
      <c r="AU31" s="495"/>
      <c r="AV31" s="495"/>
      <c r="AW31" s="495"/>
      <c r="AX31" s="380">
        <f>LOOKUP(AO31,BK30:BK35,IF(AE45&lt;1150,BM30:BM35,BP30:BP35))</f>
        <v>1198</v>
      </c>
      <c r="AY31" s="380"/>
      <c r="AZ31" s="380"/>
      <c r="BA31" s="497" t="s">
        <v>69</v>
      </c>
      <c r="BB31" s="497"/>
      <c r="BC31" s="481" t="s">
        <v>70</v>
      </c>
      <c r="BD31" s="481"/>
      <c r="BE31" s="481"/>
      <c r="BF31" s="481"/>
      <c r="BG31" s="481"/>
      <c r="BH31" s="482"/>
      <c r="BI31" s="41"/>
      <c r="BK31" s="311">
        <v>15</v>
      </c>
      <c r="BL31" s="311"/>
      <c r="BM31" s="311">
        <v>1222</v>
      </c>
      <c r="BN31" s="311"/>
      <c r="BO31" s="311"/>
      <c r="BP31" s="311">
        <v>1377</v>
      </c>
      <c r="BQ31" s="311"/>
      <c r="BR31" s="311"/>
    </row>
    <row r="32" spans="1:70" ht="7.4" customHeight="1" x14ac:dyDescent="0.5">
      <c r="A32" s="42"/>
      <c r="B32" s="61"/>
      <c r="C32" s="400"/>
      <c r="D32" s="400"/>
      <c r="E32" s="400"/>
      <c r="F32" s="400"/>
      <c r="G32" s="400"/>
      <c r="H32" s="400"/>
      <c r="I32" s="400"/>
      <c r="J32" s="400"/>
      <c r="K32" s="400"/>
      <c r="L32" s="400"/>
      <c r="M32" s="400"/>
      <c r="N32" s="400"/>
      <c r="O32" s="400"/>
      <c r="P32" s="400"/>
      <c r="Q32" s="400"/>
      <c r="R32" s="448"/>
      <c r="S32" s="25"/>
      <c r="T32" s="405"/>
      <c r="U32" s="405"/>
      <c r="V32" s="405"/>
      <c r="W32" s="405"/>
      <c r="X32" s="405"/>
      <c r="Y32" s="405"/>
      <c r="Z32" s="405"/>
      <c r="AA32" s="405"/>
      <c r="AB32" s="405"/>
      <c r="AC32" s="411"/>
      <c r="AD32" s="25"/>
      <c r="AE32" s="139"/>
      <c r="AF32" s="400"/>
      <c r="AG32" s="400"/>
      <c r="AH32" s="400"/>
      <c r="AI32" s="400"/>
      <c r="AJ32" s="400"/>
      <c r="AK32" s="400"/>
      <c r="AL32" s="400"/>
      <c r="AM32" s="448"/>
      <c r="AN32" s="25"/>
      <c r="AO32" s="480"/>
      <c r="AP32" s="480"/>
      <c r="AQ32" s="314"/>
      <c r="AR32" s="314"/>
      <c r="AS32" s="314"/>
      <c r="AT32" s="314"/>
      <c r="AU32" s="314"/>
      <c r="AV32" s="314"/>
      <c r="AW32" s="314"/>
      <c r="AX32" s="382"/>
      <c r="AY32" s="382"/>
      <c r="AZ32" s="382"/>
      <c r="BA32" s="498"/>
      <c r="BB32" s="498"/>
      <c r="BC32" s="483"/>
      <c r="BD32" s="483"/>
      <c r="BE32" s="483"/>
      <c r="BF32" s="483"/>
      <c r="BG32" s="483"/>
      <c r="BH32" s="484"/>
      <c r="BI32" s="41"/>
      <c r="BK32" s="311"/>
      <c r="BL32" s="311"/>
      <c r="BM32" s="311"/>
      <c r="BN32" s="311"/>
      <c r="BO32" s="311"/>
    </row>
    <row r="33" spans="1:73" ht="7.4" customHeight="1" x14ac:dyDescent="0.5">
      <c r="A33" s="42"/>
      <c r="B33" s="64"/>
      <c r="C33" s="487"/>
      <c r="D33" s="487"/>
      <c r="E33" s="487"/>
      <c r="F33" s="487"/>
      <c r="G33" s="487"/>
      <c r="H33" s="487"/>
      <c r="I33" s="487"/>
      <c r="J33" s="487"/>
      <c r="K33" s="487"/>
      <c r="L33" s="487"/>
      <c r="M33" s="487"/>
      <c r="N33" s="487"/>
      <c r="O33" s="487"/>
      <c r="P33" s="487"/>
      <c r="Q33" s="487"/>
      <c r="R33" s="488"/>
      <c r="S33" s="51"/>
      <c r="T33" s="491"/>
      <c r="U33" s="491"/>
      <c r="V33" s="491"/>
      <c r="W33" s="491"/>
      <c r="X33" s="491"/>
      <c r="Y33" s="491"/>
      <c r="Z33" s="491"/>
      <c r="AA33" s="491"/>
      <c r="AB33" s="491"/>
      <c r="AC33" s="492"/>
      <c r="AD33" s="25"/>
      <c r="AE33" s="139"/>
      <c r="AF33" s="400"/>
      <c r="AG33" s="400"/>
      <c r="AH33" s="400"/>
      <c r="AI33" s="400"/>
      <c r="AJ33" s="400"/>
      <c r="AK33" s="400"/>
      <c r="AL33" s="400"/>
      <c r="AM33" s="448"/>
      <c r="AN33" s="135"/>
      <c r="AO33" s="494"/>
      <c r="AP33" s="494"/>
      <c r="AQ33" s="496"/>
      <c r="AR33" s="496"/>
      <c r="AS33" s="496"/>
      <c r="AT33" s="496"/>
      <c r="AU33" s="496"/>
      <c r="AV33" s="496"/>
      <c r="AW33" s="496"/>
      <c r="AX33" s="388"/>
      <c r="AY33" s="388"/>
      <c r="AZ33" s="388"/>
      <c r="BA33" s="499"/>
      <c r="BB33" s="499"/>
      <c r="BC33" s="485"/>
      <c r="BD33" s="485"/>
      <c r="BE33" s="485"/>
      <c r="BF33" s="485"/>
      <c r="BG33" s="485"/>
      <c r="BH33" s="486"/>
      <c r="BI33" s="41"/>
      <c r="BK33" s="311"/>
      <c r="BL33" s="311"/>
      <c r="BM33" s="311"/>
      <c r="BN33" s="311"/>
      <c r="BO33" s="311"/>
    </row>
    <row r="34" spans="1:73" ht="7.4" customHeight="1" x14ac:dyDescent="0.5">
      <c r="A34" s="42"/>
      <c r="C34" s="79"/>
      <c r="D34" s="79"/>
      <c r="E34" s="79"/>
      <c r="F34" s="79"/>
      <c r="G34" s="79"/>
      <c r="H34" s="79"/>
      <c r="I34" s="79"/>
      <c r="J34" s="79"/>
      <c r="K34" s="79"/>
      <c r="L34" s="79"/>
      <c r="M34" s="79"/>
      <c r="N34" s="79"/>
      <c r="O34" s="79"/>
      <c r="P34" s="79"/>
      <c r="Q34" s="79"/>
      <c r="R34" s="79"/>
      <c r="T34" s="141"/>
      <c r="U34" s="141"/>
      <c r="V34" s="141"/>
      <c r="W34" s="141"/>
      <c r="X34" s="141"/>
      <c r="Y34" s="141"/>
      <c r="Z34" s="141"/>
      <c r="AA34" s="141"/>
      <c r="AB34" s="141"/>
      <c r="AC34" s="141"/>
      <c r="AD34" s="108"/>
      <c r="AE34" s="142"/>
      <c r="AF34" s="476" t="s">
        <v>71</v>
      </c>
      <c r="AG34" s="476"/>
      <c r="AH34" s="476"/>
      <c r="AI34" s="476"/>
      <c r="AJ34" s="476"/>
      <c r="AK34" s="476"/>
      <c r="AL34" s="476"/>
      <c r="AM34" s="477"/>
      <c r="AN34" s="79"/>
      <c r="AO34" s="79"/>
      <c r="AP34" s="79"/>
      <c r="AQ34" s="79"/>
      <c r="AR34" s="79"/>
      <c r="AS34" s="79"/>
      <c r="AT34" s="79"/>
      <c r="AU34" s="79"/>
      <c r="AV34" s="79"/>
      <c r="AW34" s="79"/>
      <c r="AX34" s="79"/>
      <c r="AY34" s="79"/>
      <c r="AZ34" s="79"/>
      <c r="BA34" s="79"/>
      <c r="BB34" s="79"/>
      <c r="BC34" s="143"/>
      <c r="BD34" s="143"/>
      <c r="BE34" s="143"/>
      <c r="BF34" s="143"/>
      <c r="BG34" s="143"/>
      <c r="BH34" s="144"/>
      <c r="BI34" s="124"/>
      <c r="BK34" s="311"/>
      <c r="BL34" s="311"/>
      <c r="BM34" s="311"/>
      <c r="BN34" s="311"/>
      <c r="BO34" s="311"/>
    </row>
    <row r="35" spans="1:73" ht="7.4" customHeight="1" x14ac:dyDescent="0.5">
      <c r="A35" s="42"/>
      <c r="C35" s="79"/>
      <c r="D35" s="79"/>
      <c r="E35" s="79"/>
      <c r="F35" s="79"/>
      <c r="G35" s="79"/>
      <c r="H35" s="79"/>
      <c r="I35" s="79"/>
      <c r="J35" s="79"/>
      <c r="K35" s="79"/>
      <c r="L35" s="79"/>
      <c r="M35" s="79"/>
      <c r="N35" s="79"/>
      <c r="O35" s="79"/>
      <c r="P35" s="79"/>
      <c r="Q35" s="79"/>
      <c r="R35" s="79"/>
      <c r="S35" s="293"/>
      <c r="T35" s="141"/>
      <c r="U35" s="141"/>
      <c r="V35" s="141"/>
      <c r="W35" s="141"/>
      <c r="X35" s="141"/>
      <c r="Y35" s="141"/>
      <c r="Z35" s="141"/>
      <c r="AA35" s="141"/>
      <c r="AB35" s="141"/>
      <c r="AC35" s="141"/>
      <c r="AD35" s="25"/>
      <c r="AE35" s="139"/>
      <c r="AF35" s="476"/>
      <c r="AG35" s="476"/>
      <c r="AH35" s="476"/>
      <c r="AI35" s="476"/>
      <c r="AJ35" s="476"/>
      <c r="AK35" s="476"/>
      <c r="AL35" s="476"/>
      <c r="AM35" s="477"/>
      <c r="AN35" s="25"/>
      <c r="AO35" s="480">
        <v>250</v>
      </c>
      <c r="AP35" s="480"/>
      <c r="AQ35" s="480"/>
      <c r="AR35" s="405" t="s">
        <v>72</v>
      </c>
      <c r="AS35" s="405"/>
      <c r="AT35" s="405"/>
      <c r="AU35" s="405"/>
      <c r="AV35" s="405"/>
      <c r="AW35" s="405"/>
      <c r="AX35" s="405"/>
      <c r="AY35" s="405"/>
      <c r="AZ35" s="405"/>
      <c r="BA35" s="405"/>
      <c r="BB35" s="405"/>
      <c r="BC35" s="405"/>
      <c r="BD35" s="405"/>
      <c r="BE35" s="405"/>
      <c r="BF35" s="405"/>
      <c r="BG35" s="405"/>
      <c r="BH35" s="411"/>
      <c r="BI35" s="41"/>
      <c r="BK35" s="311"/>
      <c r="BL35" s="311"/>
    </row>
    <row r="36" spans="1:73" ht="7.4" customHeight="1" x14ac:dyDescent="0.5">
      <c r="A36" s="42"/>
      <c r="C36" s="79"/>
      <c r="D36" s="79"/>
      <c r="E36" s="79"/>
      <c r="F36" s="79"/>
      <c r="G36" s="79"/>
      <c r="H36" s="79"/>
      <c r="I36" s="79"/>
      <c r="J36" s="79"/>
      <c r="K36" s="79"/>
      <c r="L36" s="79"/>
      <c r="M36" s="79"/>
      <c r="N36" s="79"/>
      <c r="O36" s="79"/>
      <c r="P36" s="79"/>
      <c r="Q36" s="79"/>
      <c r="R36" s="79"/>
      <c r="S36" s="293"/>
      <c r="T36" s="141"/>
      <c r="U36" s="141"/>
      <c r="V36" s="141"/>
      <c r="W36" s="141"/>
      <c r="X36" s="141"/>
      <c r="Y36" s="141"/>
      <c r="Z36" s="141"/>
      <c r="AA36" s="141"/>
      <c r="AB36" s="141"/>
      <c r="AC36" s="141"/>
      <c r="AD36" s="25"/>
      <c r="AE36" s="139"/>
      <c r="AF36" s="476"/>
      <c r="AG36" s="476"/>
      <c r="AH36" s="476"/>
      <c r="AI36" s="476"/>
      <c r="AJ36" s="476"/>
      <c r="AK36" s="476"/>
      <c r="AL36" s="476"/>
      <c r="AM36" s="477"/>
      <c r="AN36" s="25"/>
      <c r="AO36" s="480"/>
      <c r="AP36" s="480"/>
      <c r="AQ36" s="480"/>
      <c r="AR36" s="405"/>
      <c r="AS36" s="405"/>
      <c r="AT36" s="405"/>
      <c r="AU36" s="405"/>
      <c r="AV36" s="405"/>
      <c r="AW36" s="405"/>
      <c r="AX36" s="405"/>
      <c r="AY36" s="405"/>
      <c r="AZ36" s="405"/>
      <c r="BA36" s="405"/>
      <c r="BB36" s="405"/>
      <c r="BC36" s="405"/>
      <c r="BD36" s="405"/>
      <c r="BE36" s="405"/>
      <c r="BF36" s="405"/>
      <c r="BG36" s="405"/>
      <c r="BH36" s="411"/>
      <c r="BI36" s="41"/>
      <c r="BK36" s="75"/>
      <c r="BL36" s="75"/>
    </row>
    <row r="37" spans="1:73" ht="7.4" customHeight="1" x14ac:dyDescent="0.5">
      <c r="A37" s="42"/>
      <c r="C37" s="79"/>
      <c r="D37" s="79"/>
      <c r="E37" s="79"/>
      <c r="F37" s="79"/>
      <c r="G37" s="79"/>
      <c r="H37" s="79"/>
      <c r="I37" s="79"/>
      <c r="J37" s="79"/>
      <c r="K37" s="79"/>
      <c r="L37" s="79"/>
      <c r="M37" s="79"/>
      <c r="N37" s="79"/>
      <c r="O37" s="79"/>
      <c r="P37" s="79"/>
      <c r="Q37" s="79"/>
      <c r="R37" s="79"/>
      <c r="T37" s="141"/>
      <c r="U37" s="141"/>
      <c r="V37" s="141"/>
      <c r="W37" s="141"/>
      <c r="X37" s="141"/>
      <c r="Y37" s="141"/>
      <c r="Z37" s="141"/>
      <c r="AA37" s="141"/>
      <c r="AB37" s="141"/>
      <c r="AC37" s="141"/>
      <c r="AD37" s="25"/>
      <c r="AE37" s="145"/>
      <c r="AF37" s="478"/>
      <c r="AG37" s="478"/>
      <c r="AH37" s="478"/>
      <c r="AI37" s="478"/>
      <c r="AJ37" s="478"/>
      <c r="AK37" s="478"/>
      <c r="AL37" s="478"/>
      <c r="AM37" s="479"/>
      <c r="AN37" s="135"/>
      <c r="AO37" s="135"/>
      <c r="AP37" s="135"/>
      <c r="AQ37" s="51"/>
      <c r="AR37" s="51"/>
      <c r="AS37" s="135"/>
      <c r="AT37" s="135"/>
      <c r="AU37" s="135"/>
      <c r="AV37" s="135"/>
      <c r="AW37" s="135"/>
      <c r="AX37" s="135"/>
      <c r="AY37" s="135"/>
      <c r="AZ37" s="135"/>
      <c r="BA37" s="135"/>
      <c r="BB37" s="135"/>
      <c r="BC37" s="146"/>
      <c r="BD37" s="146"/>
      <c r="BE37" s="146"/>
      <c r="BF37" s="146"/>
      <c r="BG37" s="146"/>
      <c r="BH37" s="147"/>
      <c r="BI37" s="41"/>
    </row>
    <row r="38" spans="1:73" ht="7.4" customHeight="1" x14ac:dyDescent="0.5">
      <c r="A38" s="42"/>
      <c r="X38" s="25"/>
      <c r="Y38" s="25"/>
      <c r="Z38" s="25"/>
      <c r="AA38" s="25"/>
      <c r="AB38" s="25"/>
      <c r="AC38" s="25"/>
      <c r="AD38" s="25"/>
      <c r="AE38" s="25"/>
      <c r="AF38" s="25"/>
      <c r="AG38" s="25"/>
      <c r="AH38" s="25"/>
      <c r="AI38" s="25"/>
      <c r="AJ38" s="25"/>
      <c r="AL38" s="79"/>
      <c r="AM38" s="79"/>
      <c r="AN38" s="79"/>
      <c r="AO38" s="79"/>
      <c r="AP38" s="79"/>
      <c r="AQ38" s="79"/>
      <c r="AR38" s="79"/>
      <c r="AS38" s="79"/>
      <c r="AV38" s="79"/>
      <c r="AW38" s="79"/>
      <c r="AX38" s="79"/>
      <c r="AY38" s="79"/>
      <c r="AZ38" s="79"/>
      <c r="BA38" s="79"/>
      <c r="BB38" s="79"/>
      <c r="BC38" s="79"/>
      <c r="BD38" s="79"/>
      <c r="BE38" s="79"/>
      <c r="BF38" s="79"/>
      <c r="BG38" s="79"/>
      <c r="BH38" s="79"/>
      <c r="BI38" s="41"/>
    </row>
    <row r="39" spans="1:73" ht="7.4" customHeight="1" x14ac:dyDescent="0.5">
      <c r="A39" s="42"/>
      <c r="B39" s="299" t="s">
        <v>73</v>
      </c>
      <c r="C39" s="363"/>
      <c r="D39" s="363"/>
      <c r="E39" s="363"/>
      <c r="F39" s="363"/>
      <c r="G39" s="363"/>
      <c r="H39" s="363"/>
      <c r="I39" s="363"/>
      <c r="J39" s="363"/>
      <c r="K39" s="363"/>
      <c r="L39" s="363"/>
      <c r="M39" s="363"/>
      <c r="N39" s="363"/>
      <c r="O39" s="363"/>
      <c r="P39" s="363"/>
      <c r="Q39" s="363"/>
      <c r="R39" s="363"/>
      <c r="S39" s="363"/>
      <c r="T39" s="363"/>
      <c r="U39" s="363"/>
      <c r="V39" s="363"/>
      <c r="W39" s="363"/>
      <c r="X39" s="363"/>
      <c r="Y39" s="363"/>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363"/>
      <c r="BC39" s="363"/>
      <c r="BD39" s="363"/>
      <c r="BE39" s="363"/>
      <c r="BF39" s="363"/>
      <c r="BG39" s="363"/>
      <c r="BH39" s="364"/>
      <c r="BI39" s="41"/>
    </row>
    <row r="40" spans="1:73" ht="7.4" customHeight="1" x14ac:dyDescent="0.5">
      <c r="A40" s="42"/>
      <c r="B40" s="365"/>
      <c r="C40" s="366"/>
      <c r="D40" s="366"/>
      <c r="E40" s="366"/>
      <c r="F40" s="366"/>
      <c r="G40" s="366"/>
      <c r="H40" s="366"/>
      <c r="I40" s="366"/>
      <c r="J40" s="366"/>
      <c r="K40" s="366"/>
      <c r="L40" s="366"/>
      <c r="M40" s="366"/>
      <c r="N40" s="366"/>
      <c r="O40" s="366"/>
      <c r="P40" s="366"/>
      <c r="Q40" s="366"/>
      <c r="R40" s="366"/>
      <c r="S40" s="366"/>
      <c r="T40" s="366"/>
      <c r="U40" s="366"/>
      <c r="V40" s="366"/>
      <c r="W40" s="366"/>
      <c r="X40" s="366"/>
      <c r="Y40" s="366"/>
      <c r="Z40" s="366"/>
      <c r="AA40" s="366"/>
      <c r="AB40" s="366"/>
      <c r="AC40" s="366"/>
      <c r="AD40" s="366"/>
      <c r="AE40" s="366"/>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7"/>
      <c r="BI40" s="41"/>
    </row>
    <row r="41" spans="1:73" ht="7.4" customHeight="1" x14ac:dyDescent="0.5">
      <c r="A41" s="42"/>
      <c r="B41" s="368"/>
      <c r="C41" s="369"/>
      <c r="D41" s="369"/>
      <c r="E41" s="369"/>
      <c r="F41" s="369"/>
      <c r="G41" s="369"/>
      <c r="H41" s="369"/>
      <c r="I41" s="369"/>
      <c r="J41" s="369"/>
      <c r="K41" s="369"/>
      <c r="L41" s="369"/>
      <c r="M41" s="369"/>
      <c r="N41" s="369"/>
      <c r="O41" s="369"/>
      <c r="P41" s="369"/>
      <c r="Q41" s="369"/>
      <c r="R41" s="369"/>
      <c r="S41" s="369"/>
      <c r="T41" s="369"/>
      <c r="U41" s="369"/>
      <c r="V41" s="369"/>
      <c r="W41" s="369"/>
      <c r="X41" s="369"/>
      <c r="Y41" s="369"/>
      <c r="Z41" s="369"/>
      <c r="AA41" s="369"/>
      <c r="AB41" s="369"/>
      <c r="AC41" s="369"/>
      <c r="AD41" s="369"/>
      <c r="AE41" s="369"/>
      <c r="AF41" s="369"/>
      <c r="AG41" s="369"/>
      <c r="AH41" s="369"/>
      <c r="AI41" s="369"/>
      <c r="AJ41" s="369"/>
      <c r="AK41" s="369"/>
      <c r="AL41" s="369"/>
      <c r="AM41" s="369"/>
      <c r="AN41" s="369"/>
      <c r="AO41" s="369"/>
      <c r="AP41" s="369"/>
      <c r="AQ41" s="369"/>
      <c r="AR41" s="369"/>
      <c r="AS41" s="369"/>
      <c r="AT41" s="369"/>
      <c r="AU41" s="369"/>
      <c r="AV41" s="369"/>
      <c r="AW41" s="369"/>
      <c r="AX41" s="369"/>
      <c r="AY41" s="369"/>
      <c r="AZ41" s="369"/>
      <c r="BA41" s="369"/>
      <c r="BB41" s="369"/>
      <c r="BC41" s="369"/>
      <c r="BD41" s="369"/>
      <c r="BE41" s="369"/>
      <c r="BF41" s="369"/>
      <c r="BG41" s="369"/>
      <c r="BH41" s="370"/>
      <c r="BI41" s="41"/>
    </row>
    <row r="42" spans="1:73" ht="7.4" customHeight="1" x14ac:dyDescent="0.5">
      <c r="A42" s="42"/>
      <c r="B42" s="58"/>
      <c r="C42" s="59"/>
      <c r="D42" s="59"/>
      <c r="E42" s="59"/>
      <c r="F42" s="59"/>
      <c r="G42" s="59"/>
      <c r="H42" s="60"/>
      <c r="I42" s="38"/>
      <c r="J42" s="39"/>
      <c r="K42" s="39"/>
      <c r="L42" s="39"/>
      <c r="M42" s="39"/>
      <c r="N42" s="39"/>
      <c r="O42" s="39"/>
      <c r="P42" s="58"/>
      <c r="Q42" s="59"/>
      <c r="R42" s="59"/>
      <c r="S42" s="148"/>
      <c r="T42" s="148"/>
      <c r="U42" s="149"/>
      <c r="V42" s="39"/>
      <c r="W42" s="89"/>
      <c r="X42" s="89"/>
      <c r="Y42" s="89"/>
      <c r="Z42" s="89"/>
      <c r="AA42" s="39"/>
      <c r="AB42" s="39"/>
      <c r="AC42" s="89"/>
      <c r="AD42" s="89"/>
      <c r="AE42" s="89"/>
      <c r="AF42" s="89"/>
      <c r="AG42" s="89"/>
      <c r="AH42" s="39"/>
      <c r="AI42" s="77"/>
      <c r="AJ42" s="77"/>
      <c r="AK42" s="77"/>
      <c r="AL42" s="77"/>
      <c r="AM42" s="77"/>
      <c r="AN42" s="77"/>
      <c r="AO42" s="77"/>
      <c r="AP42" s="77"/>
      <c r="AQ42" s="39"/>
      <c r="AR42" s="39"/>
      <c r="AS42" s="77"/>
      <c r="AT42" s="77"/>
      <c r="AU42" s="58"/>
      <c r="AV42" s="59"/>
      <c r="AW42" s="59"/>
      <c r="AX42" s="148"/>
      <c r="AY42" s="148"/>
      <c r="AZ42" s="148"/>
      <c r="BA42" s="150"/>
      <c r="BB42" s="39"/>
      <c r="BC42" s="39"/>
      <c r="BD42" s="39"/>
      <c r="BE42" s="77"/>
      <c r="BF42" s="77"/>
      <c r="BG42" s="77"/>
      <c r="BH42" s="138"/>
      <c r="BI42" s="41"/>
    </row>
    <row r="43" spans="1:73" ht="7.4" customHeight="1" x14ac:dyDescent="0.5">
      <c r="A43" s="42"/>
      <c r="B43" s="61"/>
      <c r="C43" s="344" t="s">
        <v>74</v>
      </c>
      <c r="D43" s="344"/>
      <c r="E43" s="344"/>
      <c r="F43" s="344"/>
      <c r="G43" s="344"/>
      <c r="H43" s="63"/>
      <c r="I43" s="42"/>
      <c r="J43" s="311">
        <f>M54*M58+P54*P58+S54*S58+V54*V58+Y54*Y58+AB54*AB58+AE54*AE58+AH54*AH58+AK54*AK58+AN54*AN58+AQ54*AQ58+AT54*AT58+AW54*AW58+AZ54*AZ58+BC54*BC58+BF54*BF58</f>
        <v>100</v>
      </c>
      <c r="K43" s="311"/>
      <c r="L43" s="311"/>
      <c r="M43" s="311"/>
      <c r="N43" s="311"/>
      <c r="P43" s="61"/>
      <c r="Q43" s="344" t="s">
        <v>75</v>
      </c>
      <c r="R43" s="344"/>
      <c r="S43" s="344"/>
      <c r="T43" s="344"/>
      <c r="U43" s="151"/>
      <c r="W43" s="453" t="s">
        <v>76</v>
      </c>
      <c r="X43" s="453"/>
      <c r="Y43" s="453"/>
      <c r="Z43" s="453"/>
      <c r="AA43" s="453"/>
      <c r="AB43" s="453"/>
      <c r="AC43" s="453"/>
      <c r="AD43" s="453"/>
      <c r="AE43" s="453"/>
      <c r="AF43" s="453"/>
      <c r="AG43" s="453"/>
      <c r="AH43" s="453"/>
      <c r="AI43" s="453"/>
      <c r="AJ43" s="453"/>
      <c r="AK43" s="453"/>
      <c r="AL43" s="453"/>
      <c r="AM43" s="453"/>
      <c r="AN43" s="453"/>
      <c r="AO43" s="453"/>
      <c r="AP43" s="453"/>
      <c r="AQ43" s="453"/>
      <c r="AR43" s="453"/>
      <c r="AS43" s="453"/>
      <c r="AT43" s="79"/>
      <c r="AU43" s="61"/>
      <c r="AV43" s="400" t="s">
        <v>77</v>
      </c>
      <c r="AW43" s="400"/>
      <c r="AX43" s="400"/>
      <c r="AY43" s="400"/>
      <c r="AZ43" s="400"/>
      <c r="BA43" s="152"/>
      <c r="BC43" s="471">
        <v>600</v>
      </c>
      <c r="BD43" s="471"/>
      <c r="BE43" s="471"/>
      <c r="BF43" s="471"/>
      <c r="BG43" s="471"/>
      <c r="BH43" s="124"/>
      <c r="BI43" s="41"/>
      <c r="BL43" s="46"/>
      <c r="BM43" s="46"/>
      <c r="BN43" s="46"/>
      <c r="BO43" s="46"/>
      <c r="BP43" s="46"/>
      <c r="BQ43" s="46"/>
      <c r="BR43" s="46"/>
      <c r="BS43" s="46"/>
      <c r="BT43" s="46"/>
      <c r="BU43" s="46"/>
    </row>
    <row r="44" spans="1:73" ht="7.4" customHeight="1" x14ac:dyDescent="0.5">
      <c r="A44" s="42"/>
      <c r="B44" s="61"/>
      <c r="C44" s="344"/>
      <c r="D44" s="344"/>
      <c r="E44" s="344"/>
      <c r="F44" s="344"/>
      <c r="G44" s="344"/>
      <c r="H44" s="63"/>
      <c r="I44" s="42"/>
      <c r="J44" s="311"/>
      <c r="K44" s="311"/>
      <c r="L44" s="311"/>
      <c r="M44" s="311"/>
      <c r="N44" s="311"/>
      <c r="P44" s="61"/>
      <c r="Q44" s="344"/>
      <c r="R44" s="344"/>
      <c r="S44" s="344"/>
      <c r="T44" s="344"/>
      <c r="U44" s="151"/>
      <c r="W44" s="453"/>
      <c r="X44" s="453"/>
      <c r="Y44" s="453"/>
      <c r="Z44" s="453"/>
      <c r="AA44" s="453"/>
      <c r="AB44" s="453"/>
      <c r="AC44" s="453"/>
      <c r="AD44" s="453"/>
      <c r="AE44" s="453"/>
      <c r="AF44" s="453"/>
      <c r="AG44" s="453"/>
      <c r="AH44" s="453"/>
      <c r="AI44" s="453"/>
      <c r="AJ44" s="453"/>
      <c r="AK44" s="453"/>
      <c r="AL44" s="453"/>
      <c r="AM44" s="453"/>
      <c r="AN44" s="453"/>
      <c r="AO44" s="453"/>
      <c r="AP44" s="453"/>
      <c r="AQ44" s="453"/>
      <c r="AR44" s="453"/>
      <c r="AS44" s="453"/>
      <c r="AT44" s="79"/>
      <c r="AU44" s="61"/>
      <c r="AV44" s="400"/>
      <c r="AW44" s="400"/>
      <c r="AX44" s="400"/>
      <c r="AY44" s="400"/>
      <c r="AZ44" s="400"/>
      <c r="BA44" s="152"/>
      <c r="BC44" s="471"/>
      <c r="BD44" s="471"/>
      <c r="BE44" s="471"/>
      <c r="BF44" s="471"/>
      <c r="BG44" s="471"/>
      <c r="BH44" s="124"/>
      <c r="BI44" s="41"/>
      <c r="BL44" s="46"/>
      <c r="BM44" s="46"/>
      <c r="BN44" s="46"/>
      <c r="BO44" s="46"/>
      <c r="BP44" s="46"/>
      <c r="BQ44" s="46"/>
      <c r="BR44" s="46"/>
      <c r="BS44" s="46"/>
      <c r="BT44" s="46"/>
      <c r="BU44" s="46"/>
    </row>
    <row r="45" spans="1:73" ht="7.4" customHeight="1" x14ac:dyDescent="0.5">
      <c r="A45" s="42"/>
      <c r="B45" s="61"/>
      <c r="C45" s="344"/>
      <c r="D45" s="344"/>
      <c r="E45" s="344"/>
      <c r="F45" s="344"/>
      <c r="G45" s="344"/>
      <c r="H45" s="63"/>
      <c r="I45" s="42"/>
      <c r="J45" s="311"/>
      <c r="K45" s="311"/>
      <c r="L45" s="311"/>
      <c r="M45" s="311"/>
      <c r="N45" s="311"/>
      <c r="P45" s="61"/>
      <c r="Q45" s="344"/>
      <c r="R45" s="344"/>
      <c r="S45" s="344"/>
      <c r="T45" s="344"/>
      <c r="U45" s="151"/>
      <c r="W45" s="472">
        <v>2278</v>
      </c>
      <c r="X45" s="472"/>
      <c r="Y45" s="472"/>
      <c r="Z45" s="472"/>
      <c r="AA45" s="153" t="s">
        <v>78</v>
      </c>
      <c r="AB45" s="153"/>
      <c r="AC45" s="154"/>
      <c r="AD45" s="154"/>
      <c r="AE45" s="472">
        <v>1134</v>
      </c>
      <c r="AF45" s="472"/>
      <c r="AG45" s="472"/>
      <c r="AH45" s="472"/>
      <c r="AI45" s="155" t="s">
        <v>79</v>
      </c>
      <c r="AJ45" s="155"/>
      <c r="AK45" s="155"/>
      <c r="AL45" s="155"/>
      <c r="AM45" s="472">
        <v>30</v>
      </c>
      <c r="AN45" s="472"/>
      <c r="AO45" s="472"/>
      <c r="AP45" s="472"/>
      <c r="AQ45" s="153" t="s">
        <v>80</v>
      </c>
      <c r="AR45" s="153"/>
      <c r="AS45" s="155"/>
      <c r="AT45" s="79"/>
      <c r="AU45" s="61"/>
      <c r="AV45" s="400"/>
      <c r="AW45" s="400"/>
      <c r="AX45" s="400"/>
      <c r="AY45" s="400"/>
      <c r="AZ45" s="400"/>
      <c r="BA45" s="152"/>
      <c r="BC45" s="471"/>
      <c r="BD45" s="471"/>
      <c r="BE45" s="471"/>
      <c r="BF45" s="471"/>
      <c r="BG45" s="471"/>
      <c r="BH45" s="124"/>
      <c r="BI45" s="41"/>
    </row>
    <row r="46" spans="1:73" ht="7.4" customHeight="1" x14ac:dyDescent="0.5">
      <c r="A46" s="42"/>
      <c r="B46" s="64"/>
      <c r="C46" s="65"/>
      <c r="D46" s="65"/>
      <c r="E46" s="65"/>
      <c r="F46" s="65"/>
      <c r="G46" s="65"/>
      <c r="H46" s="66"/>
      <c r="I46" s="50"/>
      <c r="J46" s="51"/>
      <c r="K46" s="51"/>
      <c r="L46" s="51"/>
      <c r="M46" s="51"/>
      <c r="N46" s="51"/>
      <c r="O46" s="51"/>
      <c r="P46" s="64"/>
      <c r="Q46" s="65"/>
      <c r="R46" s="65"/>
      <c r="S46" s="96"/>
      <c r="T46" s="96"/>
      <c r="U46" s="156"/>
      <c r="V46" s="51"/>
      <c r="W46" s="97"/>
      <c r="X46" s="97"/>
      <c r="Y46" s="97"/>
      <c r="Z46" s="97"/>
      <c r="AA46" s="51"/>
      <c r="AB46" s="51"/>
      <c r="AC46" s="97"/>
      <c r="AD46" s="97"/>
      <c r="AE46" s="97"/>
      <c r="AF46" s="97"/>
      <c r="AG46" s="97"/>
      <c r="AH46" s="51"/>
      <c r="AI46" s="135"/>
      <c r="AJ46" s="135"/>
      <c r="AK46" s="135"/>
      <c r="AL46" s="135"/>
      <c r="AM46" s="135"/>
      <c r="AN46" s="135"/>
      <c r="AO46" s="135"/>
      <c r="AP46" s="135"/>
      <c r="AQ46" s="51"/>
      <c r="AR46" s="51"/>
      <c r="AS46" s="135"/>
      <c r="AT46" s="135"/>
      <c r="AU46" s="64"/>
      <c r="AV46" s="65"/>
      <c r="AW46" s="65"/>
      <c r="AX46" s="96"/>
      <c r="AY46" s="96"/>
      <c r="AZ46" s="96"/>
      <c r="BA46" s="157"/>
      <c r="BB46" s="51"/>
      <c r="BC46" s="51"/>
      <c r="BD46" s="51"/>
      <c r="BE46" s="135"/>
      <c r="BF46" s="135"/>
      <c r="BG46" s="135"/>
      <c r="BH46" s="158"/>
      <c r="BI46" s="41"/>
    </row>
    <row r="47" spans="1:73" ht="7.4" customHeight="1" x14ac:dyDescent="0.5">
      <c r="A47" s="42"/>
      <c r="X47" s="25"/>
      <c r="Y47" s="25"/>
      <c r="Z47" s="25"/>
      <c r="AA47" s="25"/>
      <c r="AB47" s="25"/>
      <c r="AC47" s="25"/>
      <c r="AD47" s="25"/>
      <c r="AE47" s="25"/>
      <c r="AF47" s="25"/>
      <c r="AG47" s="25"/>
      <c r="AI47" s="79"/>
      <c r="AJ47" s="79"/>
      <c r="AK47" s="79"/>
      <c r="AL47" s="79"/>
      <c r="AM47" s="79"/>
      <c r="AN47" s="79"/>
      <c r="AO47" s="79"/>
      <c r="AP47" s="79"/>
      <c r="AS47" s="79"/>
      <c r="AT47" s="79"/>
      <c r="AU47" s="79"/>
      <c r="AV47" s="79"/>
      <c r="AW47" s="79"/>
      <c r="AX47" s="79"/>
      <c r="AY47" s="79"/>
      <c r="AZ47" s="79"/>
      <c r="BA47" s="79"/>
      <c r="BB47" s="79"/>
      <c r="BC47" s="79"/>
      <c r="BD47" s="79"/>
      <c r="BE47" s="79"/>
      <c r="BF47" s="79"/>
      <c r="BG47" s="79"/>
      <c r="BH47" s="79"/>
      <c r="BI47" s="41"/>
    </row>
    <row r="48" spans="1:73" ht="7.4" customHeight="1" x14ac:dyDescent="0.5">
      <c r="A48" s="42"/>
      <c r="B48" s="299" t="s">
        <v>81</v>
      </c>
      <c r="C48" s="363"/>
      <c r="D48" s="363"/>
      <c r="E48" s="363"/>
      <c r="F48" s="363"/>
      <c r="G48" s="363"/>
      <c r="H48" s="363"/>
      <c r="I48" s="363"/>
      <c r="J48" s="363"/>
      <c r="K48" s="363"/>
      <c r="L48" s="363"/>
      <c r="M48" s="363"/>
      <c r="N48" s="363"/>
      <c r="O48" s="363"/>
      <c r="P48" s="363"/>
      <c r="Q48" s="363"/>
      <c r="R48" s="363"/>
      <c r="S48" s="363"/>
      <c r="T48" s="363"/>
      <c r="U48" s="363"/>
      <c r="V48" s="363"/>
      <c r="W48" s="363"/>
      <c r="X48" s="363"/>
      <c r="Y48" s="363"/>
      <c r="Z48" s="363"/>
      <c r="AA48" s="363"/>
      <c r="AB48" s="363"/>
      <c r="AC48" s="363"/>
      <c r="AD48" s="363"/>
      <c r="AE48" s="363"/>
      <c r="AF48" s="363"/>
      <c r="AG48" s="363"/>
      <c r="AH48" s="363"/>
      <c r="AI48" s="363"/>
      <c r="AJ48" s="363"/>
      <c r="AK48" s="363"/>
      <c r="AL48" s="363"/>
      <c r="AM48" s="363"/>
      <c r="AN48" s="363"/>
      <c r="AO48" s="363"/>
      <c r="AP48" s="363"/>
      <c r="AQ48" s="363"/>
      <c r="AR48" s="363"/>
      <c r="AS48" s="363"/>
      <c r="AT48" s="363"/>
      <c r="AU48" s="363"/>
      <c r="AV48" s="363"/>
      <c r="AW48" s="363"/>
      <c r="AX48" s="363"/>
      <c r="AY48" s="363"/>
      <c r="AZ48" s="363"/>
      <c r="BA48" s="363"/>
      <c r="BB48" s="363"/>
      <c r="BC48" s="363"/>
      <c r="BD48" s="363"/>
      <c r="BE48" s="363"/>
      <c r="BF48" s="363"/>
      <c r="BG48" s="363"/>
      <c r="BH48" s="364"/>
      <c r="BI48" s="41"/>
    </row>
    <row r="49" spans="1:69" ht="7.4" customHeight="1" x14ac:dyDescent="0.5">
      <c r="A49" s="42"/>
      <c r="B49" s="365"/>
      <c r="C49" s="366"/>
      <c r="D49" s="366"/>
      <c r="E49" s="366"/>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7"/>
      <c r="BI49" s="41"/>
    </row>
    <row r="50" spans="1:69" ht="7.4" customHeight="1" x14ac:dyDescent="0.5">
      <c r="A50" s="42"/>
      <c r="B50" s="368"/>
      <c r="C50" s="369"/>
      <c r="D50" s="369"/>
      <c r="E50" s="369"/>
      <c r="F50" s="369"/>
      <c r="G50" s="369"/>
      <c r="H50" s="369"/>
      <c r="I50" s="369"/>
      <c r="J50" s="369"/>
      <c r="K50" s="369"/>
      <c r="L50" s="369"/>
      <c r="M50" s="369"/>
      <c r="N50" s="369"/>
      <c r="O50" s="369"/>
      <c r="P50" s="369"/>
      <c r="Q50" s="369"/>
      <c r="R50" s="369"/>
      <c r="S50" s="369"/>
      <c r="T50" s="369"/>
      <c r="U50" s="369"/>
      <c r="V50" s="369"/>
      <c r="W50" s="369"/>
      <c r="X50" s="369"/>
      <c r="Y50" s="369"/>
      <c r="Z50" s="369"/>
      <c r="AA50" s="369"/>
      <c r="AB50" s="369"/>
      <c r="AC50" s="369"/>
      <c r="AD50" s="369"/>
      <c r="AE50" s="369"/>
      <c r="AF50" s="369"/>
      <c r="AG50" s="369"/>
      <c r="AH50" s="369"/>
      <c r="AI50" s="369"/>
      <c r="AJ50" s="369"/>
      <c r="AK50" s="369"/>
      <c r="AL50" s="369"/>
      <c r="AM50" s="369"/>
      <c r="AN50" s="369"/>
      <c r="AO50" s="369"/>
      <c r="AP50" s="369"/>
      <c r="AQ50" s="369"/>
      <c r="AR50" s="369"/>
      <c r="AS50" s="369"/>
      <c r="AT50" s="369"/>
      <c r="AU50" s="369"/>
      <c r="AV50" s="369"/>
      <c r="AW50" s="369"/>
      <c r="AX50" s="369"/>
      <c r="AY50" s="369"/>
      <c r="AZ50" s="369"/>
      <c r="BA50" s="369"/>
      <c r="BB50" s="369"/>
      <c r="BC50" s="369"/>
      <c r="BD50" s="369"/>
      <c r="BE50" s="369"/>
      <c r="BF50" s="369"/>
      <c r="BG50" s="369"/>
      <c r="BH50" s="370"/>
      <c r="BI50" s="41"/>
    </row>
    <row r="51" spans="1:69" ht="7.4" customHeight="1" x14ac:dyDescent="0.5">
      <c r="A51" s="42"/>
      <c r="B51" s="61"/>
      <c r="C51" s="159"/>
      <c r="D51" s="159"/>
      <c r="E51" s="159"/>
      <c r="F51" s="159"/>
      <c r="G51" s="159"/>
      <c r="H51" s="159"/>
      <c r="I51" s="159"/>
      <c r="J51" s="159"/>
      <c r="K51" s="159"/>
      <c r="L51" s="151"/>
      <c r="M51" s="473">
        <v>1</v>
      </c>
      <c r="N51" s="474"/>
      <c r="O51" s="475"/>
      <c r="P51" s="473">
        <v>2</v>
      </c>
      <c r="Q51" s="474"/>
      <c r="R51" s="475"/>
      <c r="S51" s="473">
        <v>3</v>
      </c>
      <c r="T51" s="474"/>
      <c r="U51" s="475"/>
      <c r="V51" s="473">
        <v>4</v>
      </c>
      <c r="W51" s="474"/>
      <c r="X51" s="475"/>
      <c r="Y51" s="473">
        <v>5</v>
      </c>
      <c r="Z51" s="474"/>
      <c r="AA51" s="475"/>
      <c r="AB51" s="473">
        <v>6</v>
      </c>
      <c r="AC51" s="474"/>
      <c r="AD51" s="475"/>
      <c r="AE51" s="473">
        <v>7</v>
      </c>
      <c r="AF51" s="474"/>
      <c r="AG51" s="475"/>
      <c r="AH51" s="473">
        <v>8</v>
      </c>
      <c r="AI51" s="474"/>
      <c r="AJ51" s="475"/>
      <c r="AK51" s="473">
        <v>9</v>
      </c>
      <c r="AL51" s="474"/>
      <c r="AM51" s="475"/>
      <c r="AN51" s="473">
        <v>10</v>
      </c>
      <c r="AO51" s="474"/>
      <c r="AP51" s="475"/>
      <c r="AQ51" s="473">
        <v>11</v>
      </c>
      <c r="AR51" s="474"/>
      <c r="AS51" s="475"/>
      <c r="AT51" s="473">
        <v>12</v>
      </c>
      <c r="AU51" s="474"/>
      <c r="AV51" s="475"/>
      <c r="AW51" s="473">
        <v>13</v>
      </c>
      <c r="AX51" s="474"/>
      <c r="AY51" s="475"/>
      <c r="AZ51" s="473">
        <v>14</v>
      </c>
      <c r="BA51" s="474"/>
      <c r="BB51" s="475"/>
      <c r="BC51" s="473">
        <v>15</v>
      </c>
      <c r="BD51" s="474"/>
      <c r="BE51" s="475"/>
      <c r="BF51" s="473">
        <v>16</v>
      </c>
      <c r="BG51" s="474"/>
      <c r="BH51" s="475"/>
      <c r="BI51" s="41"/>
      <c r="BK51" s="25"/>
      <c r="BL51" s="25"/>
      <c r="BM51" s="25"/>
    </row>
    <row r="52" spans="1:69" ht="7.4" customHeight="1" x14ac:dyDescent="0.5">
      <c r="A52" s="42"/>
      <c r="B52" s="61"/>
      <c r="C52" s="159"/>
      <c r="D52" s="159"/>
      <c r="E52" s="159"/>
      <c r="F52" s="159"/>
      <c r="G52" s="159"/>
      <c r="H52" s="159"/>
      <c r="I52" s="159"/>
      <c r="J52" s="159"/>
      <c r="K52" s="159"/>
      <c r="L52" s="151"/>
      <c r="M52" s="473"/>
      <c r="N52" s="474"/>
      <c r="O52" s="475"/>
      <c r="P52" s="473"/>
      <c r="Q52" s="474"/>
      <c r="R52" s="475"/>
      <c r="S52" s="473"/>
      <c r="T52" s="474"/>
      <c r="U52" s="475"/>
      <c r="V52" s="473"/>
      <c r="W52" s="474"/>
      <c r="X52" s="475"/>
      <c r="Y52" s="473"/>
      <c r="Z52" s="474"/>
      <c r="AA52" s="475"/>
      <c r="AB52" s="473"/>
      <c r="AC52" s="474"/>
      <c r="AD52" s="475"/>
      <c r="AE52" s="473"/>
      <c r="AF52" s="474"/>
      <c r="AG52" s="475"/>
      <c r="AH52" s="473"/>
      <c r="AI52" s="474"/>
      <c r="AJ52" s="475"/>
      <c r="AK52" s="473"/>
      <c r="AL52" s="474"/>
      <c r="AM52" s="475"/>
      <c r="AN52" s="473"/>
      <c r="AO52" s="474"/>
      <c r="AP52" s="475"/>
      <c r="AQ52" s="473"/>
      <c r="AR52" s="474"/>
      <c r="AS52" s="475"/>
      <c r="AT52" s="473"/>
      <c r="AU52" s="474"/>
      <c r="AV52" s="475"/>
      <c r="AW52" s="473"/>
      <c r="AX52" s="474"/>
      <c r="AY52" s="475"/>
      <c r="AZ52" s="473"/>
      <c r="BA52" s="474"/>
      <c r="BB52" s="475"/>
      <c r="BC52" s="473"/>
      <c r="BD52" s="474"/>
      <c r="BE52" s="475"/>
      <c r="BF52" s="473"/>
      <c r="BG52" s="474"/>
      <c r="BH52" s="475"/>
      <c r="BI52" s="41"/>
      <c r="BK52" s="25"/>
      <c r="BL52" s="25"/>
      <c r="BM52" s="25"/>
    </row>
    <row r="53" spans="1:69" ht="7.4" customHeight="1" x14ac:dyDescent="0.5">
      <c r="A53" s="42"/>
      <c r="B53" s="61"/>
      <c r="C53" s="159"/>
      <c r="D53" s="159"/>
      <c r="E53" s="159"/>
      <c r="F53" s="159"/>
      <c r="G53" s="62"/>
      <c r="H53" s="160"/>
      <c r="I53" s="160"/>
      <c r="J53" s="160"/>
      <c r="K53" s="160"/>
      <c r="L53" s="152"/>
      <c r="M53" s="81"/>
      <c r="N53" s="77"/>
      <c r="O53" s="40"/>
      <c r="P53" s="81"/>
      <c r="Q53" s="77"/>
      <c r="R53" s="40"/>
      <c r="S53" s="81"/>
      <c r="T53" s="77"/>
      <c r="U53" s="40"/>
      <c r="V53" s="81"/>
      <c r="W53" s="77"/>
      <c r="X53" s="40"/>
      <c r="Y53" s="81"/>
      <c r="Z53" s="77"/>
      <c r="AA53" s="40"/>
      <c r="AB53" s="81"/>
      <c r="AC53" s="77"/>
      <c r="AD53" s="40"/>
      <c r="AE53" s="81"/>
      <c r="AF53" s="77"/>
      <c r="AG53" s="40"/>
      <c r="AH53" s="81"/>
      <c r="AI53" s="77"/>
      <c r="AJ53" s="40"/>
      <c r="AK53" s="81"/>
      <c r="AL53" s="77"/>
      <c r="AM53" s="40"/>
      <c r="AN53" s="81"/>
      <c r="AO53" s="77"/>
      <c r="AP53" s="40"/>
      <c r="AQ53" s="81"/>
      <c r="AR53" s="77"/>
      <c r="AS53" s="40"/>
      <c r="AT53" s="81"/>
      <c r="AU53" s="77"/>
      <c r="AV53" s="40"/>
      <c r="AW53" s="81"/>
      <c r="AX53" s="77"/>
      <c r="AY53" s="40"/>
      <c r="AZ53" s="81"/>
      <c r="BA53" s="77"/>
      <c r="BB53" s="40"/>
      <c r="BC53" s="81"/>
      <c r="BD53" s="77"/>
      <c r="BE53" s="40"/>
      <c r="BF53" s="81"/>
      <c r="BG53" s="77"/>
      <c r="BH53" s="40"/>
      <c r="BI53" s="41"/>
      <c r="BK53" s="123"/>
      <c r="BL53" s="123"/>
      <c r="BM53" s="123"/>
      <c r="BN53" s="153"/>
      <c r="BO53" s="153"/>
      <c r="BP53" s="153"/>
      <c r="BQ53" s="153"/>
    </row>
    <row r="54" spans="1:69" ht="7.4" customHeight="1" x14ac:dyDescent="0.5">
      <c r="A54" s="42"/>
      <c r="B54" s="61"/>
      <c r="C54" s="469" t="str">
        <f>IF($AV$28="Mono-pitch","Columns","Multiple")</f>
        <v>Multiple</v>
      </c>
      <c r="D54" s="469"/>
      <c r="E54" s="469"/>
      <c r="F54" s="469"/>
      <c r="G54" s="469"/>
      <c r="H54" s="469"/>
      <c r="I54" s="469"/>
      <c r="J54" s="469"/>
      <c r="K54" s="469"/>
      <c r="L54" s="470"/>
      <c r="M54" s="349">
        <v>10</v>
      </c>
      <c r="N54" s="318"/>
      <c r="O54" s="350"/>
      <c r="P54" s="349">
        <v>0</v>
      </c>
      <c r="Q54" s="318"/>
      <c r="R54" s="350"/>
      <c r="S54" s="349">
        <v>0</v>
      </c>
      <c r="T54" s="318"/>
      <c r="U54" s="350"/>
      <c r="V54" s="349">
        <v>0</v>
      </c>
      <c r="W54" s="318"/>
      <c r="X54" s="350"/>
      <c r="Y54" s="349">
        <v>0</v>
      </c>
      <c r="Z54" s="318"/>
      <c r="AA54" s="350"/>
      <c r="AB54" s="349">
        <v>0</v>
      </c>
      <c r="AC54" s="318"/>
      <c r="AD54" s="350"/>
      <c r="AE54" s="349">
        <v>0</v>
      </c>
      <c r="AF54" s="318"/>
      <c r="AG54" s="350"/>
      <c r="AH54" s="349">
        <v>0</v>
      </c>
      <c r="AI54" s="318"/>
      <c r="AJ54" s="350"/>
      <c r="AK54" s="349">
        <v>0</v>
      </c>
      <c r="AL54" s="318"/>
      <c r="AM54" s="350"/>
      <c r="AN54" s="349">
        <v>0</v>
      </c>
      <c r="AO54" s="318"/>
      <c r="AP54" s="350"/>
      <c r="AQ54" s="349">
        <v>0</v>
      </c>
      <c r="AR54" s="318"/>
      <c r="AS54" s="350"/>
      <c r="AT54" s="349">
        <v>0</v>
      </c>
      <c r="AU54" s="318"/>
      <c r="AV54" s="350"/>
      <c r="AW54" s="349">
        <v>0</v>
      </c>
      <c r="AX54" s="318"/>
      <c r="AY54" s="350"/>
      <c r="AZ54" s="349">
        <v>0</v>
      </c>
      <c r="BA54" s="318"/>
      <c r="BB54" s="350"/>
      <c r="BC54" s="349">
        <v>0</v>
      </c>
      <c r="BD54" s="318"/>
      <c r="BE54" s="350"/>
      <c r="BF54" s="349">
        <v>0</v>
      </c>
      <c r="BG54" s="318"/>
      <c r="BH54" s="350"/>
      <c r="BI54" s="41"/>
      <c r="BK54" s="122"/>
      <c r="BL54" s="122"/>
      <c r="BM54" s="122"/>
      <c r="BN54" s="122"/>
      <c r="BO54" s="122"/>
      <c r="BP54" s="122"/>
      <c r="BQ54" s="122"/>
    </row>
    <row r="55" spans="1:69" ht="7.4" customHeight="1" x14ac:dyDescent="0.5">
      <c r="A55" s="42"/>
      <c r="B55" s="61"/>
      <c r="C55" s="469"/>
      <c r="D55" s="469"/>
      <c r="E55" s="469"/>
      <c r="F55" s="469"/>
      <c r="G55" s="469"/>
      <c r="H55" s="469"/>
      <c r="I55" s="469"/>
      <c r="J55" s="469"/>
      <c r="K55" s="469"/>
      <c r="L55" s="470"/>
      <c r="M55" s="349"/>
      <c r="N55" s="318"/>
      <c r="O55" s="350"/>
      <c r="P55" s="349"/>
      <c r="Q55" s="318"/>
      <c r="R55" s="350"/>
      <c r="S55" s="349"/>
      <c r="T55" s="318"/>
      <c r="U55" s="350"/>
      <c r="V55" s="349"/>
      <c r="W55" s="318"/>
      <c r="X55" s="350"/>
      <c r="Y55" s="349"/>
      <c r="Z55" s="318"/>
      <c r="AA55" s="350"/>
      <c r="AB55" s="349"/>
      <c r="AC55" s="318"/>
      <c r="AD55" s="350"/>
      <c r="AE55" s="349"/>
      <c r="AF55" s="318"/>
      <c r="AG55" s="350"/>
      <c r="AH55" s="349"/>
      <c r="AI55" s="318"/>
      <c r="AJ55" s="350"/>
      <c r="AK55" s="349"/>
      <c r="AL55" s="318"/>
      <c r="AM55" s="350"/>
      <c r="AN55" s="349"/>
      <c r="AO55" s="318"/>
      <c r="AP55" s="350"/>
      <c r="AQ55" s="349"/>
      <c r="AR55" s="318"/>
      <c r="AS55" s="350"/>
      <c r="AT55" s="349"/>
      <c r="AU55" s="318"/>
      <c r="AV55" s="350"/>
      <c r="AW55" s="349"/>
      <c r="AX55" s="318"/>
      <c r="AY55" s="350"/>
      <c r="AZ55" s="349"/>
      <c r="BA55" s="318"/>
      <c r="BB55" s="350"/>
      <c r="BC55" s="349"/>
      <c r="BD55" s="318"/>
      <c r="BE55" s="350"/>
      <c r="BF55" s="349"/>
      <c r="BG55" s="318"/>
      <c r="BH55" s="350"/>
      <c r="BI55" s="41"/>
      <c r="BK55" s="122"/>
      <c r="BL55" s="122"/>
      <c r="BM55" s="122"/>
      <c r="BN55" s="122"/>
      <c r="BO55" s="122"/>
      <c r="BP55" s="122"/>
      <c r="BQ55" s="122"/>
    </row>
    <row r="56" spans="1:69" ht="7.4" customHeight="1" x14ac:dyDescent="0.5">
      <c r="A56" s="42"/>
      <c r="B56" s="61"/>
      <c r="C56" s="159"/>
      <c r="D56" s="159"/>
      <c r="E56" s="159"/>
      <c r="F56" s="159"/>
      <c r="G56" s="62"/>
      <c r="H56" s="160"/>
      <c r="I56" s="160"/>
      <c r="J56" s="160"/>
      <c r="K56" s="160"/>
      <c r="L56" s="152"/>
      <c r="M56" s="161"/>
      <c r="N56" s="162"/>
      <c r="O56" s="163"/>
      <c r="P56" s="161"/>
      <c r="Q56" s="162"/>
      <c r="R56" s="163"/>
      <c r="S56" s="161"/>
      <c r="T56" s="162"/>
      <c r="U56" s="163"/>
      <c r="V56" s="161"/>
      <c r="W56" s="162"/>
      <c r="X56" s="163"/>
      <c r="Y56" s="161"/>
      <c r="Z56" s="162"/>
      <c r="AA56" s="163"/>
      <c r="AB56" s="164"/>
      <c r="AC56" s="165"/>
      <c r="AD56" s="166"/>
      <c r="AE56" s="164"/>
      <c r="AF56" s="165"/>
      <c r="AG56" s="166"/>
      <c r="AH56" s="164"/>
      <c r="AI56" s="165"/>
      <c r="AJ56" s="166"/>
      <c r="AK56" s="164"/>
      <c r="AL56" s="165"/>
      <c r="AM56" s="166"/>
      <c r="AN56" s="164"/>
      <c r="AO56" s="165"/>
      <c r="AP56" s="166"/>
      <c r="AQ56" s="164"/>
      <c r="AR56" s="165"/>
      <c r="AS56" s="166"/>
      <c r="AT56" s="164"/>
      <c r="AU56" s="165"/>
      <c r="AV56" s="166"/>
      <c r="AW56" s="164"/>
      <c r="AX56" s="165"/>
      <c r="AY56" s="166"/>
      <c r="AZ56" s="164"/>
      <c r="BA56" s="165"/>
      <c r="BB56" s="166"/>
      <c r="BC56" s="164"/>
      <c r="BD56" s="165"/>
      <c r="BE56" s="166"/>
      <c r="BF56" s="164"/>
      <c r="BG56" s="165"/>
      <c r="BH56" s="166"/>
      <c r="BI56" s="41"/>
      <c r="BK56" s="122"/>
      <c r="BL56" s="122"/>
      <c r="BM56" s="122"/>
    </row>
    <row r="57" spans="1:69" ht="7.4" customHeight="1" x14ac:dyDescent="0.5">
      <c r="A57" s="42"/>
      <c r="B57" s="61"/>
      <c r="C57" s="159"/>
      <c r="D57" s="159"/>
      <c r="E57" s="159"/>
      <c r="F57" s="159"/>
      <c r="G57" s="62"/>
      <c r="H57" s="160"/>
      <c r="I57" s="160"/>
      <c r="J57" s="160"/>
      <c r="K57" s="160"/>
      <c r="L57" s="152"/>
      <c r="M57" s="167"/>
      <c r="N57" s="168"/>
      <c r="O57" s="169"/>
      <c r="P57" s="167"/>
      <c r="Q57" s="168"/>
      <c r="R57" s="169"/>
      <c r="S57" s="167"/>
      <c r="T57" s="168"/>
      <c r="U57" s="169"/>
      <c r="V57" s="167"/>
      <c r="W57" s="168"/>
      <c r="X57" s="169"/>
      <c r="Y57" s="167"/>
      <c r="Z57" s="168"/>
      <c r="AA57" s="169"/>
      <c r="AB57" s="170"/>
      <c r="AC57" s="171"/>
      <c r="AD57" s="172"/>
      <c r="AE57" s="170"/>
      <c r="AF57" s="171"/>
      <c r="AG57" s="172"/>
      <c r="AH57" s="170"/>
      <c r="AI57" s="171"/>
      <c r="AJ57" s="172"/>
      <c r="AK57" s="170"/>
      <c r="AL57" s="171"/>
      <c r="AM57" s="172"/>
      <c r="AN57" s="170"/>
      <c r="AO57" s="171"/>
      <c r="AP57" s="172"/>
      <c r="AQ57" s="170"/>
      <c r="AR57" s="171"/>
      <c r="AS57" s="172"/>
      <c r="AT57" s="170"/>
      <c r="AU57" s="171"/>
      <c r="AV57" s="172"/>
      <c r="AW57" s="170"/>
      <c r="AX57" s="171"/>
      <c r="AY57" s="172"/>
      <c r="AZ57" s="170"/>
      <c r="BA57" s="171"/>
      <c r="BB57" s="172"/>
      <c r="BC57" s="170"/>
      <c r="BD57" s="171"/>
      <c r="BE57" s="172"/>
      <c r="BF57" s="170"/>
      <c r="BG57" s="171"/>
      <c r="BH57" s="172"/>
      <c r="BI57" s="41"/>
      <c r="BK57" s="122"/>
      <c r="BL57" s="122"/>
      <c r="BM57" s="122"/>
    </row>
    <row r="58" spans="1:69" ht="7.4" customHeight="1" x14ac:dyDescent="0.5">
      <c r="A58" s="42"/>
      <c r="B58" s="61"/>
      <c r="C58" s="469" t="str">
        <f>IF($AV$28="Mono-pitch","Modules/Column","Modules along rail")</f>
        <v>Modules along rail</v>
      </c>
      <c r="D58" s="469"/>
      <c r="E58" s="469"/>
      <c r="F58" s="469"/>
      <c r="G58" s="469"/>
      <c r="H58" s="469"/>
      <c r="I58" s="469"/>
      <c r="J58" s="469"/>
      <c r="K58" s="469"/>
      <c r="L58" s="470"/>
      <c r="M58" s="349">
        <v>10</v>
      </c>
      <c r="N58" s="318"/>
      <c r="O58" s="350"/>
      <c r="P58" s="349">
        <v>0</v>
      </c>
      <c r="Q58" s="318"/>
      <c r="R58" s="350"/>
      <c r="S58" s="349">
        <v>0</v>
      </c>
      <c r="T58" s="318"/>
      <c r="U58" s="350"/>
      <c r="V58" s="349">
        <v>0</v>
      </c>
      <c r="W58" s="318"/>
      <c r="X58" s="350"/>
      <c r="Y58" s="349">
        <v>0</v>
      </c>
      <c r="Z58" s="318"/>
      <c r="AA58" s="350"/>
      <c r="AB58" s="349">
        <v>0</v>
      </c>
      <c r="AC58" s="318"/>
      <c r="AD58" s="350"/>
      <c r="AE58" s="349">
        <v>0</v>
      </c>
      <c r="AF58" s="318"/>
      <c r="AG58" s="350"/>
      <c r="AH58" s="349">
        <v>0</v>
      </c>
      <c r="AI58" s="318"/>
      <c r="AJ58" s="350"/>
      <c r="AK58" s="349">
        <v>0</v>
      </c>
      <c r="AL58" s="318"/>
      <c r="AM58" s="350"/>
      <c r="AN58" s="349">
        <v>0</v>
      </c>
      <c r="AO58" s="318"/>
      <c r="AP58" s="350"/>
      <c r="AQ58" s="349">
        <v>0</v>
      </c>
      <c r="AR58" s="318"/>
      <c r="AS58" s="350"/>
      <c r="AT58" s="349">
        <v>0</v>
      </c>
      <c r="AU58" s="318"/>
      <c r="AV58" s="350"/>
      <c r="AW58" s="349">
        <v>0</v>
      </c>
      <c r="AX58" s="318"/>
      <c r="AY58" s="350"/>
      <c r="AZ58" s="349">
        <v>0</v>
      </c>
      <c r="BA58" s="318"/>
      <c r="BB58" s="350"/>
      <c r="BC58" s="349">
        <v>0</v>
      </c>
      <c r="BD58" s="318"/>
      <c r="BE58" s="350"/>
      <c r="BF58" s="349">
        <v>0</v>
      </c>
      <c r="BG58" s="318"/>
      <c r="BH58" s="350"/>
      <c r="BI58" s="41"/>
      <c r="BK58" s="122"/>
      <c r="BL58" s="122"/>
      <c r="BM58" s="122"/>
    </row>
    <row r="59" spans="1:69" ht="7.4" customHeight="1" x14ac:dyDescent="0.5">
      <c r="A59" s="42"/>
      <c r="B59" s="61"/>
      <c r="C59" s="469"/>
      <c r="D59" s="469"/>
      <c r="E59" s="469"/>
      <c r="F59" s="469"/>
      <c r="G59" s="469"/>
      <c r="H59" s="469"/>
      <c r="I59" s="469"/>
      <c r="J59" s="469"/>
      <c r="K59" s="469"/>
      <c r="L59" s="470"/>
      <c r="M59" s="349"/>
      <c r="N59" s="318"/>
      <c r="O59" s="350"/>
      <c r="P59" s="349"/>
      <c r="Q59" s="318"/>
      <c r="R59" s="350"/>
      <c r="S59" s="349"/>
      <c r="T59" s="318"/>
      <c r="U59" s="350"/>
      <c r="V59" s="349"/>
      <c r="W59" s="318"/>
      <c r="X59" s="350"/>
      <c r="Y59" s="349"/>
      <c r="Z59" s="318"/>
      <c r="AA59" s="350"/>
      <c r="AB59" s="349"/>
      <c r="AC59" s="318"/>
      <c r="AD59" s="350"/>
      <c r="AE59" s="349"/>
      <c r="AF59" s="318"/>
      <c r="AG59" s="350"/>
      <c r="AH59" s="349"/>
      <c r="AI59" s="318"/>
      <c r="AJ59" s="350"/>
      <c r="AK59" s="349"/>
      <c r="AL59" s="318"/>
      <c r="AM59" s="350"/>
      <c r="AN59" s="349"/>
      <c r="AO59" s="318"/>
      <c r="AP59" s="350"/>
      <c r="AQ59" s="349"/>
      <c r="AR59" s="318"/>
      <c r="AS59" s="350"/>
      <c r="AT59" s="349"/>
      <c r="AU59" s="318"/>
      <c r="AV59" s="350"/>
      <c r="AW59" s="349"/>
      <c r="AX59" s="318"/>
      <c r="AY59" s="350"/>
      <c r="AZ59" s="349"/>
      <c r="BA59" s="318"/>
      <c r="BB59" s="350"/>
      <c r="BC59" s="349"/>
      <c r="BD59" s="318"/>
      <c r="BE59" s="350"/>
      <c r="BF59" s="349"/>
      <c r="BG59" s="318"/>
      <c r="BH59" s="350"/>
      <c r="BI59" s="41"/>
      <c r="BK59" s="122"/>
      <c r="BL59" s="122"/>
      <c r="BM59" s="122"/>
    </row>
    <row r="60" spans="1:69" ht="7.4" customHeight="1" x14ac:dyDescent="0.5">
      <c r="A60" s="42"/>
      <c r="B60" s="64"/>
      <c r="C60" s="96"/>
      <c r="D60" s="96"/>
      <c r="E60" s="96"/>
      <c r="F60" s="96"/>
      <c r="G60" s="65"/>
      <c r="H60" s="173"/>
      <c r="I60" s="173"/>
      <c r="J60" s="173"/>
      <c r="K60" s="173"/>
      <c r="L60" s="157"/>
      <c r="M60" s="174"/>
      <c r="N60" s="135"/>
      <c r="O60" s="52"/>
      <c r="P60" s="174"/>
      <c r="Q60" s="135"/>
      <c r="R60" s="52"/>
      <c r="S60" s="174"/>
      <c r="T60" s="135"/>
      <c r="U60" s="52"/>
      <c r="V60" s="174"/>
      <c r="W60" s="135"/>
      <c r="X60" s="52"/>
      <c r="Y60" s="174"/>
      <c r="Z60" s="135"/>
      <c r="AA60" s="52"/>
      <c r="AB60" s="174"/>
      <c r="AC60" s="135"/>
      <c r="AD60" s="52"/>
      <c r="AE60" s="174"/>
      <c r="AF60" s="135"/>
      <c r="AG60" s="52"/>
      <c r="AH60" s="174"/>
      <c r="AI60" s="135"/>
      <c r="AJ60" s="52"/>
      <c r="AK60" s="174"/>
      <c r="AL60" s="135"/>
      <c r="AM60" s="52"/>
      <c r="AN60" s="174"/>
      <c r="AO60" s="135"/>
      <c r="AP60" s="52"/>
      <c r="AQ60" s="174"/>
      <c r="AR60" s="135"/>
      <c r="AS60" s="52"/>
      <c r="AT60" s="174"/>
      <c r="AU60" s="135"/>
      <c r="AV60" s="52"/>
      <c r="AW60" s="174"/>
      <c r="AX60" s="135"/>
      <c r="AY60" s="52"/>
      <c r="AZ60" s="174"/>
      <c r="BA60" s="135"/>
      <c r="BB60" s="52"/>
      <c r="BC60" s="174"/>
      <c r="BD60" s="135"/>
      <c r="BE60" s="52"/>
      <c r="BF60" s="174"/>
      <c r="BG60" s="135"/>
      <c r="BH60" s="52"/>
      <c r="BI60" s="41"/>
      <c r="BK60" s="122"/>
      <c r="BL60" s="122"/>
      <c r="BM60" s="122"/>
    </row>
    <row r="61" spans="1:69" ht="7.4" customHeight="1" x14ac:dyDescent="0.5">
      <c r="A61" s="42"/>
      <c r="R61" s="25"/>
      <c r="S61" s="25"/>
      <c r="T61" s="25"/>
      <c r="U61" s="25"/>
      <c r="V61" s="25"/>
      <c r="W61" s="25"/>
      <c r="X61" s="25"/>
      <c r="Y61" s="25"/>
      <c r="Z61" s="25"/>
      <c r="AS61" s="79"/>
      <c r="AT61" s="79"/>
      <c r="AU61" s="79"/>
      <c r="AV61" s="79"/>
      <c r="AW61" s="79"/>
      <c r="AX61" s="79"/>
      <c r="AY61" s="79"/>
      <c r="AZ61" s="79"/>
      <c r="BA61" s="79"/>
      <c r="BB61" s="79"/>
      <c r="BE61" s="79"/>
      <c r="BF61" s="79"/>
      <c r="BG61" s="79"/>
      <c r="BH61" s="79"/>
      <c r="BI61" s="41"/>
      <c r="BK61" s="463" t="s">
        <v>82</v>
      </c>
      <c r="BL61" s="464"/>
      <c r="BM61" s="464"/>
      <c r="BN61" s="464"/>
      <c r="BO61" s="464"/>
      <c r="BP61" s="464"/>
      <c r="BQ61" s="465"/>
    </row>
    <row r="62" spans="1:69" ht="7.4" customHeight="1" x14ac:dyDescent="0.5">
      <c r="A62" s="42"/>
      <c r="B62" s="29"/>
      <c r="C62" s="363" t="s">
        <v>83</v>
      </c>
      <c r="D62" s="363"/>
      <c r="E62" s="363"/>
      <c r="F62" s="363"/>
      <c r="G62" s="363"/>
      <c r="H62" s="363"/>
      <c r="I62" s="363"/>
      <c r="J62" s="363"/>
      <c r="K62" s="363"/>
      <c r="L62" s="363"/>
      <c r="M62" s="363"/>
      <c r="N62" s="363"/>
      <c r="O62" s="363"/>
      <c r="P62" s="363"/>
      <c r="Q62" s="363"/>
      <c r="R62" s="363"/>
      <c r="S62" s="363"/>
      <c r="T62" s="363"/>
      <c r="U62" s="31"/>
      <c r="W62" s="29"/>
      <c r="X62" s="363" t="s">
        <v>84</v>
      </c>
      <c r="Y62" s="363"/>
      <c r="Z62" s="363"/>
      <c r="AA62" s="363"/>
      <c r="AB62" s="363"/>
      <c r="AC62" s="363"/>
      <c r="AD62" s="363"/>
      <c r="AE62" s="363"/>
      <c r="AF62" s="363"/>
      <c r="AG62" s="363"/>
      <c r="AH62" s="363"/>
      <c r="AI62" s="363"/>
      <c r="AJ62" s="363"/>
      <c r="AK62" s="363"/>
      <c r="AL62" s="363"/>
      <c r="AM62" s="363"/>
      <c r="AN62" s="363"/>
      <c r="AO62" s="363"/>
      <c r="AP62" s="31"/>
      <c r="AQ62" s="79"/>
      <c r="AR62" s="29"/>
      <c r="AS62" s="363" t="s">
        <v>37</v>
      </c>
      <c r="AT62" s="363"/>
      <c r="AU62" s="363"/>
      <c r="AV62" s="363"/>
      <c r="AW62" s="363"/>
      <c r="AX62" s="363"/>
      <c r="AY62" s="363"/>
      <c r="AZ62" s="363"/>
      <c r="BA62" s="363"/>
      <c r="BB62" s="363"/>
      <c r="BC62" s="363"/>
      <c r="BD62" s="363"/>
      <c r="BE62" s="363"/>
      <c r="BF62" s="363"/>
      <c r="BG62" s="363"/>
      <c r="BH62" s="31"/>
      <c r="BI62" s="41"/>
      <c r="BK62" s="466"/>
      <c r="BL62" s="467"/>
      <c r="BM62" s="467"/>
      <c r="BN62" s="467"/>
      <c r="BO62" s="467"/>
      <c r="BP62" s="467"/>
      <c r="BQ62" s="468"/>
    </row>
    <row r="63" spans="1:69" ht="7.4" customHeight="1" x14ac:dyDescent="0.5">
      <c r="A63" s="42"/>
      <c r="B63" s="32"/>
      <c r="C63" s="366"/>
      <c r="D63" s="366"/>
      <c r="E63" s="366"/>
      <c r="F63" s="366"/>
      <c r="G63" s="366"/>
      <c r="H63" s="366"/>
      <c r="I63" s="366"/>
      <c r="J63" s="366"/>
      <c r="K63" s="366"/>
      <c r="L63" s="366"/>
      <c r="M63" s="366"/>
      <c r="N63" s="366"/>
      <c r="O63" s="366"/>
      <c r="P63" s="366"/>
      <c r="Q63" s="366"/>
      <c r="R63" s="366"/>
      <c r="S63" s="366"/>
      <c r="T63" s="366"/>
      <c r="U63" s="175"/>
      <c r="W63" s="32"/>
      <c r="X63" s="366"/>
      <c r="Y63" s="366"/>
      <c r="Z63" s="366"/>
      <c r="AA63" s="366"/>
      <c r="AB63" s="366"/>
      <c r="AC63" s="366"/>
      <c r="AD63" s="366"/>
      <c r="AE63" s="366"/>
      <c r="AF63" s="366"/>
      <c r="AG63" s="366"/>
      <c r="AH63" s="366"/>
      <c r="AI63" s="366"/>
      <c r="AJ63" s="366"/>
      <c r="AK63" s="366"/>
      <c r="AL63" s="366"/>
      <c r="AM63" s="366"/>
      <c r="AN63" s="366"/>
      <c r="AO63" s="366"/>
      <c r="AP63" s="175"/>
      <c r="AQ63" s="79"/>
      <c r="AR63" s="32"/>
      <c r="AS63" s="366"/>
      <c r="AT63" s="366"/>
      <c r="AU63" s="366"/>
      <c r="AV63" s="366"/>
      <c r="AW63" s="366"/>
      <c r="AX63" s="366"/>
      <c r="AY63" s="366"/>
      <c r="AZ63" s="366"/>
      <c r="BA63" s="366"/>
      <c r="BB63" s="366"/>
      <c r="BC63" s="366"/>
      <c r="BD63" s="366"/>
      <c r="BE63" s="366"/>
      <c r="BF63" s="366"/>
      <c r="BG63" s="366"/>
      <c r="BH63" s="175"/>
      <c r="BI63" s="41"/>
      <c r="BK63" s="466"/>
      <c r="BL63" s="467"/>
      <c r="BM63" s="467"/>
      <c r="BN63" s="467"/>
      <c r="BO63" s="467"/>
      <c r="BP63" s="467"/>
      <c r="BQ63" s="468"/>
    </row>
    <row r="64" spans="1:69" ht="7.4" customHeight="1" x14ac:dyDescent="0.5">
      <c r="A64" s="42"/>
      <c r="B64" s="32"/>
      <c r="C64" s="369"/>
      <c r="D64" s="369"/>
      <c r="E64" s="369"/>
      <c r="F64" s="369"/>
      <c r="G64" s="369"/>
      <c r="H64" s="369"/>
      <c r="I64" s="369"/>
      <c r="J64" s="369"/>
      <c r="K64" s="369"/>
      <c r="L64" s="369"/>
      <c r="M64" s="369"/>
      <c r="N64" s="369"/>
      <c r="O64" s="369"/>
      <c r="P64" s="369"/>
      <c r="Q64" s="369"/>
      <c r="R64" s="369"/>
      <c r="S64" s="369"/>
      <c r="T64" s="369"/>
      <c r="U64" s="34"/>
      <c r="W64" s="32"/>
      <c r="X64" s="369"/>
      <c r="Y64" s="369"/>
      <c r="Z64" s="369"/>
      <c r="AA64" s="369"/>
      <c r="AB64" s="369"/>
      <c r="AC64" s="369"/>
      <c r="AD64" s="369"/>
      <c r="AE64" s="369"/>
      <c r="AF64" s="369"/>
      <c r="AG64" s="369"/>
      <c r="AH64" s="369"/>
      <c r="AI64" s="369"/>
      <c r="AJ64" s="369"/>
      <c r="AK64" s="369"/>
      <c r="AL64" s="369"/>
      <c r="AM64" s="369"/>
      <c r="AN64" s="369"/>
      <c r="AO64" s="369"/>
      <c r="AP64" s="37"/>
      <c r="AQ64" s="79"/>
      <c r="AR64" s="35"/>
      <c r="AS64" s="369"/>
      <c r="AT64" s="369"/>
      <c r="AU64" s="369"/>
      <c r="AV64" s="369"/>
      <c r="AW64" s="369"/>
      <c r="AX64" s="369"/>
      <c r="AY64" s="369"/>
      <c r="AZ64" s="369"/>
      <c r="BA64" s="369"/>
      <c r="BB64" s="369"/>
      <c r="BC64" s="369"/>
      <c r="BD64" s="369"/>
      <c r="BE64" s="369"/>
      <c r="BF64" s="369"/>
      <c r="BG64" s="369"/>
      <c r="BH64" s="34"/>
      <c r="BI64" s="41"/>
      <c r="BK64" s="38"/>
      <c r="BL64" s="39"/>
      <c r="BM64" s="39"/>
      <c r="BN64" s="39"/>
      <c r="BO64" s="39"/>
      <c r="BP64" s="39"/>
      <c r="BQ64" s="40"/>
    </row>
    <row r="65" spans="1:110" ht="7.4" customHeight="1" x14ac:dyDescent="0.5">
      <c r="A65" s="42"/>
      <c r="B65" s="58"/>
      <c r="C65" s="59"/>
      <c r="D65" s="59"/>
      <c r="E65" s="59"/>
      <c r="F65" s="59"/>
      <c r="G65" s="59"/>
      <c r="H65" s="59"/>
      <c r="I65" s="59"/>
      <c r="J65" s="59"/>
      <c r="K65" s="59"/>
      <c r="L65" s="59"/>
      <c r="M65" s="59"/>
      <c r="N65" s="38"/>
      <c r="O65" s="39"/>
      <c r="P65" s="39"/>
      <c r="Q65" s="39"/>
      <c r="R65" s="89"/>
      <c r="S65" s="89"/>
      <c r="T65" s="89"/>
      <c r="U65" s="40"/>
      <c r="W65" s="58"/>
      <c r="X65" s="59"/>
      <c r="Y65" s="59"/>
      <c r="Z65" s="59"/>
      <c r="AA65" s="59"/>
      <c r="AB65" s="59"/>
      <c r="AC65" s="59"/>
      <c r="AD65" s="59"/>
      <c r="AE65" s="59"/>
      <c r="AF65" s="59"/>
      <c r="AG65" s="59"/>
      <c r="AH65" s="59"/>
      <c r="AI65" s="38"/>
      <c r="AJ65" s="39"/>
      <c r="AK65" s="39"/>
      <c r="AL65" s="39"/>
      <c r="AM65" s="89"/>
      <c r="AN65" s="89"/>
      <c r="AO65" s="89"/>
      <c r="AP65" s="176"/>
      <c r="AQ65" s="79"/>
      <c r="AR65" s="61"/>
      <c r="AS65" s="62"/>
      <c r="AT65" s="62"/>
      <c r="AU65" s="62"/>
      <c r="AV65" s="62"/>
      <c r="AW65" s="62"/>
      <c r="AX65" s="62"/>
      <c r="AY65" s="62"/>
      <c r="AZ65" s="62"/>
      <c r="BA65" s="62"/>
      <c r="BB65" s="62"/>
      <c r="BC65" s="62"/>
      <c r="BD65" s="62"/>
      <c r="BE65" s="38"/>
      <c r="BF65" s="39"/>
      <c r="BG65" s="39"/>
      <c r="BH65" s="40"/>
      <c r="BI65" s="41"/>
      <c r="BK65" s="42"/>
      <c r="BL65" s="459">
        <f>IF(OR(AO35="Corrugated (Side)",AO35="Corrugated (Top)",AO35="Corrugated (Hangerbolt)"),76.2*18,IF(AO35="IBR",171.5*8,IF(OR(AO35="Klip-Lok",AO35="ProLok",AO35="Saflok"),233*6,IF(AO35="Brownbuilt",203*7,IF(OR(AO35="Dimondek (Pinch)",AO35="Dimondek (Stand Rib)"),203*7,IF(AO35="Zip-Tek",420*3,IF(AO35="Craft-Lock",350*4,0)))))))</f>
        <v>0</v>
      </c>
      <c r="BM65" s="459"/>
      <c r="BN65" s="459"/>
      <c r="BO65" s="460" t="s">
        <v>69</v>
      </c>
      <c r="BP65" s="460"/>
      <c r="BQ65" s="41"/>
    </row>
    <row r="66" spans="1:110" ht="7.4" customHeight="1" x14ac:dyDescent="0.5">
      <c r="A66" s="42"/>
      <c r="B66" s="61"/>
      <c r="C66" s="400" t="s">
        <v>85</v>
      </c>
      <c r="D66" s="400"/>
      <c r="E66" s="400"/>
      <c r="F66" s="400"/>
      <c r="G66" s="400"/>
      <c r="H66" s="400"/>
      <c r="I66" s="400"/>
      <c r="J66" s="400"/>
      <c r="K66" s="400"/>
      <c r="L66" s="400"/>
      <c r="M66" s="400"/>
      <c r="N66" s="461" t="s">
        <v>86</v>
      </c>
      <c r="O66" s="462"/>
      <c r="P66" s="462"/>
      <c r="Q66" s="462"/>
      <c r="R66" s="462"/>
      <c r="S66" s="405" t="s">
        <v>69</v>
      </c>
      <c r="T66" s="405"/>
      <c r="U66" s="411"/>
      <c r="W66" s="61"/>
      <c r="X66" s="400" t="s">
        <v>87</v>
      </c>
      <c r="Y66" s="400"/>
      <c r="Z66" s="400"/>
      <c r="AA66" s="400"/>
      <c r="AB66" s="400"/>
      <c r="AC66" s="400"/>
      <c r="AD66" s="400"/>
      <c r="AE66" s="400"/>
      <c r="AF66" s="400"/>
      <c r="AG66" s="400"/>
      <c r="AH66" s="400"/>
      <c r="AI66" s="42"/>
      <c r="AJ66" s="443" t="str">
        <f>IF(AV28="Duo-pitch","N/A",DEGREES(ATAN(AE45*SIN(RADIANS(AO31))/AO35)))</f>
        <v>N/A</v>
      </c>
      <c r="AK66" s="443"/>
      <c r="AL66" s="443"/>
      <c r="AM66" s="443"/>
      <c r="AN66" s="405" t="s">
        <v>88</v>
      </c>
      <c r="AP66" s="41"/>
      <c r="AQ66" s="79"/>
      <c r="AR66" s="61"/>
      <c r="AS66" s="400" t="s">
        <v>89</v>
      </c>
      <c r="AT66" s="400"/>
      <c r="AU66" s="400"/>
      <c r="AV66" s="400"/>
      <c r="AW66" s="400"/>
      <c r="AX66" s="400"/>
      <c r="AY66" s="400"/>
      <c r="AZ66" s="400"/>
      <c r="BA66" s="400"/>
      <c r="BB66" s="400"/>
      <c r="BC66" s="400"/>
      <c r="BD66" s="400"/>
      <c r="BE66" s="42"/>
      <c r="BF66" s="449">
        <v>0.02</v>
      </c>
      <c r="BG66" s="449"/>
      <c r="BH66" s="450"/>
      <c r="BI66" s="41"/>
      <c r="BK66" s="42"/>
      <c r="BL66" s="459"/>
      <c r="BM66" s="459"/>
      <c r="BN66" s="459"/>
      <c r="BO66" s="460"/>
      <c r="BP66" s="460"/>
      <c r="BQ66" s="41"/>
    </row>
    <row r="67" spans="1:110" ht="7.4" customHeight="1" x14ac:dyDescent="0.5">
      <c r="A67" s="42"/>
      <c r="B67" s="61"/>
      <c r="C67" s="400"/>
      <c r="D67" s="400"/>
      <c r="E67" s="400"/>
      <c r="F67" s="400"/>
      <c r="G67" s="400"/>
      <c r="H67" s="400"/>
      <c r="I67" s="400"/>
      <c r="J67" s="400"/>
      <c r="K67" s="400"/>
      <c r="L67" s="400"/>
      <c r="M67" s="400"/>
      <c r="N67" s="461"/>
      <c r="O67" s="462"/>
      <c r="P67" s="462"/>
      <c r="Q67" s="462"/>
      <c r="R67" s="462"/>
      <c r="S67" s="405"/>
      <c r="T67" s="405"/>
      <c r="U67" s="411"/>
      <c r="W67" s="61"/>
      <c r="X67" s="400"/>
      <c r="Y67" s="400"/>
      <c r="Z67" s="400"/>
      <c r="AA67" s="400"/>
      <c r="AB67" s="400"/>
      <c r="AC67" s="400"/>
      <c r="AD67" s="400"/>
      <c r="AE67" s="400"/>
      <c r="AF67" s="400"/>
      <c r="AG67" s="400"/>
      <c r="AH67" s="400"/>
      <c r="AI67" s="42"/>
      <c r="AJ67" s="443"/>
      <c r="AK67" s="443"/>
      <c r="AL67" s="443"/>
      <c r="AM67" s="443"/>
      <c r="AN67" s="405"/>
      <c r="AP67" s="41"/>
      <c r="AQ67" s="79"/>
      <c r="AR67" s="61"/>
      <c r="AS67" s="400"/>
      <c r="AT67" s="400"/>
      <c r="AU67" s="400"/>
      <c r="AV67" s="400"/>
      <c r="AW67" s="400"/>
      <c r="AX67" s="400"/>
      <c r="AY67" s="400"/>
      <c r="AZ67" s="400"/>
      <c r="BA67" s="400"/>
      <c r="BB67" s="400"/>
      <c r="BC67" s="400"/>
      <c r="BD67" s="400"/>
      <c r="BE67" s="42"/>
      <c r="BF67" s="449"/>
      <c r="BG67" s="449"/>
      <c r="BH67" s="450"/>
      <c r="BI67" s="41"/>
      <c r="BK67" s="50"/>
      <c r="BL67" s="51"/>
      <c r="BM67" s="51"/>
      <c r="BN67" s="51"/>
      <c r="BO67" s="51"/>
      <c r="BP67" s="51"/>
      <c r="BQ67" s="52"/>
    </row>
    <row r="68" spans="1:110" ht="7.4" customHeight="1" x14ac:dyDescent="0.5">
      <c r="A68" s="42"/>
      <c r="B68" s="61"/>
      <c r="C68" s="62"/>
      <c r="D68" s="62"/>
      <c r="E68" s="62"/>
      <c r="F68" s="62"/>
      <c r="G68" s="62"/>
      <c r="H68" s="62"/>
      <c r="I68" s="62"/>
      <c r="J68" s="62"/>
      <c r="K68" s="62"/>
      <c r="L68" s="62"/>
      <c r="M68" s="62"/>
      <c r="N68" s="50"/>
      <c r="O68" s="51"/>
      <c r="P68" s="51"/>
      <c r="Q68" s="51"/>
      <c r="R68" s="51"/>
      <c r="S68" s="51"/>
      <c r="T68" s="51"/>
      <c r="U68" s="52"/>
      <c r="W68" s="61"/>
      <c r="X68" s="62"/>
      <c r="Y68" s="62"/>
      <c r="Z68" s="62"/>
      <c r="AA68" s="62"/>
      <c r="AB68" s="62"/>
      <c r="AC68" s="62"/>
      <c r="AD68" s="62"/>
      <c r="AE68" s="62"/>
      <c r="AF68" s="62"/>
      <c r="AG68" s="62"/>
      <c r="AH68" s="62"/>
      <c r="AI68" s="50"/>
      <c r="AJ68" s="51"/>
      <c r="AK68" s="51"/>
      <c r="AL68" s="51"/>
      <c r="AM68" s="97"/>
      <c r="AN68" s="97"/>
      <c r="AO68" s="97"/>
      <c r="AP68" s="98"/>
      <c r="AQ68" s="79"/>
      <c r="AR68" s="61"/>
      <c r="AS68" s="400" t="s">
        <v>90</v>
      </c>
      <c r="AT68" s="400"/>
      <c r="AU68" s="400"/>
      <c r="AV68" s="400"/>
      <c r="AW68" s="400"/>
      <c r="AX68" s="400"/>
      <c r="AY68" s="400"/>
      <c r="AZ68" s="400"/>
      <c r="BA68" s="400"/>
      <c r="BB68" s="400"/>
      <c r="BC68" s="400"/>
      <c r="BD68" s="400"/>
      <c r="BE68" s="42"/>
      <c r="BF68" s="449"/>
      <c r="BG68" s="449"/>
      <c r="BH68" s="450"/>
      <c r="BI68" s="41"/>
    </row>
    <row r="69" spans="1:110" ht="7.4" customHeight="1" x14ac:dyDescent="0.5">
      <c r="A69" s="42"/>
      <c r="B69" s="61"/>
      <c r="C69" s="455" t="s">
        <v>91</v>
      </c>
      <c r="D69" s="455"/>
      <c r="E69" s="455"/>
      <c r="F69" s="455"/>
      <c r="G69" s="455"/>
      <c r="H69" s="455"/>
      <c r="I69" s="455"/>
      <c r="J69" s="455"/>
      <c r="K69" s="455"/>
      <c r="L69" s="455"/>
      <c r="M69" s="458"/>
      <c r="N69" s="42"/>
      <c r="R69" s="25"/>
      <c r="S69" s="25"/>
      <c r="T69" s="25"/>
      <c r="U69" s="44"/>
      <c r="W69" s="61"/>
      <c r="X69" s="62"/>
      <c r="Y69" s="62"/>
      <c r="Z69" s="62"/>
      <c r="AA69" s="62"/>
      <c r="AB69" s="62"/>
      <c r="AC69" s="62"/>
      <c r="AD69" s="62"/>
      <c r="AE69" s="62"/>
      <c r="AF69" s="62"/>
      <c r="AG69" s="62"/>
      <c r="AH69" s="62"/>
      <c r="AI69" s="38"/>
      <c r="AJ69" s="39"/>
      <c r="AK69" s="39"/>
      <c r="AL69" s="39"/>
      <c r="AM69" s="89"/>
      <c r="AN69" s="89"/>
      <c r="AO69" s="89"/>
      <c r="AP69" s="176"/>
      <c r="AQ69" s="79"/>
      <c r="AR69" s="61"/>
      <c r="AS69" s="400"/>
      <c r="AT69" s="400"/>
      <c r="AU69" s="400"/>
      <c r="AV69" s="400"/>
      <c r="AW69" s="400"/>
      <c r="AX69" s="400"/>
      <c r="AY69" s="400"/>
      <c r="AZ69" s="400"/>
      <c r="BA69" s="400"/>
      <c r="BB69" s="400"/>
      <c r="BC69" s="400"/>
      <c r="BD69" s="400"/>
      <c r="BE69" s="42"/>
      <c r="BF69" s="449"/>
      <c r="BG69" s="449"/>
      <c r="BH69" s="450"/>
      <c r="BI69" s="41"/>
      <c r="BK69" s="104"/>
      <c r="BL69" s="104"/>
      <c r="BM69" s="104"/>
      <c r="BN69" s="104"/>
      <c r="BO69" s="104"/>
      <c r="BP69" s="104"/>
      <c r="BQ69" s="104"/>
      <c r="BR69" s="104"/>
    </row>
    <row r="70" spans="1:110" ht="7.4" customHeight="1" x14ac:dyDescent="0.5">
      <c r="A70" s="42"/>
      <c r="B70" s="61"/>
      <c r="C70" s="455"/>
      <c r="D70" s="455"/>
      <c r="E70" s="455"/>
      <c r="F70" s="455"/>
      <c r="G70" s="455"/>
      <c r="H70" s="455"/>
      <c r="I70" s="455"/>
      <c r="J70" s="455"/>
      <c r="K70" s="455"/>
      <c r="L70" s="455"/>
      <c r="M70" s="458"/>
      <c r="N70" s="452" t="s">
        <v>42</v>
      </c>
      <c r="O70" s="453"/>
      <c r="P70" s="453"/>
      <c r="Q70" s="453"/>
      <c r="R70" s="453"/>
      <c r="S70" s="453"/>
      <c r="T70" s="453"/>
      <c r="U70" s="454"/>
      <c r="W70" s="61"/>
      <c r="X70" s="400" t="s">
        <v>92</v>
      </c>
      <c r="Y70" s="400"/>
      <c r="Z70" s="400"/>
      <c r="AA70" s="400"/>
      <c r="AB70" s="400"/>
      <c r="AC70" s="400"/>
      <c r="AD70" s="400"/>
      <c r="AE70" s="400"/>
      <c r="AF70" s="400"/>
      <c r="AG70" s="400"/>
      <c r="AH70" s="400"/>
      <c r="AI70" s="42"/>
      <c r="AJ70" s="311">
        <f>IF(AV28="Duo-pitch",AX31*2+AO35+50,AE45*COS(RADIANS(AO31))+AO35)</f>
        <v>2696</v>
      </c>
      <c r="AK70" s="311"/>
      <c r="AL70" s="311"/>
      <c r="AM70" s="311"/>
      <c r="AN70" s="405" t="s">
        <v>69</v>
      </c>
      <c r="AO70" s="405"/>
      <c r="AP70" s="411"/>
      <c r="AQ70" s="79"/>
      <c r="AR70" s="61"/>
      <c r="AS70" s="62"/>
      <c r="AT70" s="62"/>
      <c r="AU70" s="62"/>
      <c r="AV70" s="62"/>
      <c r="AW70" s="62"/>
      <c r="AX70" s="62"/>
      <c r="AY70" s="62"/>
      <c r="AZ70" s="62"/>
      <c r="BA70" s="62"/>
      <c r="BB70" s="62"/>
      <c r="BC70" s="62"/>
      <c r="BD70" s="62"/>
      <c r="BE70" s="50"/>
      <c r="BF70" s="51"/>
      <c r="BG70" s="51"/>
      <c r="BH70" s="52"/>
      <c r="BI70" s="41"/>
    </row>
    <row r="71" spans="1:110" ht="7.4" customHeight="1" x14ac:dyDescent="0.5">
      <c r="A71" s="42"/>
      <c r="B71" s="61"/>
      <c r="C71" s="455"/>
      <c r="D71" s="455"/>
      <c r="E71" s="455"/>
      <c r="F71" s="455"/>
      <c r="G71" s="455"/>
      <c r="H71" s="455"/>
      <c r="I71" s="455"/>
      <c r="J71" s="455"/>
      <c r="K71" s="455"/>
      <c r="L71" s="455"/>
      <c r="M71" s="458"/>
      <c r="N71" s="452"/>
      <c r="O71" s="453"/>
      <c r="P71" s="453"/>
      <c r="Q71" s="453"/>
      <c r="R71" s="453"/>
      <c r="S71" s="453"/>
      <c r="T71" s="453"/>
      <c r="U71" s="454"/>
      <c r="W71" s="61"/>
      <c r="X71" s="400"/>
      <c r="Y71" s="400"/>
      <c r="Z71" s="400"/>
      <c r="AA71" s="400"/>
      <c r="AB71" s="400"/>
      <c r="AC71" s="400"/>
      <c r="AD71" s="400"/>
      <c r="AE71" s="400"/>
      <c r="AF71" s="400"/>
      <c r="AG71" s="400"/>
      <c r="AH71" s="400"/>
      <c r="AI71" s="42"/>
      <c r="AJ71" s="311"/>
      <c r="AK71" s="311"/>
      <c r="AL71" s="311"/>
      <c r="AM71" s="311"/>
      <c r="AN71" s="405"/>
      <c r="AO71" s="405"/>
      <c r="AP71" s="411"/>
      <c r="AQ71" s="79"/>
      <c r="AR71" s="61"/>
      <c r="AS71" s="62"/>
      <c r="AT71" s="62"/>
      <c r="AU71" s="62"/>
      <c r="AV71" s="62"/>
      <c r="AW71" s="62"/>
      <c r="AX71" s="62"/>
      <c r="AY71" s="62"/>
      <c r="AZ71" s="62"/>
      <c r="BA71" s="62"/>
      <c r="BB71" s="62"/>
      <c r="BC71" s="62"/>
      <c r="BD71" s="63"/>
      <c r="BH71" s="41"/>
      <c r="BI71" s="41"/>
    </row>
    <row r="72" spans="1:110" ht="7.4" customHeight="1" x14ac:dyDescent="0.5">
      <c r="A72" s="42"/>
      <c r="B72" s="61"/>
      <c r="C72" s="62"/>
      <c r="D72" s="62"/>
      <c r="E72" s="62"/>
      <c r="F72" s="62"/>
      <c r="G72" s="62"/>
      <c r="H72" s="62"/>
      <c r="I72" s="62"/>
      <c r="J72" s="62"/>
      <c r="K72" s="62"/>
      <c r="L72" s="62"/>
      <c r="M72" s="62"/>
      <c r="N72" s="50"/>
      <c r="O72" s="51"/>
      <c r="P72" s="51"/>
      <c r="Q72" s="51"/>
      <c r="R72" s="97"/>
      <c r="S72" s="97"/>
      <c r="T72" s="97"/>
      <c r="U72" s="98"/>
      <c r="W72" s="64"/>
      <c r="X72" s="177"/>
      <c r="Y72" s="177"/>
      <c r="Z72" s="177"/>
      <c r="AA72" s="177"/>
      <c r="AB72" s="177"/>
      <c r="AC72" s="177"/>
      <c r="AD72" s="177"/>
      <c r="AE72" s="177"/>
      <c r="AF72" s="177"/>
      <c r="AG72" s="177"/>
      <c r="AH72" s="177"/>
      <c r="AI72" s="50"/>
      <c r="AJ72" s="97"/>
      <c r="AK72" s="97"/>
      <c r="AL72" s="97"/>
      <c r="AM72" s="97"/>
      <c r="AN72" s="97"/>
      <c r="AO72" s="97"/>
      <c r="AP72" s="98"/>
      <c r="AQ72" s="79"/>
      <c r="AR72" s="61"/>
      <c r="AS72" s="400" t="s">
        <v>93</v>
      </c>
      <c r="AT72" s="400"/>
      <c r="AU72" s="400"/>
      <c r="AV72" s="400"/>
      <c r="AW72" s="400"/>
      <c r="AX72" s="400"/>
      <c r="AY72" s="400"/>
      <c r="AZ72" s="400"/>
      <c r="BA72" s="400"/>
      <c r="BB72" s="400"/>
      <c r="BC72" s="400"/>
      <c r="BD72" s="448"/>
      <c r="BF72" s="449">
        <v>0.05</v>
      </c>
      <c r="BG72" s="449"/>
      <c r="BH72" s="450"/>
      <c r="BI72" s="41"/>
    </row>
    <row r="73" spans="1:110" ht="7.4" customHeight="1" x14ac:dyDescent="0.5">
      <c r="A73" s="42"/>
      <c r="B73" s="61"/>
      <c r="C73" s="455" t="s">
        <v>94</v>
      </c>
      <c r="D73" s="455"/>
      <c r="E73" s="455"/>
      <c r="F73" s="455"/>
      <c r="G73" s="455"/>
      <c r="H73" s="455"/>
      <c r="I73" s="455"/>
      <c r="J73" s="455"/>
      <c r="K73" s="455"/>
      <c r="L73" s="455"/>
      <c r="M73" s="455"/>
      <c r="N73" s="38"/>
      <c r="O73" s="39"/>
      <c r="P73" s="39"/>
      <c r="Q73" s="39"/>
      <c r="R73" s="89"/>
      <c r="S73" s="89"/>
      <c r="T73" s="89"/>
      <c r="U73" s="176"/>
      <c r="AQ73" s="79"/>
      <c r="AR73" s="61"/>
      <c r="AS73" s="400"/>
      <c r="AT73" s="400"/>
      <c r="AU73" s="400"/>
      <c r="AV73" s="400"/>
      <c r="AW73" s="400"/>
      <c r="AX73" s="400"/>
      <c r="AY73" s="400"/>
      <c r="AZ73" s="400"/>
      <c r="BA73" s="400"/>
      <c r="BB73" s="400"/>
      <c r="BC73" s="400"/>
      <c r="BD73" s="448"/>
      <c r="BF73" s="449"/>
      <c r="BG73" s="449"/>
      <c r="BH73" s="450"/>
      <c r="BI73" s="41"/>
      <c r="BK73" s="58"/>
      <c r="BL73" s="456" t="s">
        <v>95</v>
      </c>
      <c r="BM73" s="456"/>
      <c r="BN73" s="456"/>
      <c r="BO73" s="456"/>
      <c r="BP73" s="456"/>
      <c r="BQ73" s="456"/>
      <c r="BR73" s="456"/>
      <c r="BS73" s="456"/>
      <c r="BT73" s="456"/>
      <c r="BU73" s="456"/>
      <c r="BV73" s="178"/>
      <c r="BW73" s="38"/>
      <c r="BX73" s="89"/>
      <c r="BY73" s="89"/>
      <c r="BZ73" s="89"/>
      <c r="CA73" s="89"/>
      <c r="CB73" s="89"/>
      <c r="CC73" s="89"/>
      <c r="CD73" s="176"/>
    </row>
    <row r="74" spans="1:110" ht="7.4" customHeight="1" x14ac:dyDescent="0.5">
      <c r="A74" s="42"/>
      <c r="B74" s="61"/>
      <c r="C74" s="455"/>
      <c r="D74" s="455"/>
      <c r="E74" s="455"/>
      <c r="F74" s="455"/>
      <c r="G74" s="455"/>
      <c r="H74" s="455"/>
      <c r="I74" s="455"/>
      <c r="J74" s="455"/>
      <c r="K74" s="455"/>
      <c r="L74" s="455"/>
      <c r="M74" s="455"/>
      <c r="N74" s="452" t="s">
        <v>42</v>
      </c>
      <c r="O74" s="453"/>
      <c r="P74" s="453"/>
      <c r="Q74" s="453"/>
      <c r="R74" s="453"/>
      <c r="S74" s="453"/>
      <c r="T74" s="453"/>
      <c r="U74" s="454"/>
      <c r="W74" s="299" t="s">
        <v>96</v>
      </c>
      <c r="X74" s="363"/>
      <c r="Y74" s="363"/>
      <c r="Z74" s="363"/>
      <c r="AA74" s="363"/>
      <c r="AB74" s="363"/>
      <c r="AC74" s="363"/>
      <c r="AD74" s="363"/>
      <c r="AE74" s="363"/>
      <c r="AF74" s="363"/>
      <c r="AG74" s="363"/>
      <c r="AH74" s="363"/>
      <c r="AI74" s="363"/>
      <c r="AJ74" s="363"/>
      <c r="AK74" s="363"/>
      <c r="AL74" s="363"/>
      <c r="AM74" s="363"/>
      <c r="AN74" s="363"/>
      <c r="AO74" s="363"/>
      <c r="AP74" s="364"/>
      <c r="AQ74" s="79"/>
      <c r="AR74" s="61"/>
      <c r="AS74" s="62"/>
      <c r="AT74" s="62"/>
      <c r="AU74" s="62"/>
      <c r="AV74" s="62"/>
      <c r="AW74" s="62"/>
      <c r="AX74" s="62"/>
      <c r="AY74" s="62"/>
      <c r="AZ74" s="62"/>
      <c r="BA74" s="62"/>
      <c r="BB74" s="62"/>
      <c r="BC74" s="62"/>
      <c r="BD74" s="63"/>
      <c r="BE74" s="51"/>
      <c r="BF74" s="51"/>
      <c r="BG74" s="51"/>
      <c r="BH74" s="52"/>
      <c r="BI74" s="41"/>
      <c r="BK74" s="61"/>
      <c r="BL74" s="457"/>
      <c r="BM74" s="457"/>
      <c r="BN74" s="457"/>
      <c r="BO74" s="457"/>
      <c r="BP74" s="457"/>
      <c r="BQ74" s="457"/>
      <c r="BR74" s="457"/>
      <c r="BS74" s="457"/>
      <c r="BT74" s="457"/>
      <c r="BU74" s="457"/>
      <c r="BV74" s="179"/>
      <c r="BW74" s="310">
        <v>1000</v>
      </c>
      <c r="BX74" s="311"/>
      <c r="BY74" s="311"/>
      <c r="BZ74" s="311"/>
      <c r="CA74" s="311"/>
      <c r="CB74" s="405" t="s">
        <v>69</v>
      </c>
      <c r="CC74" s="405"/>
      <c r="CD74" s="411"/>
    </row>
    <row r="75" spans="1:110" ht="7.4" customHeight="1" x14ac:dyDescent="0.5">
      <c r="A75" s="42"/>
      <c r="B75" s="61"/>
      <c r="C75" s="455"/>
      <c r="D75" s="455"/>
      <c r="E75" s="455"/>
      <c r="F75" s="455"/>
      <c r="G75" s="455"/>
      <c r="H75" s="455"/>
      <c r="I75" s="455"/>
      <c r="J75" s="455"/>
      <c r="K75" s="455"/>
      <c r="L75" s="455"/>
      <c r="M75" s="455"/>
      <c r="N75" s="452"/>
      <c r="O75" s="453"/>
      <c r="P75" s="453"/>
      <c r="Q75" s="453"/>
      <c r="R75" s="453"/>
      <c r="S75" s="453"/>
      <c r="T75" s="453"/>
      <c r="U75" s="454"/>
      <c r="W75" s="365"/>
      <c r="X75" s="366"/>
      <c r="Y75" s="366"/>
      <c r="Z75" s="366"/>
      <c r="AA75" s="366"/>
      <c r="AB75" s="366"/>
      <c r="AC75" s="366"/>
      <c r="AD75" s="366"/>
      <c r="AE75" s="366"/>
      <c r="AF75" s="366"/>
      <c r="AG75" s="366"/>
      <c r="AH75" s="366"/>
      <c r="AI75" s="366"/>
      <c r="AJ75" s="366"/>
      <c r="AK75" s="366"/>
      <c r="AL75" s="366"/>
      <c r="AM75" s="366"/>
      <c r="AN75" s="366"/>
      <c r="AO75" s="366"/>
      <c r="AP75" s="367"/>
      <c r="AR75" s="61"/>
      <c r="AS75" s="62"/>
      <c r="AT75" s="62"/>
      <c r="AU75" s="62"/>
      <c r="AV75" s="62"/>
      <c r="AW75" s="62"/>
      <c r="AX75" s="62"/>
      <c r="AY75" s="62"/>
      <c r="AZ75" s="62"/>
      <c r="BA75" s="62"/>
      <c r="BB75" s="62"/>
      <c r="BC75" s="62"/>
      <c r="BD75" s="63"/>
      <c r="BE75" s="39"/>
      <c r="BF75" s="39"/>
      <c r="BG75" s="39"/>
      <c r="BH75" s="40"/>
      <c r="BI75" s="41"/>
      <c r="BK75" s="61"/>
      <c r="BL75" s="457"/>
      <c r="BM75" s="457"/>
      <c r="BN75" s="457"/>
      <c r="BO75" s="457"/>
      <c r="BP75" s="457"/>
      <c r="BQ75" s="457"/>
      <c r="BR75" s="457"/>
      <c r="BS75" s="457"/>
      <c r="BT75" s="457"/>
      <c r="BU75" s="457"/>
      <c r="BV75" s="179"/>
      <c r="BW75" s="310"/>
      <c r="BX75" s="311"/>
      <c r="BY75" s="311"/>
      <c r="BZ75" s="311"/>
      <c r="CA75" s="311"/>
      <c r="CB75" s="405"/>
      <c r="CC75" s="405"/>
      <c r="CD75" s="411"/>
    </row>
    <row r="76" spans="1:110" ht="7.4" customHeight="1" x14ac:dyDescent="0.5">
      <c r="A76" s="42"/>
      <c r="B76" s="61"/>
      <c r="C76" s="180"/>
      <c r="D76" s="180"/>
      <c r="E76" s="180"/>
      <c r="F76" s="180"/>
      <c r="G76" s="180"/>
      <c r="H76" s="180"/>
      <c r="I76" s="180"/>
      <c r="J76" s="180"/>
      <c r="K76" s="180"/>
      <c r="L76" s="180"/>
      <c r="M76" s="180"/>
      <c r="N76" s="50"/>
      <c r="O76" s="51"/>
      <c r="P76" s="51"/>
      <c r="Q76" s="51"/>
      <c r="R76" s="97"/>
      <c r="S76" s="97"/>
      <c r="T76" s="97"/>
      <c r="U76" s="98"/>
      <c r="W76" s="368"/>
      <c r="X76" s="369"/>
      <c r="Y76" s="369"/>
      <c r="Z76" s="369"/>
      <c r="AA76" s="369"/>
      <c r="AB76" s="369"/>
      <c r="AC76" s="369"/>
      <c r="AD76" s="369"/>
      <c r="AE76" s="369"/>
      <c r="AF76" s="369"/>
      <c r="AG76" s="369"/>
      <c r="AH76" s="369"/>
      <c r="AI76" s="369"/>
      <c r="AJ76" s="369"/>
      <c r="AK76" s="369"/>
      <c r="AL76" s="369"/>
      <c r="AM76" s="369"/>
      <c r="AN76" s="369"/>
      <c r="AO76" s="369"/>
      <c r="AP76" s="370"/>
      <c r="AQ76" s="79"/>
      <c r="AR76" s="61"/>
      <c r="AS76" s="400" t="s">
        <v>97</v>
      </c>
      <c r="AT76" s="400"/>
      <c r="AU76" s="400"/>
      <c r="AV76" s="400"/>
      <c r="AW76" s="400"/>
      <c r="AX76" s="400"/>
      <c r="AY76" s="400"/>
      <c r="AZ76" s="400"/>
      <c r="BA76" s="400"/>
      <c r="BB76" s="400"/>
      <c r="BC76" s="400"/>
      <c r="BD76" s="448"/>
      <c r="BF76" s="449">
        <v>0.03</v>
      </c>
      <c r="BG76" s="449"/>
      <c r="BH76" s="450"/>
      <c r="BI76" s="41"/>
      <c r="BK76" s="64"/>
      <c r="BL76" s="65"/>
      <c r="BM76" s="65"/>
      <c r="BN76" s="65"/>
      <c r="BO76" s="65"/>
      <c r="BP76" s="65"/>
      <c r="BQ76" s="65"/>
      <c r="BR76" s="65"/>
      <c r="BS76" s="65"/>
      <c r="BT76" s="65"/>
      <c r="BU76" s="65"/>
      <c r="BV76" s="65"/>
      <c r="BW76" s="50"/>
      <c r="BX76" s="51"/>
      <c r="BY76" s="51"/>
      <c r="BZ76" s="51"/>
      <c r="CA76" s="97"/>
      <c r="CB76" s="97"/>
      <c r="CC76" s="97"/>
      <c r="CD76" s="52"/>
    </row>
    <row r="77" spans="1:110" ht="7.4" customHeight="1" x14ac:dyDescent="0.5">
      <c r="A77" s="42"/>
      <c r="B77" s="61"/>
      <c r="C77" s="62"/>
      <c r="D77" s="62"/>
      <c r="E77" s="62"/>
      <c r="F77" s="62"/>
      <c r="G77" s="62"/>
      <c r="H77" s="62"/>
      <c r="I77" s="62"/>
      <c r="J77" s="62"/>
      <c r="K77" s="62"/>
      <c r="L77" s="62"/>
      <c r="M77" s="62"/>
      <c r="N77" s="38"/>
      <c r="O77" s="39"/>
      <c r="P77" s="39"/>
      <c r="Q77" s="39"/>
      <c r="R77" s="89"/>
      <c r="S77" s="89"/>
      <c r="T77" s="89"/>
      <c r="U77" s="176"/>
      <c r="W77" s="38"/>
      <c r="X77" s="39"/>
      <c r="Y77" s="39"/>
      <c r="Z77" s="39"/>
      <c r="AA77" s="39"/>
      <c r="AB77" s="39"/>
      <c r="AC77" s="39"/>
      <c r="AD77" s="39"/>
      <c r="AE77" s="39"/>
      <c r="AF77" s="39"/>
      <c r="AG77" s="39"/>
      <c r="AH77" s="39"/>
      <c r="AI77" s="39"/>
      <c r="AJ77" s="39"/>
      <c r="AK77" s="39"/>
      <c r="AL77" s="39"/>
      <c r="AM77" s="39"/>
      <c r="AP77" s="40"/>
      <c r="AQ77" s="79"/>
      <c r="AR77" s="61"/>
      <c r="AS77" s="400"/>
      <c r="AT77" s="400"/>
      <c r="AU77" s="400"/>
      <c r="AV77" s="400"/>
      <c r="AW77" s="400"/>
      <c r="AX77" s="400"/>
      <c r="AY77" s="400"/>
      <c r="AZ77" s="400"/>
      <c r="BA77" s="400"/>
      <c r="BB77" s="400"/>
      <c r="BC77" s="400"/>
      <c r="BD77" s="448"/>
      <c r="BF77" s="449"/>
      <c r="BG77" s="449"/>
      <c r="BH77" s="450"/>
      <c r="BI77" s="41"/>
    </row>
    <row r="78" spans="1:110" ht="7.4" customHeight="1" x14ac:dyDescent="0.5">
      <c r="A78" s="42"/>
      <c r="B78" s="61"/>
      <c r="C78" s="451" t="s">
        <v>98</v>
      </c>
      <c r="D78" s="451"/>
      <c r="E78" s="451"/>
      <c r="F78" s="451"/>
      <c r="G78" s="451"/>
      <c r="H78" s="451"/>
      <c r="I78" s="451"/>
      <c r="J78" s="451"/>
      <c r="K78" s="451"/>
      <c r="L78" s="451"/>
      <c r="M78" s="451"/>
      <c r="N78" s="452" t="s">
        <v>42</v>
      </c>
      <c r="O78" s="453"/>
      <c r="P78" s="453"/>
      <c r="Q78" s="453"/>
      <c r="R78" s="453"/>
      <c r="S78" s="453"/>
      <c r="T78" s="453"/>
      <c r="U78" s="454"/>
      <c r="W78" s="42"/>
      <c r="X78" s="453" t="s">
        <v>99</v>
      </c>
      <c r="Y78" s="453"/>
      <c r="Z78" s="453"/>
      <c r="AA78" s="453"/>
      <c r="AB78" s="453"/>
      <c r="AC78" s="453"/>
      <c r="AD78" s="453"/>
      <c r="AE78" s="453"/>
      <c r="AF78" s="453"/>
      <c r="AG78" s="453"/>
      <c r="AH78" s="453"/>
      <c r="AI78" s="453"/>
      <c r="AJ78" s="453"/>
      <c r="AK78" s="453"/>
      <c r="AL78" s="453"/>
      <c r="AM78" s="453"/>
      <c r="AN78" s="453"/>
      <c r="AO78" s="453"/>
      <c r="AP78" s="44"/>
      <c r="AQ78" s="79"/>
      <c r="AR78" s="64"/>
      <c r="AS78" s="65"/>
      <c r="AT78" s="65"/>
      <c r="AU78" s="65"/>
      <c r="AV78" s="65"/>
      <c r="AW78" s="65"/>
      <c r="AX78" s="65"/>
      <c r="AY78" s="65"/>
      <c r="AZ78" s="65"/>
      <c r="BA78" s="65"/>
      <c r="BB78" s="65"/>
      <c r="BC78" s="65"/>
      <c r="BD78" s="66"/>
      <c r="BE78" s="51"/>
      <c r="BF78" s="51"/>
      <c r="BG78" s="51"/>
      <c r="BH78" s="52"/>
      <c r="BI78" s="41"/>
    </row>
    <row r="79" spans="1:110" ht="7.4" customHeight="1" x14ac:dyDescent="0.5">
      <c r="A79" s="42"/>
      <c r="B79" s="61"/>
      <c r="C79" s="451"/>
      <c r="D79" s="451"/>
      <c r="E79" s="451"/>
      <c r="F79" s="451"/>
      <c r="G79" s="451"/>
      <c r="H79" s="451"/>
      <c r="I79" s="451"/>
      <c r="J79" s="451"/>
      <c r="K79" s="451"/>
      <c r="L79" s="451"/>
      <c r="M79" s="451"/>
      <c r="N79" s="452"/>
      <c r="O79" s="453"/>
      <c r="P79" s="453"/>
      <c r="Q79" s="453"/>
      <c r="R79" s="453"/>
      <c r="S79" s="453"/>
      <c r="T79" s="453"/>
      <c r="U79" s="454"/>
      <c r="W79" s="42"/>
      <c r="X79" s="453"/>
      <c r="Y79" s="453"/>
      <c r="Z79" s="453"/>
      <c r="AA79" s="453"/>
      <c r="AB79" s="453"/>
      <c r="AC79" s="453"/>
      <c r="AD79" s="453"/>
      <c r="AE79" s="453"/>
      <c r="AF79" s="453"/>
      <c r="AG79" s="453"/>
      <c r="AH79" s="453"/>
      <c r="AI79" s="453"/>
      <c r="AJ79" s="453"/>
      <c r="AK79" s="453"/>
      <c r="AL79" s="453"/>
      <c r="AM79" s="453"/>
      <c r="AN79" s="453"/>
      <c r="AO79" s="453"/>
      <c r="AP79" s="44"/>
      <c r="BI79" s="41"/>
      <c r="BK79" s="351">
        <v>1</v>
      </c>
      <c r="BL79" s="352"/>
      <c r="BM79" s="353"/>
      <c r="BN79" s="351">
        <v>2</v>
      </c>
      <c r="BO79" s="352"/>
      <c r="BP79" s="353"/>
      <c r="BQ79" s="351">
        <v>3</v>
      </c>
      <c r="BR79" s="352"/>
      <c r="BS79" s="353"/>
      <c r="BT79" s="351">
        <v>4</v>
      </c>
      <c r="BU79" s="352"/>
      <c r="BV79" s="353"/>
      <c r="BW79" s="351">
        <v>5</v>
      </c>
      <c r="BX79" s="352"/>
      <c r="BY79" s="353"/>
      <c r="BZ79" s="351">
        <v>6</v>
      </c>
      <c r="CA79" s="352"/>
      <c r="CB79" s="353"/>
      <c r="CC79" s="351">
        <v>7</v>
      </c>
      <c r="CD79" s="352"/>
      <c r="CE79" s="353"/>
      <c r="CF79" s="351">
        <v>8</v>
      </c>
      <c r="CG79" s="352"/>
      <c r="CH79" s="353"/>
      <c r="CI79" s="351">
        <v>9</v>
      </c>
      <c r="CJ79" s="352"/>
      <c r="CK79" s="353"/>
      <c r="CL79" s="351">
        <v>10</v>
      </c>
      <c r="CM79" s="352"/>
      <c r="CN79" s="353"/>
      <c r="CO79" s="351">
        <v>11</v>
      </c>
      <c r="CP79" s="352"/>
      <c r="CQ79" s="353"/>
      <c r="CR79" s="351">
        <v>12</v>
      </c>
      <c r="CS79" s="352"/>
      <c r="CT79" s="353"/>
      <c r="CU79" s="351">
        <v>13</v>
      </c>
      <c r="CV79" s="352"/>
      <c r="CW79" s="353"/>
      <c r="CX79" s="351">
        <v>14</v>
      </c>
      <c r="CY79" s="352"/>
      <c r="CZ79" s="353"/>
      <c r="DA79" s="351">
        <v>15</v>
      </c>
      <c r="DB79" s="352"/>
      <c r="DC79" s="353"/>
      <c r="DD79" s="351">
        <v>16</v>
      </c>
      <c r="DE79" s="352"/>
      <c r="DF79" s="353"/>
    </row>
    <row r="80" spans="1:110" ht="7.4" customHeight="1" x14ac:dyDescent="0.5">
      <c r="A80" s="42"/>
      <c r="B80" s="64"/>
      <c r="C80" s="65"/>
      <c r="D80" s="65"/>
      <c r="E80" s="65"/>
      <c r="F80" s="65"/>
      <c r="G80" s="65"/>
      <c r="H80" s="65"/>
      <c r="I80" s="65"/>
      <c r="J80" s="65"/>
      <c r="K80" s="65"/>
      <c r="L80" s="65"/>
      <c r="M80" s="66"/>
      <c r="N80" s="50"/>
      <c r="O80" s="51"/>
      <c r="P80" s="51"/>
      <c r="Q80" s="51"/>
      <c r="R80" s="97"/>
      <c r="S80" s="97"/>
      <c r="T80" s="97"/>
      <c r="U80" s="98"/>
      <c r="W80" s="50"/>
      <c r="X80" s="51"/>
      <c r="Y80" s="51"/>
      <c r="Z80" s="51"/>
      <c r="AA80" s="51"/>
      <c r="AB80" s="51"/>
      <c r="AC80" s="51"/>
      <c r="AD80" s="51"/>
      <c r="AE80" s="51"/>
      <c r="AF80" s="51"/>
      <c r="AG80" s="51"/>
      <c r="AH80" s="51"/>
      <c r="AI80" s="51"/>
      <c r="AJ80" s="51"/>
      <c r="AK80" s="51"/>
      <c r="AL80" s="51"/>
      <c r="AM80" s="51"/>
      <c r="AN80" s="51"/>
      <c r="AO80" s="51"/>
      <c r="AP80" s="52"/>
      <c r="BI80" s="41"/>
      <c r="BK80" s="310"/>
      <c r="BL80" s="311"/>
      <c r="BM80" s="312"/>
      <c r="BN80" s="354"/>
      <c r="BO80" s="355"/>
      <c r="BP80" s="356"/>
      <c r="BQ80" s="354"/>
      <c r="BR80" s="355"/>
      <c r="BS80" s="356"/>
      <c r="BT80" s="354"/>
      <c r="BU80" s="355"/>
      <c r="BV80" s="356"/>
      <c r="BW80" s="354"/>
      <c r="BX80" s="355"/>
      <c r="BY80" s="356"/>
      <c r="BZ80" s="354"/>
      <c r="CA80" s="355"/>
      <c r="CB80" s="356"/>
      <c r="CC80" s="354"/>
      <c r="CD80" s="355"/>
      <c r="CE80" s="356"/>
      <c r="CF80" s="354"/>
      <c r="CG80" s="355"/>
      <c r="CH80" s="356"/>
      <c r="CI80" s="354"/>
      <c r="CJ80" s="355"/>
      <c r="CK80" s="356"/>
      <c r="CL80" s="354"/>
      <c r="CM80" s="355"/>
      <c r="CN80" s="356"/>
      <c r="CO80" s="354"/>
      <c r="CP80" s="355"/>
      <c r="CQ80" s="356"/>
      <c r="CR80" s="354"/>
      <c r="CS80" s="355"/>
      <c r="CT80" s="356"/>
      <c r="CU80" s="354"/>
      <c r="CV80" s="355"/>
      <c r="CW80" s="356"/>
      <c r="CX80" s="354"/>
      <c r="CY80" s="355"/>
      <c r="CZ80" s="356"/>
      <c r="DA80" s="354"/>
      <c r="DB80" s="355"/>
      <c r="DC80" s="356"/>
      <c r="DD80" s="354"/>
      <c r="DE80" s="355"/>
      <c r="DF80" s="356"/>
    </row>
    <row r="81" spans="1:126" ht="7.4" customHeight="1" x14ac:dyDescent="0.5">
      <c r="A81" s="42"/>
      <c r="C81" s="254"/>
      <c r="D81" s="254"/>
      <c r="E81" s="254"/>
      <c r="F81" s="254"/>
      <c r="G81" s="254"/>
      <c r="H81" s="254"/>
      <c r="I81" s="254"/>
      <c r="J81" s="254"/>
      <c r="K81" s="254"/>
      <c r="L81" s="254"/>
      <c r="M81" s="254"/>
      <c r="O81" s="291"/>
      <c r="P81" s="291"/>
      <c r="Q81" s="291"/>
      <c r="R81" s="291"/>
      <c r="S81" s="291"/>
      <c r="T81" s="291"/>
      <c r="U81" s="291"/>
      <c r="V81" s="79"/>
      <c r="W81" s="79"/>
      <c r="X81" s="79"/>
      <c r="Y81" s="79"/>
      <c r="Z81" s="79"/>
      <c r="AA81" s="79"/>
      <c r="AB81" s="79"/>
      <c r="AC81" s="79"/>
      <c r="AD81" s="79"/>
      <c r="AE81" s="79"/>
      <c r="AF81" s="79"/>
      <c r="AG81" s="79"/>
      <c r="AH81" s="79"/>
      <c r="AI81" s="79"/>
      <c r="AJ81" s="79"/>
      <c r="AK81" s="79"/>
      <c r="AL81" s="79"/>
      <c r="AM81" s="79"/>
      <c r="AN81" s="79"/>
      <c r="AO81" s="79"/>
      <c r="AP81" s="79"/>
      <c r="AQ81" s="79"/>
      <c r="AR81" s="79"/>
      <c r="AS81" s="79"/>
      <c r="AT81" s="79"/>
      <c r="AU81" s="79"/>
      <c r="AV81" s="79"/>
      <c r="AW81" s="79"/>
      <c r="AX81" s="79"/>
      <c r="AY81" s="79"/>
      <c r="AZ81" s="79"/>
      <c r="BA81" s="79"/>
      <c r="BB81" s="79"/>
      <c r="BC81" s="79"/>
      <c r="BD81" s="79"/>
      <c r="BE81" s="79"/>
      <c r="BF81" s="79"/>
      <c r="BG81" s="79"/>
      <c r="BH81" s="79"/>
      <c r="BI81" s="41"/>
      <c r="BK81" s="445" cm="1">
        <f t="array" ref="BK81">IF(M54&gt;0,MIN(IF($DY$110:$ME$110*1000&gt;=BK87,$DY$110:$ME$110*1000)),0)/1000</f>
        <v>14.049999999999999</v>
      </c>
      <c r="BL81" s="446"/>
      <c r="BM81" s="447"/>
      <c r="BN81" s="445" cm="1">
        <f t="array" ref="BN81">IF(P54&gt;0,MIN(IF($DY$110:$ME$110*1000&gt;=BN87,$DY$110:$ME$110*1000)),0)/1000</f>
        <v>0</v>
      </c>
      <c r="BO81" s="446"/>
      <c r="BP81" s="447"/>
      <c r="BQ81" s="445" cm="1">
        <f t="array" ref="BQ81">IF(S54&gt;0,MIN(IF($DY$110:$ME$110*1000&gt;=BQ87,$DY$110:$ME$110*1000)),0)/1000</f>
        <v>0</v>
      </c>
      <c r="BR81" s="446"/>
      <c r="BS81" s="447"/>
      <c r="BT81" s="445" cm="1">
        <f t="array" ref="BT81">IF(V54&gt;0,MIN(IF($DY$110:$ME$110*1000&gt;=BT87,$DY$110:$ME$110*1000)),0)/1000</f>
        <v>0</v>
      </c>
      <c r="BU81" s="446"/>
      <c r="BV81" s="447"/>
      <c r="BW81" s="445" cm="1">
        <f t="array" ref="BW81">IF(Y54&gt;0,MIN(IF($DY$110:$ME$110*1000&gt;=BW87,$DY$110:$ME$110*1000)),0)/1000</f>
        <v>0</v>
      </c>
      <c r="BX81" s="446"/>
      <c r="BY81" s="447"/>
      <c r="BZ81" s="445" cm="1">
        <f t="array" ref="BZ81">IF(AB54&gt;0,MIN(IF($DY$110:$ME$110*1000&gt;=BZ87,$DY$110:$ME$110*1000)),0)/1000</f>
        <v>0</v>
      </c>
      <c r="CA81" s="446"/>
      <c r="CB81" s="447"/>
      <c r="CC81" s="445" cm="1">
        <f t="array" ref="CC81">IF(AE54&gt;0,MIN(IF($DY$110:$ME$110*1000&gt;=CC87,$DY$110:$ME$110*1000)),0)/1000</f>
        <v>0</v>
      </c>
      <c r="CD81" s="446"/>
      <c r="CE81" s="447"/>
      <c r="CF81" s="445" cm="1">
        <f t="array" ref="CF81">IF(AH54&gt;0,MIN(IF($DY$110:$ME$110*1000&gt;=CF87,$DY$110:$ME$110*1000)),0)/1000</f>
        <v>0</v>
      </c>
      <c r="CG81" s="446"/>
      <c r="CH81" s="447"/>
      <c r="CI81" s="445" cm="1">
        <f t="array" ref="CI81">IF(AK54&gt;0,MIN(IF($DY$110:$ME$110*1000&gt;=CI87,$DY$110:$ME$110*1000)),0)/1000</f>
        <v>0</v>
      </c>
      <c r="CJ81" s="446"/>
      <c r="CK81" s="447"/>
      <c r="CL81" s="445" cm="1">
        <f t="array" ref="CL81">IF(AN54&gt;0,MIN(IF($DY$110:$ME$110*1000&gt;=CL87,$DY$110:$ME$110*1000)),0)/1000</f>
        <v>0</v>
      </c>
      <c r="CM81" s="446"/>
      <c r="CN81" s="447"/>
      <c r="CO81" s="445" cm="1">
        <f t="array" ref="CO81">IF(AQ54&gt;0,MIN(IF($DY$110:$ME$110*1000&gt;=CO87,$DY$110:$ME$110*1000)),0)/1000</f>
        <v>0</v>
      </c>
      <c r="CP81" s="446"/>
      <c r="CQ81" s="447"/>
      <c r="CR81" s="445" cm="1">
        <f t="array" ref="CR81">IF(AT54&gt;0,MIN(IF($DY$110:$ME$110*1000&gt;=CR87,$DY$110:$ME$110*1000)),0)/1000</f>
        <v>0</v>
      </c>
      <c r="CS81" s="446"/>
      <c r="CT81" s="447"/>
      <c r="CU81" s="445" cm="1">
        <f t="array" ref="CU81">IF(AW54&gt;0,MIN(IF($DY$110:$ME$110*1000&gt;=CU87,$DY$110:$ME$110*1000)),0)/1000</f>
        <v>0</v>
      </c>
      <c r="CV81" s="446"/>
      <c r="CW81" s="447"/>
      <c r="CX81" s="445" cm="1">
        <f t="array" ref="CX81">IF(AZ54&gt;0,MIN(IF($DY$110:$ME$110*1000&gt;=CX87,$DY$110:$ME$110*1000)),0)/1000</f>
        <v>0</v>
      </c>
      <c r="CY81" s="446"/>
      <c r="CZ81" s="447"/>
      <c r="DA81" s="445" cm="1">
        <f t="array" ref="DA81">IF(BC54&gt;0,MIN(IF($DY$110:$ME$110*1000&gt;=DA87,$DY$110:$ME$110*1000)),0)/1000</f>
        <v>0</v>
      </c>
      <c r="DB81" s="446"/>
      <c r="DC81" s="447"/>
      <c r="DD81" s="445" cm="1">
        <f t="array" ref="DD81">IF(BF54&gt;0,MIN(IF($DY$110:$ME$110*1000&gt;=DD87,$DY$110:$ME$110*1000)),0)/1000</f>
        <v>0</v>
      </c>
      <c r="DE81" s="446"/>
      <c r="DF81" s="447"/>
      <c r="DG81" s="38"/>
      <c r="DH81" s="380" t="s">
        <v>100</v>
      </c>
      <c r="DI81" s="380"/>
      <c r="DJ81" s="380"/>
      <c r="DK81" s="380"/>
      <c r="DL81" s="380"/>
      <c r="DM81" s="380"/>
      <c r="DN81" s="380"/>
      <c r="DO81" s="380"/>
      <c r="DP81" s="380"/>
      <c r="DQ81" s="380"/>
      <c r="DR81" s="380"/>
      <c r="DS81" s="380"/>
      <c r="DT81" s="380"/>
      <c r="DU81" s="380"/>
      <c r="DV81" s="40"/>
    </row>
    <row r="82" spans="1:126" ht="7.4" customHeight="1" x14ac:dyDescent="0.5">
      <c r="A82" s="42"/>
      <c r="C82" s="254"/>
      <c r="D82" s="254"/>
      <c r="E82" s="254"/>
      <c r="F82" s="254"/>
      <c r="G82" s="254"/>
      <c r="H82" s="254"/>
      <c r="I82" s="254"/>
      <c r="J82" s="254"/>
      <c r="K82" s="254"/>
      <c r="L82" s="254"/>
      <c r="M82" s="254"/>
      <c r="N82" s="294"/>
      <c r="O82" s="294"/>
      <c r="P82" s="294"/>
      <c r="Q82" s="294"/>
      <c r="R82" s="294"/>
      <c r="S82" s="294"/>
      <c r="T82" s="294"/>
      <c r="U82" s="294"/>
      <c r="V82" s="79"/>
      <c r="W82" s="79"/>
      <c r="X82" s="79"/>
      <c r="Y82" s="79"/>
      <c r="Z82" s="79"/>
      <c r="AA82" s="79"/>
      <c r="AB82" s="79"/>
      <c r="AC82" s="79"/>
      <c r="AD82" s="79"/>
      <c r="AE82" s="79"/>
      <c r="AF82" s="79"/>
      <c r="AG82" s="79"/>
      <c r="AH82" s="79"/>
      <c r="AI82" s="79"/>
      <c r="AJ82" s="79"/>
      <c r="AK82" s="79"/>
      <c r="AL82" s="79"/>
      <c r="AM82" s="79"/>
      <c r="AN82" s="79"/>
      <c r="AO82" s="79"/>
      <c r="AP82" s="79"/>
      <c r="AQ82" s="79"/>
      <c r="AR82" s="79"/>
      <c r="AS82" s="79"/>
      <c r="AT82" s="79"/>
      <c r="AU82" s="79"/>
      <c r="AV82" s="79"/>
      <c r="AW82" s="79"/>
      <c r="AX82" s="79"/>
      <c r="AY82" s="79"/>
      <c r="AZ82" s="79"/>
      <c r="BA82" s="79"/>
      <c r="BB82" s="79"/>
      <c r="BC82" s="79"/>
      <c r="BD82" s="79"/>
      <c r="BE82" s="79"/>
      <c r="BF82" s="79"/>
      <c r="BG82" s="79"/>
      <c r="BH82" s="79"/>
      <c r="BI82" s="41"/>
      <c r="BK82" s="357"/>
      <c r="BL82" s="358"/>
      <c r="BM82" s="359"/>
      <c r="BN82" s="357"/>
      <c r="BO82" s="358"/>
      <c r="BP82" s="359"/>
      <c r="BQ82" s="357"/>
      <c r="BR82" s="358"/>
      <c r="BS82" s="359"/>
      <c r="BT82" s="357"/>
      <c r="BU82" s="358"/>
      <c r="BV82" s="359"/>
      <c r="BW82" s="357"/>
      <c r="BX82" s="358"/>
      <c r="BY82" s="359"/>
      <c r="BZ82" s="357"/>
      <c r="CA82" s="358"/>
      <c r="CB82" s="359"/>
      <c r="CC82" s="357"/>
      <c r="CD82" s="358"/>
      <c r="CE82" s="359"/>
      <c r="CF82" s="357"/>
      <c r="CG82" s="358"/>
      <c r="CH82" s="359"/>
      <c r="CI82" s="357"/>
      <c r="CJ82" s="358"/>
      <c r="CK82" s="359"/>
      <c r="CL82" s="357"/>
      <c r="CM82" s="358"/>
      <c r="CN82" s="359"/>
      <c r="CO82" s="357"/>
      <c r="CP82" s="358"/>
      <c r="CQ82" s="359"/>
      <c r="CR82" s="357"/>
      <c r="CS82" s="358"/>
      <c r="CT82" s="359"/>
      <c r="CU82" s="357"/>
      <c r="CV82" s="358"/>
      <c r="CW82" s="359"/>
      <c r="CX82" s="357"/>
      <c r="CY82" s="358"/>
      <c r="CZ82" s="359"/>
      <c r="DA82" s="357"/>
      <c r="DB82" s="358"/>
      <c r="DC82" s="359"/>
      <c r="DD82" s="357"/>
      <c r="DE82" s="358"/>
      <c r="DF82" s="359"/>
      <c r="DG82" s="42"/>
      <c r="DH82" s="382"/>
      <c r="DI82" s="382"/>
      <c r="DJ82" s="382"/>
      <c r="DK82" s="382"/>
      <c r="DL82" s="382"/>
      <c r="DM82" s="382"/>
      <c r="DN82" s="382"/>
      <c r="DO82" s="382"/>
      <c r="DP82" s="382"/>
      <c r="DQ82" s="382"/>
      <c r="DR82" s="382"/>
      <c r="DS82" s="382"/>
      <c r="DT82" s="382"/>
      <c r="DU82" s="382"/>
      <c r="DV82" s="41"/>
    </row>
    <row r="83" spans="1:126" ht="7.4" customHeight="1" x14ac:dyDescent="0.5">
      <c r="A83" s="42"/>
      <c r="C83" s="254"/>
      <c r="D83" s="254"/>
      <c r="E83" s="254"/>
      <c r="F83" s="254"/>
      <c r="G83" s="254"/>
      <c r="H83" s="254"/>
      <c r="I83" s="254"/>
      <c r="J83" s="254"/>
      <c r="K83" s="254"/>
      <c r="L83" s="254"/>
      <c r="M83" s="254"/>
      <c r="N83" s="294"/>
      <c r="O83" s="294"/>
      <c r="P83" s="294"/>
      <c r="Q83" s="294"/>
      <c r="R83" s="294"/>
      <c r="S83" s="294"/>
      <c r="T83" s="294"/>
      <c r="U83" s="294"/>
      <c r="BI83" s="41"/>
      <c r="BK83" s="440">
        <f>IF(M54&gt;0,HLOOKUP(BK81,$DY$110:$ME$112,2),0)</f>
        <v>0.5</v>
      </c>
      <c r="BL83" s="441"/>
      <c r="BM83" s="442"/>
      <c r="BN83" s="440">
        <f>IF(P54&gt;0,HLOOKUP(BN81,$DY$110:$ME$112,2),0)</f>
        <v>0</v>
      </c>
      <c r="BO83" s="441"/>
      <c r="BP83" s="442"/>
      <c r="BQ83" s="440">
        <f>IF(S54&gt;0,HLOOKUP(BQ81,$DY$110:$ME$112,2),0)</f>
        <v>0</v>
      </c>
      <c r="BR83" s="441"/>
      <c r="BS83" s="442"/>
      <c r="BT83" s="440">
        <f>IF(V54&gt;0,HLOOKUP(BT81,$DY$110:$ME$112,2),0)</f>
        <v>0</v>
      </c>
      <c r="BU83" s="441"/>
      <c r="BV83" s="442"/>
      <c r="BW83" s="440">
        <f>IF(Y54&gt;0,HLOOKUP(BW81,$DY$110:$ME$112,2),0)</f>
        <v>0</v>
      </c>
      <c r="BX83" s="441"/>
      <c r="BY83" s="442"/>
      <c r="BZ83" s="440">
        <f>IF(AB54&gt;0,HLOOKUP(BZ81,$DY$110:$ME$112,2),0)</f>
        <v>0</v>
      </c>
      <c r="CA83" s="441"/>
      <c r="CB83" s="442"/>
      <c r="CC83" s="440">
        <f>IF(AE54&gt;0,HLOOKUP(CC81,$DY$110:$ME$112,2),0)</f>
        <v>0</v>
      </c>
      <c r="CD83" s="441"/>
      <c r="CE83" s="442"/>
      <c r="CF83" s="440">
        <f>IF(AH54&gt;0,HLOOKUP(CF81,$DY$110:$ME$112,2),0)</f>
        <v>0</v>
      </c>
      <c r="CG83" s="441"/>
      <c r="CH83" s="442"/>
      <c r="CI83" s="440">
        <f>IF(AK54&gt;0,HLOOKUP(CI81,$DY$110:$ME$112,2),0)</f>
        <v>0</v>
      </c>
      <c r="CJ83" s="441"/>
      <c r="CK83" s="442"/>
      <c r="CL83" s="440">
        <f>IF(AN54&gt;0,HLOOKUP(CL81,$DY$110:$ME$112,2),0)</f>
        <v>0</v>
      </c>
      <c r="CM83" s="441"/>
      <c r="CN83" s="442"/>
      <c r="CO83" s="440">
        <f>IF(AQ54&gt;0,HLOOKUP(CO81,$DY$110:$ME$112,2),0)</f>
        <v>0</v>
      </c>
      <c r="CP83" s="441"/>
      <c r="CQ83" s="442"/>
      <c r="CR83" s="440">
        <f>IF(AT54&gt;0,HLOOKUP(CR81,$DY$110:$ME$112,2),0)</f>
        <v>0</v>
      </c>
      <c r="CS83" s="441"/>
      <c r="CT83" s="442"/>
      <c r="CU83" s="440">
        <f>IF(AW54&gt;0,HLOOKUP(CU81,$DY$110:$ME$112,2),0)</f>
        <v>0</v>
      </c>
      <c r="CV83" s="441"/>
      <c r="CW83" s="442"/>
      <c r="CX83" s="440">
        <f>IF(AZ54&gt;0,HLOOKUP(CX81,$DY$110:$ME$112,2),0)</f>
        <v>0</v>
      </c>
      <c r="CY83" s="441"/>
      <c r="CZ83" s="442"/>
      <c r="DA83" s="440">
        <f>IF(BC54&gt;0,HLOOKUP(DA81,$DY$110:$ME$112,2),0)</f>
        <v>0</v>
      </c>
      <c r="DB83" s="441"/>
      <c r="DC83" s="442"/>
      <c r="DD83" s="440">
        <f>IF(BF54&gt;0,HLOOKUP(DD81,$DY$110:$ME$112,2),0)</f>
        <v>0</v>
      </c>
      <c r="DE83" s="441"/>
      <c r="DF83" s="442"/>
      <c r="DG83" s="42"/>
      <c r="DH83" s="443">
        <f>DX111</f>
        <v>4.7</v>
      </c>
      <c r="DI83" s="443"/>
      <c r="DJ83" s="444" t="s">
        <v>101</v>
      </c>
      <c r="DK83" s="444"/>
      <c r="DL83" s="444"/>
      <c r="DM83" s="444"/>
      <c r="DN83" s="444"/>
      <c r="DO83" s="444"/>
      <c r="DP83" s="444"/>
      <c r="DQ83" s="444"/>
      <c r="DR83" s="444"/>
      <c r="DS83" s="444"/>
      <c r="DV83" s="41"/>
    </row>
    <row r="84" spans="1:126" ht="7.4" customHeight="1" x14ac:dyDescent="0.5">
      <c r="A84" s="42"/>
      <c r="BI84" s="41"/>
      <c r="BK84" s="440"/>
      <c r="BL84" s="441"/>
      <c r="BM84" s="442"/>
      <c r="BN84" s="440"/>
      <c r="BO84" s="441"/>
      <c r="BP84" s="442"/>
      <c r="BQ84" s="440"/>
      <c r="BR84" s="441"/>
      <c r="BS84" s="442"/>
      <c r="BT84" s="440"/>
      <c r="BU84" s="441"/>
      <c r="BV84" s="442"/>
      <c r="BW84" s="440"/>
      <c r="BX84" s="441"/>
      <c r="BY84" s="442"/>
      <c r="BZ84" s="440"/>
      <c r="CA84" s="441"/>
      <c r="CB84" s="442"/>
      <c r="CC84" s="440"/>
      <c r="CD84" s="441"/>
      <c r="CE84" s="442"/>
      <c r="CF84" s="440"/>
      <c r="CG84" s="441"/>
      <c r="CH84" s="442"/>
      <c r="CI84" s="440"/>
      <c r="CJ84" s="441"/>
      <c r="CK84" s="442"/>
      <c r="CL84" s="440"/>
      <c r="CM84" s="441"/>
      <c r="CN84" s="442"/>
      <c r="CO84" s="440"/>
      <c r="CP84" s="441"/>
      <c r="CQ84" s="442"/>
      <c r="CR84" s="440"/>
      <c r="CS84" s="441"/>
      <c r="CT84" s="442"/>
      <c r="CU84" s="440"/>
      <c r="CV84" s="441"/>
      <c r="CW84" s="442"/>
      <c r="CX84" s="440"/>
      <c r="CY84" s="441"/>
      <c r="CZ84" s="442"/>
      <c r="DA84" s="440"/>
      <c r="DB84" s="441"/>
      <c r="DC84" s="442"/>
      <c r="DD84" s="440"/>
      <c r="DE84" s="441"/>
      <c r="DF84" s="442"/>
      <c r="DG84" s="42"/>
      <c r="DH84" s="443"/>
      <c r="DI84" s="443"/>
      <c r="DJ84" s="444"/>
      <c r="DK84" s="444"/>
      <c r="DL84" s="444"/>
      <c r="DM84" s="444"/>
      <c r="DN84" s="444"/>
      <c r="DO84" s="444"/>
      <c r="DP84" s="444"/>
      <c r="DQ84" s="444"/>
      <c r="DR84" s="444"/>
      <c r="DS84" s="444"/>
      <c r="DV84" s="41"/>
    </row>
    <row r="85" spans="1:126" ht="7.4" customHeight="1" x14ac:dyDescent="0.5">
      <c r="A85" s="50"/>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c r="AC85" s="51"/>
      <c r="AD85" s="51"/>
      <c r="AE85" s="51"/>
      <c r="AF85" s="51"/>
      <c r="AG85" s="51"/>
      <c r="AH85" s="51"/>
      <c r="AI85" s="51"/>
      <c r="AJ85" s="51"/>
      <c r="AK85" s="51"/>
      <c r="AL85" s="51"/>
      <c r="AM85" s="51"/>
      <c r="AN85" s="51"/>
      <c r="AO85" s="51"/>
      <c r="AP85" s="51"/>
      <c r="AQ85" s="51"/>
      <c r="AR85" s="51"/>
      <c r="AS85" s="51"/>
      <c r="AT85" s="51"/>
      <c r="AU85" s="51"/>
      <c r="AV85" s="51"/>
      <c r="AW85" s="51"/>
      <c r="AX85" s="51"/>
      <c r="AY85" s="51"/>
      <c r="AZ85" s="51"/>
      <c r="BA85" s="51"/>
      <c r="BB85" s="51"/>
      <c r="BC85" s="51"/>
      <c r="BD85" s="51"/>
      <c r="BE85" s="51"/>
      <c r="BF85" s="51"/>
      <c r="BG85" s="51"/>
      <c r="BH85" s="51"/>
      <c r="BI85" s="52"/>
      <c r="BK85" s="440">
        <f>IF(M54&gt;0,HLOOKUP(BK81,$DY$110:$ME$112,3),0)</f>
        <v>2</v>
      </c>
      <c r="BL85" s="441"/>
      <c r="BM85" s="442"/>
      <c r="BN85" s="440">
        <f>IF(P54&gt;0,HLOOKUP(BN81,$DY$110:$ME$112,3),0)</f>
        <v>0</v>
      </c>
      <c r="BO85" s="441"/>
      <c r="BP85" s="442"/>
      <c r="BQ85" s="440">
        <f>IF(S54&gt;0,HLOOKUP(BQ81,$DY$110:$ME$112,3),0)</f>
        <v>0</v>
      </c>
      <c r="BR85" s="441"/>
      <c r="BS85" s="442"/>
      <c r="BT85" s="440">
        <f>IF(V54&gt;0,HLOOKUP(BT81,$DY$110:$ME$112,3),0)</f>
        <v>0</v>
      </c>
      <c r="BU85" s="441"/>
      <c r="BV85" s="442"/>
      <c r="BW85" s="440">
        <f>IF(Y54&gt;0,HLOOKUP(BW81,$DY$110:$ME$112,3),0)</f>
        <v>0</v>
      </c>
      <c r="BX85" s="441"/>
      <c r="BY85" s="442"/>
      <c r="BZ85" s="440">
        <f>IF(AB54&gt;0,HLOOKUP(BZ81,$DY$110:$ME$112,3),0)</f>
        <v>0</v>
      </c>
      <c r="CA85" s="441"/>
      <c r="CB85" s="442"/>
      <c r="CC85" s="440">
        <f>IF(AE54&gt;0,HLOOKUP(CC81,$DY$110:$ME$112,3),0)</f>
        <v>0</v>
      </c>
      <c r="CD85" s="441"/>
      <c r="CE85" s="442"/>
      <c r="CF85" s="440">
        <f>IF(AH54&gt;0,HLOOKUP(CF81,$DY$110:$ME$112,3),0)</f>
        <v>0</v>
      </c>
      <c r="CG85" s="441"/>
      <c r="CH85" s="442"/>
      <c r="CI85" s="440">
        <f>IF(AK54&gt;0,HLOOKUP(CI81,$DY$110:$ME$112,3),0)</f>
        <v>0</v>
      </c>
      <c r="CJ85" s="441"/>
      <c r="CK85" s="442"/>
      <c r="CL85" s="440">
        <f>IF(AN54&gt;0,HLOOKUP(CL81,$DY$110:$ME$112,3),0)</f>
        <v>0</v>
      </c>
      <c r="CM85" s="441"/>
      <c r="CN85" s="442"/>
      <c r="CO85" s="440">
        <f>IF(AQ54&gt;0,HLOOKUP(CO81,$DY$110:$ME$112,3),0)</f>
        <v>0</v>
      </c>
      <c r="CP85" s="441"/>
      <c r="CQ85" s="442"/>
      <c r="CR85" s="440">
        <f>IF(AT54&gt;0,HLOOKUP(CR81,$DY$110:$ME$112,3),0)</f>
        <v>0</v>
      </c>
      <c r="CS85" s="441"/>
      <c r="CT85" s="442"/>
      <c r="CU85" s="440">
        <f>IF(AW54&gt;0,HLOOKUP(CU81,$DY$110:$ME$112,3),0)</f>
        <v>0</v>
      </c>
      <c r="CV85" s="441"/>
      <c r="CW85" s="442"/>
      <c r="CX85" s="440">
        <f>IF(AZ54&gt;0,HLOOKUP(CX81,$DY$110:$ME$112,3),0)</f>
        <v>0</v>
      </c>
      <c r="CY85" s="441"/>
      <c r="CZ85" s="442"/>
      <c r="DA85" s="440">
        <f>IF(BC54&gt;0,HLOOKUP(DA81,$DY$110:$ME$112,3),0)</f>
        <v>0</v>
      </c>
      <c r="DB85" s="441"/>
      <c r="DC85" s="442"/>
      <c r="DD85" s="440">
        <f>IF(BF54&gt;0,HLOOKUP(DD81,$DY$110:$ME$112,3),0)</f>
        <v>0</v>
      </c>
      <c r="DE85" s="441"/>
      <c r="DF85" s="442"/>
      <c r="DG85" s="42"/>
      <c r="DH85" s="443">
        <f>DX112</f>
        <v>5.85</v>
      </c>
      <c r="DI85" s="443"/>
      <c r="DJ85" s="444" t="s">
        <v>101</v>
      </c>
      <c r="DK85" s="444"/>
      <c r="DL85" s="444"/>
      <c r="DM85" s="444"/>
      <c r="DN85" s="444"/>
      <c r="DO85" s="444"/>
      <c r="DP85" s="444"/>
      <c r="DQ85" s="444"/>
      <c r="DR85" s="444"/>
      <c r="DS85" s="444"/>
      <c r="DV85" s="41"/>
    </row>
    <row r="86" spans="1:126" ht="7.4" customHeight="1" x14ac:dyDescent="0.5">
      <c r="BK86" s="440"/>
      <c r="BL86" s="441"/>
      <c r="BM86" s="442"/>
      <c r="BN86" s="440"/>
      <c r="BO86" s="441"/>
      <c r="BP86" s="442"/>
      <c r="BQ86" s="440"/>
      <c r="BR86" s="441"/>
      <c r="BS86" s="442"/>
      <c r="BT86" s="440"/>
      <c r="BU86" s="441"/>
      <c r="BV86" s="442"/>
      <c r="BW86" s="440"/>
      <c r="BX86" s="441"/>
      <c r="BY86" s="442"/>
      <c r="BZ86" s="440"/>
      <c r="CA86" s="441"/>
      <c r="CB86" s="442"/>
      <c r="CC86" s="440"/>
      <c r="CD86" s="441"/>
      <c r="CE86" s="442"/>
      <c r="CF86" s="440"/>
      <c r="CG86" s="441"/>
      <c r="CH86" s="442"/>
      <c r="CI86" s="440"/>
      <c r="CJ86" s="441"/>
      <c r="CK86" s="442"/>
      <c r="CL86" s="440"/>
      <c r="CM86" s="441"/>
      <c r="CN86" s="442"/>
      <c r="CO86" s="440"/>
      <c r="CP86" s="441"/>
      <c r="CQ86" s="442"/>
      <c r="CR86" s="440"/>
      <c r="CS86" s="441"/>
      <c r="CT86" s="442"/>
      <c r="CU86" s="440"/>
      <c r="CV86" s="441"/>
      <c r="CW86" s="442"/>
      <c r="CX86" s="440"/>
      <c r="CY86" s="441"/>
      <c r="CZ86" s="442"/>
      <c r="DA86" s="440"/>
      <c r="DB86" s="441"/>
      <c r="DC86" s="442"/>
      <c r="DD86" s="440"/>
      <c r="DE86" s="441"/>
      <c r="DF86" s="442"/>
      <c r="DG86" s="42"/>
      <c r="DH86" s="443"/>
      <c r="DI86" s="443"/>
      <c r="DJ86" s="444"/>
      <c r="DK86" s="444"/>
      <c r="DL86" s="444"/>
      <c r="DM86" s="444"/>
      <c r="DN86" s="444"/>
      <c r="DO86" s="444"/>
      <c r="DP86" s="444"/>
      <c r="DQ86" s="444"/>
      <c r="DR86" s="444"/>
      <c r="DS86" s="444"/>
      <c r="DV86" s="41"/>
    </row>
    <row r="87" spans="1:126" ht="7.4" customHeight="1" x14ac:dyDescent="0.5">
      <c r="A87" s="337" t="s">
        <v>46</v>
      </c>
      <c r="B87" s="337"/>
      <c r="C87" s="337"/>
      <c r="D87" s="337"/>
      <c r="E87" s="337"/>
      <c r="F87" s="337"/>
      <c r="G87" s="337"/>
      <c r="H87" s="337"/>
      <c r="I87" s="337"/>
      <c r="J87" s="337"/>
      <c r="K87" s="337"/>
      <c r="L87" s="337"/>
      <c r="M87" s="337"/>
      <c r="N87" s="337"/>
      <c r="O87" s="337"/>
      <c r="P87" s="337"/>
      <c r="Q87" s="337"/>
      <c r="R87" s="337"/>
      <c r="S87" s="337"/>
      <c r="T87" s="337"/>
      <c r="U87" s="337"/>
      <c r="V87" s="337"/>
      <c r="W87" s="337"/>
      <c r="X87" s="337"/>
      <c r="Y87" s="337"/>
      <c r="Z87" s="337"/>
      <c r="AA87" s="337"/>
      <c r="AB87" s="337"/>
      <c r="AC87" s="337"/>
      <c r="AD87" s="337"/>
      <c r="AE87" s="337"/>
      <c r="AF87" s="337"/>
      <c r="AG87" s="337"/>
      <c r="AH87" s="337"/>
      <c r="AI87" s="337"/>
      <c r="AJ87" s="337"/>
      <c r="AK87" s="337"/>
      <c r="AL87" s="337"/>
      <c r="AM87" s="337"/>
      <c r="AN87" s="337"/>
      <c r="AO87" s="337"/>
      <c r="AP87" s="337"/>
      <c r="AQ87" s="337"/>
      <c r="AR87" s="337"/>
      <c r="AS87" s="337"/>
      <c r="AT87" s="337"/>
      <c r="AU87" s="337"/>
      <c r="AV87" s="337"/>
      <c r="AW87" s="337"/>
      <c r="AX87" s="337"/>
      <c r="AY87" s="337"/>
      <c r="AZ87" s="337"/>
      <c r="BA87" s="337"/>
      <c r="BB87" s="337"/>
      <c r="BC87" s="337"/>
      <c r="BD87" s="337"/>
      <c r="BE87" s="337"/>
      <c r="BF87" s="337"/>
      <c r="BG87" s="337"/>
      <c r="BH87" s="337"/>
      <c r="BI87" s="337"/>
      <c r="BK87" s="430">
        <f>IF(M58&gt;0,IF($AV$28="Duo-pitch",M58*($AX$31+$AO$35/2+50/2),M58*$AJ$70),0)</f>
        <v>13480</v>
      </c>
      <c r="BL87" s="431"/>
      <c r="BM87" s="432"/>
      <c r="BN87" s="430">
        <f>IF(P58&gt;0,IF($AV$28="Duo-pitch",P58*($AX$31+$AO$35/2+50/2),P58*$AJ$70),0)</f>
        <v>0</v>
      </c>
      <c r="BO87" s="431"/>
      <c r="BP87" s="432"/>
      <c r="BQ87" s="430">
        <f>IF(S58&gt;0,IF($AV$28="Duo-pitch",S58*($AX$31+$AO$35/2+50/2),S58*$AJ$70),0)</f>
        <v>0</v>
      </c>
      <c r="BR87" s="431"/>
      <c r="BS87" s="432"/>
      <c r="BT87" s="430">
        <f>IF(V58&gt;0,IF($AV$28="Duo-pitch",V58*($AX$31+$AO$35/2+50/2),V58*$AJ$70),0)</f>
        <v>0</v>
      </c>
      <c r="BU87" s="431"/>
      <c r="BV87" s="432"/>
      <c r="BW87" s="430">
        <f>IF(Y58&gt;0,IF($AV$28="Duo-pitch",Y58*($AX$31+$AO$35/2+50/2),Y58*$AJ$70),0)</f>
        <v>0</v>
      </c>
      <c r="BX87" s="431"/>
      <c r="BY87" s="432"/>
      <c r="BZ87" s="430">
        <f>IF(AB58&gt;0,IF($AV$28="Duo-pitch",AB58*($AX$31+$AO$35/2+50/2),AB58*$AJ$70),0)</f>
        <v>0</v>
      </c>
      <c r="CA87" s="431"/>
      <c r="CB87" s="432"/>
      <c r="CC87" s="430">
        <f>IF(AE58&gt;0,IF($AV$28="Duo-pitch",AE58*($AX$31+$AO$35/2+50/2),AE58*$AJ$70),0)</f>
        <v>0</v>
      </c>
      <c r="CD87" s="431"/>
      <c r="CE87" s="432"/>
      <c r="CF87" s="430">
        <f>IF(AH58&gt;0,IF($AV$28="Duo-pitch",AH58*($AX$31+$AO$35/2+50/2),AH58*$AJ$70),0)</f>
        <v>0</v>
      </c>
      <c r="CG87" s="431"/>
      <c r="CH87" s="432"/>
      <c r="CI87" s="430">
        <f>IF(AK58&gt;0,IF($AV$28="Duo-pitch",AK58*($AX$31+$AO$35/2+50/2),AK58*$AJ$70),0)</f>
        <v>0</v>
      </c>
      <c r="CJ87" s="431"/>
      <c r="CK87" s="432"/>
      <c r="CL87" s="430">
        <f>IF(AN58&gt;0,IF($AV$28="Duo-pitch",AN58*($AX$31+$AO$35/2+50/2),AN58*$AJ$70),0)</f>
        <v>0</v>
      </c>
      <c r="CM87" s="431"/>
      <c r="CN87" s="432"/>
      <c r="CO87" s="430">
        <f>IF(AQ58&gt;0,IF($AV$28="Duo-pitch",AQ58*($AX$31+$AO$35/2+50/2),AQ58*$AJ$70),0)</f>
        <v>0</v>
      </c>
      <c r="CP87" s="431"/>
      <c r="CQ87" s="432"/>
      <c r="CR87" s="430">
        <f>IF(AT58&gt;0,IF($AV$28="Duo-pitch",AT58*($AX$31+$AO$35/2+50/2),AT58*$AJ$70),0)</f>
        <v>0</v>
      </c>
      <c r="CS87" s="431"/>
      <c r="CT87" s="432"/>
      <c r="CU87" s="430">
        <f>IF(AW58&gt;0,IF($AV$28="Duo-pitch",AW58*($AX$31+$AO$35/2+50/2),AW58*$AJ$70),0)</f>
        <v>0</v>
      </c>
      <c r="CV87" s="431"/>
      <c r="CW87" s="432"/>
      <c r="CX87" s="430">
        <f>IF(AZ58&gt;0,IF($AV$28="Duo-pitch",AZ58*($AX$31+$AO$35/2+50/2),AZ58*$AJ$70),0)</f>
        <v>0</v>
      </c>
      <c r="CY87" s="431"/>
      <c r="CZ87" s="432"/>
      <c r="DA87" s="430">
        <f>IF(BC58&gt;0,IF($AV$28="Duo-pitch",BC58*($AX$31+$AO$35/2+50/2),BC58*$AJ$70),0)</f>
        <v>0</v>
      </c>
      <c r="DB87" s="431"/>
      <c r="DC87" s="432"/>
      <c r="DD87" s="430">
        <f>IF(BF58&gt;0,IF($AV$28="Duo-pitch",BF58*($AX$31+$AO$35/2+50/2),BF58*$AJ$70),0)</f>
        <v>0</v>
      </c>
      <c r="DE87" s="431"/>
      <c r="DF87" s="432"/>
      <c r="DG87" s="42"/>
      <c r="DH87" s="382" t="s">
        <v>102</v>
      </c>
      <c r="DI87" s="382"/>
      <c r="DJ87" s="382"/>
      <c r="DK87" s="382"/>
      <c r="DL87" s="382"/>
      <c r="DM87" s="382"/>
      <c r="DN87" s="382"/>
      <c r="DO87" s="382"/>
      <c r="DP87" s="382"/>
      <c r="DQ87" s="382"/>
      <c r="DR87" s="382"/>
      <c r="DS87" s="382"/>
      <c r="DT87" s="382"/>
      <c r="DU87" s="382"/>
      <c r="DV87" s="41"/>
    </row>
    <row r="88" spans="1:126" ht="7.4" customHeight="1" x14ac:dyDescent="0.5">
      <c r="A88" s="337"/>
      <c r="B88" s="337"/>
      <c r="C88" s="337"/>
      <c r="D88" s="337"/>
      <c r="E88" s="337"/>
      <c r="F88" s="337"/>
      <c r="G88" s="337"/>
      <c r="H88" s="337"/>
      <c r="I88" s="337"/>
      <c r="J88" s="337"/>
      <c r="K88" s="337"/>
      <c r="L88" s="337"/>
      <c r="M88" s="337"/>
      <c r="N88" s="337"/>
      <c r="O88" s="337"/>
      <c r="P88" s="337"/>
      <c r="Q88" s="337"/>
      <c r="R88" s="337"/>
      <c r="S88" s="337"/>
      <c r="T88" s="337"/>
      <c r="U88" s="337"/>
      <c r="V88" s="337"/>
      <c r="W88" s="337"/>
      <c r="X88" s="337"/>
      <c r="Y88" s="337"/>
      <c r="Z88" s="337"/>
      <c r="AA88" s="337"/>
      <c r="AB88" s="337"/>
      <c r="AC88" s="337"/>
      <c r="AD88" s="337"/>
      <c r="AE88" s="337"/>
      <c r="AF88" s="337"/>
      <c r="AG88" s="337"/>
      <c r="AH88" s="337"/>
      <c r="AI88" s="337"/>
      <c r="AJ88" s="337"/>
      <c r="AK88" s="337"/>
      <c r="AL88" s="337"/>
      <c r="AM88" s="337"/>
      <c r="AN88" s="337"/>
      <c r="AO88" s="337"/>
      <c r="AP88" s="337"/>
      <c r="AQ88" s="337"/>
      <c r="AR88" s="337"/>
      <c r="AS88" s="337"/>
      <c r="AT88" s="337"/>
      <c r="AU88" s="337"/>
      <c r="AV88" s="337"/>
      <c r="AW88" s="337"/>
      <c r="AX88" s="337"/>
      <c r="AY88" s="337"/>
      <c r="AZ88" s="337"/>
      <c r="BA88" s="337"/>
      <c r="BB88" s="337"/>
      <c r="BC88" s="337"/>
      <c r="BD88" s="337"/>
      <c r="BE88" s="337"/>
      <c r="BF88" s="337"/>
      <c r="BG88" s="337"/>
      <c r="BH88" s="337"/>
      <c r="BI88" s="337"/>
      <c r="BK88" s="430"/>
      <c r="BL88" s="431"/>
      <c r="BM88" s="432"/>
      <c r="BN88" s="430"/>
      <c r="BO88" s="431"/>
      <c r="BP88" s="432"/>
      <c r="BQ88" s="430"/>
      <c r="BR88" s="431"/>
      <c r="BS88" s="432"/>
      <c r="BT88" s="430"/>
      <c r="BU88" s="431"/>
      <c r="BV88" s="432"/>
      <c r="BW88" s="430"/>
      <c r="BX88" s="431"/>
      <c r="BY88" s="432"/>
      <c r="BZ88" s="430"/>
      <c r="CA88" s="431"/>
      <c r="CB88" s="432"/>
      <c r="CC88" s="430"/>
      <c r="CD88" s="431"/>
      <c r="CE88" s="432"/>
      <c r="CF88" s="430"/>
      <c r="CG88" s="431"/>
      <c r="CH88" s="432"/>
      <c r="CI88" s="430"/>
      <c r="CJ88" s="431"/>
      <c r="CK88" s="432"/>
      <c r="CL88" s="430"/>
      <c r="CM88" s="431"/>
      <c r="CN88" s="432"/>
      <c r="CO88" s="430"/>
      <c r="CP88" s="431"/>
      <c r="CQ88" s="432"/>
      <c r="CR88" s="430"/>
      <c r="CS88" s="431"/>
      <c r="CT88" s="432"/>
      <c r="CU88" s="430"/>
      <c r="CV88" s="431"/>
      <c r="CW88" s="432"/>
      <c r="CX88" s="430"/>
      <c r="CY88" s="431"/>
      <c r="CZ88" s="432"/>
      <c r="DA88" s="430"/>
      <c r="DB88" s="431"/>
      <c r="DC88" s="432"/>
      <c r="DD88" s="430"/>
      <c r="DE88" s="431"/>
      <c r="DF88" s="432"/>
      <c r="DG88" s="42"/>
      <c r="DH88" s="382"/>
      <c r="DI88" s="382"/>
      <c r="DJ88" s="382"/>
      <c r="DK88" s="382"/>
      <c r="DL88" s="382"/>
      <c r="DM88" s="382"/>
      <c r="DN88" s="382"/>
      <c r="DO88" s="382"/>
      <c r="DP88" s="382"/>
      <c r="DQ88" s="382"/>
      <c r="DR88" s="382"/>
      <c r="DS88" s="382"/>
      <c r="DT88" s="382"/>
      <c r="DU88" s="382"/>
      <c r="DV88" s="41"/>
    </row>
    <row r="89" spans="1:126" ht="7.4" customHeight="1" x14ac:dyDescent="0.5">
      <c r="D89" s="79"/>
      <c r="E89" s="79"/>
      <c r="F89" s="79"/>
      <c r="G89" s="79"/>
      <c r="H89" s="79"/>
      <c r="I89" s="79"/>
      <c r="J89" s="79"/>
      <c r="K89" s="79"/>
      <c r="L89" s="79"/>
      <c r="M89" s="79"/>
      <c r="N89" s="79"/>
      <c r="O89" s="79"/>
      <c r="P89" s="79"/>
      <c r="Q89" s="79"/>
      <c r="R89" s="79"/>
      <c r="S89" s="79"/>
      <c r="T89" s="79"/>
      <c r="U89" s="79"/>
      <c r="V89" s="79"/>
      <c r="W89" s="79"/>
      <c r="X89" s="79"/>
      <c r="Y89" s="79"/>
      <c r="Z89" s="79"/>
      <c r="AA89" s="79"/>
      <c r="AB89" s="79"/>
      <c r="AC89" s="79"/>
      <c r="AD89" s="79"/>
      <c r="AE89" s="79"/>
      <c r="AF89" s="79"/>
      <c r="AG89" s="79"/>
      <c r="AH89" s="79"/>
      <c r="AI89" s="79"/>
      <c r="AJ89" s="79"/>
      <c r="AK89" s="79"/>
      <c r="AL89" s="79"/>
      <c r="AM89" s="79"/>
      <c r="AN89" s="79"/>
      <c r="AO89" s="79"/>
      <c r="AP89" s="79"/>
      <c r="AQ89" s="79"/>
      <c r="AR89" s="79"/>
      <c r="AS89" s="79"/>
      <c r="AT89" s="79"/>
      <c r="AU89" s="79"/>
      <c r="AV89" s="79"/>
      <c r="AW89" s="79"/>
      <c r="AX89" s="79"/>
      <c r="AY89" s="79"/>
      <c r="AZ89" s="79"/>
      <c r="BA89" s="79"/>
      <c r="BB89" s="79"/>
      <c r="BC89" s="79"/>
      <c r="BD89" s="79"/>
      <c r="BE89" s="79"/>
      <c r="BF89" s="79"/>
      <c r="BG89" s="79"/>
      <c r="BH89" s="79"/>
      <c r="BK89" s="430">
        <f>IF($N$66="Combination",0,IF(M58&gt;0,((IF($AV$28="Duo-pitch",M58*($AX$31+$AO$35/2+50/2),M58*$AJ$70))/$N$66-ROUNDDOWN((IF($AV$28="Duo-pitch",M58*($AX$31+$AO$35/2+50/2),M58*$AJ$70))/$N$66,0))*$N$66,0))</f>
        <v>0</v>
      </c>
      <c r="BL89" s="431"/>
      <c r="BM89" s="432"/>
      <c r="BN89" s="430">
        <f>IF($N$66="Combination",0,IF(P58&gt;0,((IF($AV$28="Duo-pitch",P58*($AX$31+$AO$35/2+50/2),P58*$AJ$70))/$N$66-ROUNDDOWN((IF($AV$28="Duo-pitch",P58*($AX$31+$AO$35/2+50/2),P58*$AJ$70))/$N$66,0))*$N$66,0))</f>
        <v>0</v>
      </c>
      <c r="BO89" s="431"/>
      <c r="BP89" s="432"/>
      <c r="BQ89" s="430">
        <f>IF($N$66="Combination",0,IF(S58&gt;0,((IF($AV$28="Duo-pitch",S58*($AX$31+$AO$35/2+50/2),S58*$AJ$70))/$N$66-ROUNDDOWN((IF($AV$28="Duo-pitch",S58*($AX$31+$AO$35/2+50/2),S58*$AJ$70))/$N$66,0))*$N$66,0))</f>
        <v>0</v>
      </c>
      <c r="BR89" s="431"/>
      <c r="BS89" s="432"/>
      <c r="BT89" s="430">
        <f>IF($N$66="Combination",0,IF(V58&gt;0,((IF($AV$28="Duo-pitch",V58*($AX$31+$AO$35/2+50/2),V58*$AJ$70))/$N$66-ROUNDDOWN((IF($AV$28="Duo-pitch",V58*($AX$31+$AO$35/2+50/2),V58*$AJ$70))/$N$66,0))*$N$66,0))</f>
        <v>0</v>
      </c>
      <c r="BU89" s="431"/>
      <c r="BV89" s="432"/>
      <c r="BW89" s="430">
        <f>IF($N$66="Combination",0,IF(Y58&gt;0,((IF($AV$28="Duo-pitch",Y58*($AX$31+$AO$35/2+50/2),Y58*$AJ$70))/$N$66-ROUNDDOWN((IF($AV$28="Duo-pitch",Y58*($AX$31+$AO$35/2+50/2),Y58*$AJ$70))/$N$66,0))*$N$66,0))</f>
        <v>0</v>
      </c>
      <c r="BX89" s="431"/>
      <c r="BY89" s="432"/>
      <c r="BZ89" s="430">
        <f>IF($N$66="Combination",0,IF(AB58&gt;0,((IF($AV$28="Duo-pitch",AB58*($AX$31+$AO$35/2+50/2),AB58*$AJ$70))/$N$66-ROUNDDOWN((IF($AV$28="Duo-pitch",AB58*($AX$31+$AO$35/2+50/2),AB58*$AJ$70))/$N$66,0))*$N$66,0))</f>
        <v>0</v>
      </c>
      <c r="CA89" s="431"/>
      <c r="CB89" s="432"/>
      <c r="CC89" s="430">
        <f>IF($N$66="Combination",0,IF(AE58&gt;0,((IF($AV$28="Duo-pitch",AE58*($AX$31+$AO$35/2+50/2),AE58*$AJ$70))/$N$66-ROUNDDOWN((IF($AV$28="Duo-pitch",AE58*($AX$31+$AO$35/2+50/2),AE58*$AJ$70))/$N$66,0))*$N$66,0))</f>
        <v>0</v>
      </c>
      <c r="CD89" s="431"/>
      <c r="CE89" s="432"/>
      <c r="CF89" s="430">
        <f>IF($N$66="Combination",0,IF(AH58&gt;0,((IF($AV$28="Duo-pitch",AH58*($AX$31+$AO$35/2+50/2),AH58*$AJ$70))/$N$66-ROUNDDOWN((IF($AV$28="Duo-pitch",AH58*($AX$31+$AO$35/2+50/2),AH58*$AJ$70))/$N$66,0))*$N$66,0))</f>
        <v>0</v>
      </c>
      <c r="CG89" s="431"/>
      <c r="CH89" s="432"/>
      <c r="CI89" s="430">
        <f>IF($N$66="Combination",0,IF(AK58&gt;0,((IF($AV$28="Duo-pitch",AK58*($AX$31+$AO$35/2+50/2),AK58*$AJ$70))/$N$66-ROUNDDOWN((IF($AV$28="Duo-pitch",AK58*($AX$31+$AO$35/2+50/2),AK58*$AJ$70))/$N$66,0))*$N$66,0))</f>
        <v>0</v>
      </c>
      <c r="CJ89" s="431"/>
      <c r="CK89" s="432"/>
      <c r="CL89" s="430">
        <f>IF($N$66="Combination",0,IF(AN58&gt;0,((IF($AV$28="Duo-pitch",AN58*($AX$31+$AO$35/2+50/2),AN58*$AJ$70))/$N$66-ROUNDDOWN((IF($AV$28="Duo-pitch",AN58*($AX$31+$AO$35/2+50/2),AN58*$AJ$70))/$N$66,0))*$N$66,0))</f>
        <v>0</v>
      </c>
      <c r="CM89" s="431"/>
      <c r="CN89" s="432"/>
      <c r="CO89" s="430">
        <f>IF($N$66="Combination",0,IF(AQ58&gt;0,((IF($AV$28="Duo-pitch",AQ58*($AX$31+$AO$35/2+50/2),AQ58*$AJ$70))/$N$66-ROUNDDOWN((IF($AV$28="Duo-pitch",AQ58*($AX$31+$AO$35/2+50/2),AQ58*$AJ$70))/$N$66,0))*$N$66,0))</f>
        <v>0</v>
      </c>
      <c r="CP89" s="431"/>
      <c r="CQ89" s="432"/>
      <c r="CR89" s="430">
        <f>IF($N$66="Combination",0,IF(AT58&gt;0,((IF($AV$28="Duo-pitch",AT58*($AX$31+$AO$35/2+50/2),AT58*$AJ$70))/$N$66-ROUNDDOWN((IF($AV$28="Duo-pitch",AT58*($AX$31+$AO$35/2+50/2),AT58*$AJ$70))/$N$66,0))*$N$66,0))</f>
        <v>0</v>
      </c>
      <c r="CS89" s="431"/>
      <c r="CT89" s="432"/>
      <c r="CU89" s="430">
        <f>IF($N$66="Combination",0,IF(AW58&gt;0,((IF($AV$28="Duo-pitch",AW58*($AX$31+$AO$35/2+50/2),AW58*$AJ$70))/$N$66-ROUNDDOWN((IF($AV$28="Duo-pitch",AW58*($AX$31+$AO$35/2+50/2),AW58*$AJ$70))/$N$66,0))*$N$66,0))</f>
        <v>0</v>
      </c>
      <c r="CV89" s="431"/>
      <c r="CW89" s="432"/>
      <c r="CX89" s="430">
        <f>IF($N$66="Combination",0,IF(AZ58&gt;0,((IF($AV$28="Duo-pitch",AZ58*($AX$31+$AO$35/2+50/2),AZ58*$AJ$70))/$N$66-ROUNDDOWN((IF($AV$28="Duo-pitch",AZ58*($AX$31+$AO$35/2+50/2),AZ58*$AJ$70))/$N$66,0))*$N$66,0))</f>
        <v>0</v>
      </c>
      <c r="CY89" s="431"/>
      <c r="CZ89" s="432"/>
      <c r="DA89" s="430">
        <f>IF($N$66="Combination",0,IF(BC58&gt;0,((IF($AV$28="Duo-pitch",BC58*($AX$31+$AO$35/2+50/2),BC58*$AJ$70))/$N$66-ROUNDDOWN((IF($AV$28="Duo-pitch",BC58*($AX$31+$AO$35/2+50/2),BC58*$AJ$70))/$N$66,0))*$N$66,0))</f>
        <v>0</v>
      </c>
      <c r="DB89" s="431"/>
      <c r="DC89" s="432"/>
      <c r="DD89" s="430">
        <f>IF($N$66="Combination",0,IF(BF58&gt;0,((IF($AV$28="Duo-pitch",BF58*($AX$31+$AO$35/2+50/2),BF58*$AJ$70))/$N$66-ROUNDDOWN((IF($AV$28="Duo-pitch",BF58*($AX$31+$AO$35/2+50/2),BF58*$AJ$70))/$N$66,0))*$N$66,0))</f>
        <v>0</v>
      </c>
      <c r="DE89" s="431"/>
      <c r="DF89" s="432"/>
      <c r="DG89" s="42"/>
      <c r="DH89" s="382" t="s">
        <v>103</v>
      </c>
      <c r="DI89" s="382"/>
      <c r="DJ89" s="382"/>
      <c r="DK89" s="382"/>
      <c r="DL89" s="382"/>
      <c r="DM89" s="382"/>
      <c r="DN89" s="382"/>
      <c r="DO89" s="382"/>
      <c r="DP89" s="382"/>
      <c r="DQ89" s="382"/>
      <c r="DR89" s="382"/>
      <c r="DS89" s="382"/>
      <c r="DV89" s="41"/>
    </row>
    <row r="90" spans="1:126" ht="7.4" customHeight="1" x14ac:dyDescent="0.5">
      <c r="BK90" s="430"/>
      <c r="BL90" s="431"/>
      <c r="BM90" s="432"/>
      <c r="BN90" s="430"/>
      <c r="BO90" s="431"/>
      <c r="BP90" s="432"/>
      <c r="BQ90" s="430"/>
      <c r="BR90" s="431"/>
      <c r="BS90" s="432"/>
      <c r="BT90" s="430"/>
      <c r="BU90" s="431"/>
      <c r="BV90" s="432"/>
      <c r="BW90" s="430"/>
      <c r="BX90" s="431"/>
      <c r="BY90" s="432"/>
      <c r="BZ90" s="430"/>
      <c r="CA90" s="431"/>
      <c r="CB90" s="432"/>
      <c r="CC90" s="430"/>
      <c r="CD90" s="431"/>
      <c r="CE90" s="432"/>
      <c r="CF90" s="430"/>
      <c r="CG90" s="431"/>
      <c r="CH90" s="432"/>
      <c r="CI90" s="430"/>
      <c r="CJ90" s="431"/>
      <c r="CK90" s="432"/>
      <c r="CL90" s="430"/>
      <c r="CM90" s="431"/>
      <c r="CN90" s="432"/>
      <c r="CO90" s="430"/>
      <c r="CP90" s="431"/>
      <c r="CQ90" s="432"/>
      <c r="CR90" s="430"/>
      <c r="CS90" s="431"/>
      <c r="CT90" s="432"/>
      <c r="CU90" s="430"/>
      <c r="CV90" s="431"/>
      <c r="CW90" s="432"/>
      <c r="CX90" s="430"/>
      <c r="CY90" s="431"/>
      <c r="CZ90" s="432"/>
      <c r="DA90" s="430"/>
      <c r="DB90" s="431"/>
      <c r="DC90" s="432"/>
      <c r="DD90" s="430"/>
      <c r="DE90" s="431"/>
      <c r="DF90" s="432"/>
      <c r="DG90" s="42"/>
      <c r="DH90" s="382"/>
      <c r="DI90" s="382"/>
      <c r="DJ90" s="382"/>
      <c r="DK90" s="382"/>
      <c r="DL90" s="382"/>
      <c r="DM90" s="382"/>
      <c r="DN90" s="382"/>
      <c r="DO90" s="382"/>
      <c r="DP90" s="382"/>
      <c r="DQ90" s="382"/>
      <c r="DR90" s="382"/>
      <c r="DS90" s="382"/>
      <c r="DV90" s="41"/>
    </row>
    <row r="91" spans="1:126" ht="7.4" customHeight="1" x14ac:dyDescent="0.5">
      <c r="BK91" s="430">
        <f>IF($N$66="Combination",0,IF(M58&gt;0,$N$66-BK89,0))</f>
        <v>0</v>
      </c>
      <c r="BL91" s="431"/>
      <c r="BM91" s="432"/>
      <c r="BN91" s="430">
        <f>IF($N$66="Combination",0,IF(P58&gt;0,$N$66-BN89,0))</f>
        <v>0</v>
      </c>
      <c r="BO91" s="431"/>
      <c r="BP91" s="432"/>
      <c r="BQ91" s="430">
        <f>IF($N$66="Combination",0,IF(S58&gt;0,$N$66-BQ89,0))</f>
        <v>0</v>
      </c>
      <c r="BR91" s="431"/>
      <c r="BS91" s="432"/>
      <c r="BT91" s="430">
        <f>IF($N$66="Combination",0,IF(V58&gt;0,$N$66-BT89,0))</f>
        <v>0</v>
      </c>
      <c r="BU91" s="431"/>
      <c r="BV91" s="432"/>
      <c r="BW91" s="430">
        <f>IF($N$66="Combination",0,IF(Y58&gt;0,$N$66-BW89,0))</f>
        <v>0</v>
      </c>
      <c r="BX91" s="431"/>
      <c r="BY91" s="432"/>
      <c r="BZ91" s="430">
        <f>IF($N$66="Combination",0,IF(AB58&gt;0,$N$66-BZ89,0))</f>
        <v>0</v>
      </c>
      <c r="CA91" s="431"/>
      <c r="CB91" s="432"/>
      <c r="CC91" s="430">
        <f>IF($N$66="Combination",0,IF(AE58&gt;0,$N$66-CC89,0))</f>
        <v>0</v>
      </c>
      <c r="CD91" s="431"/>
      <c r="CE91" s="432"/>
      <c r="CF91" s="430">
        <f>IF($N$66="Combination",0,IF(AH58&gt;0,$N$66-CF89,0))</f>
        <v>0</v>
      </c>
      <c r="CG91" s="431"/>
      <c r="CH91" s="432"/>
      <c r="CI91" s="430">
        <f>IF($N$66="Combination",0,IF(AK58&gt;0,$N$66-CI89,0))</f>
        <v>0</v>
      </c>
      <c r="CJ91" s="431"/>
      <c r="CK91" s="432"/>
      <c r="CL91" s="430">
        <f>IF($N$66="Combination",0,IF(AN58&gt;0,$N$66-CL89,0))</f>
        <v>0</v>
      </c>
      <c r="CM91" s="431"/>
      <c r="CN91" s="432"/>
      <c r="CO91" s="430">
        <f>IF($N$66="Combination",0,IF(AQ58&gt;0,$N$66-CO89,0))</f>
        <v>0</v>
      </c>
      <c r="CP91" s="431"/>
      <c r="CQ91" s="432"/>
      <c r="CR91" s="430">
        <f>IF($N$66="Combination",0,IF(AT58&gt;0,$N$66-CR89,0))</f>
        <v>0</v>
      </c>
      <c r="CS91" s="431"/>
      <c r="CT91" s="432"/>
      <c r="CU91" s="430">
        <f>IF($N$66="Combination",0,IF(AW58&gt;0,$N$66-CU89,0))</f>
        <v>0</v>
      </c>
      <c r="CV91" s="431"/>
      <c r="CW91" s="432"/>
      <c r="CX91" s="430">
        <f>IF($N$66="Combination",0,IF(AZ58&gt;0,$N$66-CX89,0))</f>
        <v>0</v>
      </c>
      <c r="CY91" s="431"/>
      <c r="CZ91" s="432"/>
      <c r="DA91" s="430">
        <f>IF($N$66="Combination",0,IF(BC58&gt;0,$N$66-DA89,0))</f>
        <v>0</v>
      </c>
      <c r="DB91" s="431"/>
      <c r="DC91" s="432"/>
      <c r="DD91" s="430">
        <f>IF($N$66="Combination",0,IF(BF58&gt;0,$N$66-DD89,0))</f>
        <v>0</v>
      </c>
      <c r="DE91" s="431"/>
      <c r="DF91" s="432"/>
      <c r="DG91" s="42"/>
      <c r="DH91" s="382" t="s">
        <v>104</v>
      </c>
      <c r="DI91" s="382"/>
      <c r="DJ91" s="382"/>
      <c r="DK91" s="382"/>
      <c r="DL91" s="382"/>
      <c r="DM91" s="382"/>
      <c r="DN91" s="382"/>
      <c r="DO91" s="382"/>
      <c r="DP91" s="382"/>
      <c r="DQ91" s="382"/>
      <c r="DR91" s="382"/>
      <c r="DS91" s="382"/>
      <c r="DV91" s="41"/>
    </row>
    <row r="92" spans="1:126" ht="7.4" customHeight="1" x14ac:dyDescent="0.5">
      <c r="BK92" s="430"/>
      <c r="BL92" s="431"/>
      <c r="BM92" s="432"/>
      <c r="BN92" s="430"/>
      <c r="BO92" s="431"/>
      <c r="BP92" s="432"/>
      <c r="BQ92" s="430"/>
      <c r="BR92" s="431"/>
      <c r="BS92" s="432"/>
      <c r="BT92" s="430"/>
      <c r="BU92" s="431"/>
      <c r="BV92" s="432"/>
      <c r="BW92" s="430"/>
      <c r="BX92" s="431"/>
      <c r="BY92" s="432"/>
      <c r="BZ92" s="430"/>
      <c r="CA92" s="431"/>
      <c r="CB92" s="432"/>
      <c r="CC92" s="430"/>
      <c r="CD92" s="431"/>
      <c r="CE92" s="432"/>
      <c r="CF92" s="430"/>
      <c r="CG92" s="431"/>
      <c r="CH92" s="432"/>
      <c r="CI92" s="430"/>
      <c r="CJ92" s="431"/>
      <c r="CK92" s="432"/>
      <c r="CL92" s="430"/>
      <c r="CM92" s="431"/>
      <c r="CN92" s="432"/>
      <c r="CO92" s="430"/>
      <c r="CP92" s="431"/>
      <c r="CQ92" s="432"/>
      <c r="CR92" s="430"/>
      <c r="CS92" s="431"/>
      <c r="CT92" s="432"/>
      <c r="CU92" s="430"/>
      <c r="CV92" s="431"/>
      <c r="CW92" s="432"/>
      <c r="CX92" s="430"/>
      <c r="CY92" s="431"/>
      <c r="CZ92" s="432"/>
      <c r="DA92" s="430"/>
      <c r="DB92" s="431"/>
      <c r="DC92" s="432"/>
      <c r="DD92" s="430"/>
      <c r="DE92" s="431"/>
      <c r="DF92" s="432"/>
      <c r="DG92" s="42"/>
      <c r="DH92" s="382"/>
      <c r="DI92" s="382"/>
      <c r="DJ92" s="382"/>
      <c r="DK92" s="382"/>
      <c r="DL92" s="382"/>
      <c r="DM92" s="382"/>
      <c r="DN92" s="382"/>
      <c r="DO92" s="382"/>
      <c r="DP92" s="382"/>
      <c r="DQ92" s="382"/>
      <c r="DR92" s="382"/>
      <c r="DS92" s="382"/>
      <c r="DV92" s="41"/>
    </row>
    <row r="93" spans="1:126" ht="7.4" customHeight="1" x14ac:dyDescent="0.5">
      <c r="D93" s="79"/>
      <c r="E93" s="79"/>
      <c r="F93" s="79"/>
      <c r="G93" s="79"/>
      <c r="H93" s="79"/>
      <c r="I93" s="79"/>
      <c r="J93" s="79"/>
      <c r="K93" s="79"/>
      <c r="L93" s="79"/>
      <c r="M93" s="79"/>
      <c r="N93" s="79"/>
      <c r="O93" s="79"/>
      <c r="P93" s="79"/>
      <c r="Q93" s="79"/>
      <c r="R93" s="79"/>
      <c r="S93" s="79"/>
      <c r="T93" s="79"/>
      <c r="U93" s="79"/>
      <c r="V93" s="79"/>
      <c r="W93" s="79"/>
      <c r="X93" s="79"/>
      <c r="Y93" s="79"/>
      <c r="Z93" s="79"/>
      <c r="AA93" s="79"/>
      <c r="AB93" s="79"/>
      <c r="AC93" s="79"/>
      <c r="AD93" s="79"/>
      <c r="AE93" s="79"/>
      <c r="AF93" s="79"/>
      <c r="AG93" s="79"/>
      <c r="AH93" s="79"/>
      <c r="AI93" s="79"/>
      <c r="AJ93" s="79"/>
      <c r="AK93" s="79"/>
      <c r="AL93" s="79"/>
      <c r="AM93" s="79"/>
      <c r="AN93" s="79"/>
      <c r="AO93" s="79"/>
      <c r="AP93" s="79"/>
      <c r="AQ93" s="79"/>
      <c r="AR93" s="79"/>
      <c r="AS93" s="79"/>
      <c r="AT93" s="79"/>
      <c r="AU93" s="79"/>
      <c r="AV93" s="79"/>
      <c r="AW93" s="79"/>
      <c r="AX93" s="79"/>
      <c r="AY93" s="79"/>
      <c r="AZ93" s="79"/>
      <c r="BA93" s="79"/>
      <c r="BB93" s="79"/>
      <c r="BC93" s="79"/>
      <c r="BD93" s="79"/>
      <c r="BE93" s="79"/>
      <c r="BF93" s="79"/>
      <c r="BG93" s="79"/>
      <c r="BH93" s="79"/>
      <c r="BK93" s="430">
        <f>BK81*1000-BK87</f>
        <v>569.99999999999818</v>
      </c>
      <c r="BL93" s="431"/>
      <c r="BM93" s="432"/>
      <c r="BN93" s="430">
        <f>BN81*1000-BN87</f>
        <v>0</v>
      </c>
      <c r="BO93" s="431"/>
      <c r="BP93" s="432"/>
      <c r="BQ93" s="430">
        <f>BQ81*1000-BQ87</f>
        <v>0</v>
      </c>
      <c r="BR93" s="431"/>
      <c r="BS93" s="432"/>
      <c r="BT93" s="430">
        <f>BT81*1000-BT87</f>
        <v>0</v>
      </c>
      <c r="BU93" s="431"/>
      <c r="BV93" s="432"/>
      <c r="BW93" s="430">
        <f>BW81*1000-BW87</f>
        <v>0</v>
      </c>
      <c r="BX93" s="431"/>
      <c r="BY93" s="432"/>
      <c r="BZ93" s="430">
        <f>BZ81*1000-BZ87</f>
        <v>0</v>
      </c>
      <c r="CA93" s="431"/>
      <c r="CB93" s="432"/>
      <c r="CC93" s="430">
        <f>CC81*1000-CC87</f>
        <v>0</v>
      </c>
      <c r="CD93" s="431"/>
      <c r="CE93" s="432"/>
      <c r="CF93" s="430">
        <f>CF81*1000-CF87</f>
        <v>0</v>
      </c>
      <c r="CG93" s="431"/>
      <c r="CH93" s="432"/>
      <c r="CI93" s="430">
        <f>CI81*1000-CI87</f>
        <v>0</v>
      </c>
      <c r="CJ93" s="431"/>
      <c r="CK93" s="432"/>
      <c r="CL93" s="430">
        <f>CL81*1000-CL87</f>
        <v>0</v>
      </c>
      <c r="CM93" s="431"/>
      <c r="CN93" s="432"/>
      <c r="CO93" s="430">
        <f>CO81*1000-CO87</f>
        <v>0</v>
      </c>
      <c r="CP93" s="431"/>
      <c r="CQ93" s="432"/>
      <c r="CR93" s="430">
        <f>CR81*1000-CR87</f>
        <v>0</v>
      </c>
      <c r="CS93" s="431"/>
      <c r="CT93" s="432"/>
      <c r="CU93" s="430">
        <f>CU81*1000-CU87</f>
        <v>0</v>
      </c>
      <c r="CV93" s="431"/>
      <c r="CW93" s="432"/>
      <c r="CX93" s="430">
        <f>CX81*1000-CX87</f>
        <v>0</v>
      </c>
      <c r="CY93" s="431"/>
      <c r="CZ93" s="432"/>
      <c r="DA93" s="430">
        <f>DA81*1000-DA87</f>
        <v>0</v>
      </c>
      <c r="DB93" s="431"/>
      <c r="DC93" s="432"/>
      <c r="DD93" s="430">
        <f>DD81*1000-DD87</f>
        <v>0</v>
      </c>
      <c r="DE93" s="431"/>
      <c r="DF93" s="432"/>
      <c r="DG93" s="42"/>
      <c r="DH93" s="436" t="s">
        <v>105</v>
      </c>
      <c r="DI93" s="436"/>
      <c r="DJ93" s="436"/>
      <c r="DK93" s="436"/>
      <c r="DL93" s="436"/>
      <c r="DM93" s="436"/>
      <c r="DN93" s="436"/>
      <c r="DO93" s="436"/>
      <c r="DP93" s="436"/>
      <c r="DQ93" s="436"/>
      <c r="DR93" s="436"/>
      <c r="DS93" s="436"/>
      <c r="DT93" s="436"/>
      <c r="DU93" s="436"/>
      <c r="DV93" s="437"/>
    </row>
    <row r="94" spans="1:126" ht="7.4" customHeight="1" x14ac:dyDescent="0.5">
      <c r="D94" s="79"/>
      <c r="E94" s="79"/>
      <c r="F94" s="79"/>
      <c r="G94" s="79"/>
      <c r="H94" s="79"/>
      <c r="I94" s="79"/>
      <c r="J94" s="79"/>
      <c r="K94" s="79"/>
      <c r="L94" s="79"/>
      <c r="M94" s="79"/>
      <c r="N94" s="79"/>
      <c r="O94" s="79"/>
      <c r="P94" s="79"/>
      <c r="Q94" s="79"/>
      <c r="R94" s="79"/>
      <c r="S94" s="79"/>
      <c r="T94" s="79"/>
      <c r="U94" s="79"/>
      <c r="V94" s="79"/>
      <c r="W94" s="79"/>
      <c r="X94" s="79"/>
      <c r="Y94" s="79"/>
      <c r="Z94" s="79"/>
      <c r="AA94" s="79"/>
      <c r="AB94" s="79"/>
      <c r="AC94" s="79"/>
      <c r="AD94" s="79"/>
      <c r="AE94" s="79"/>
      <c r="AF94" s="79"/>
      <c r="AG94" s="79"/>
      <c r="AH94" s="79"/>
      <c r="AI94" s="79"/>
      <c r="AJ94" s="79"/>
      <c r="AK94" s="79"/>
      <c r="AL94" s="79"/>
      <c r="AM94" s="79"/>
      <c r="AN94" s="79"/>
      <c r="AO94" s="79"/>
      <c r="AP94" s="79"/>
      <c r="AQ94" s="79"/>
      <c r="AR94" s="79"/>
      <c r="AS94" s="79"/>
      <c r="AT94" s="79"/>
      <c r="AU94" s="79"/>
      <c r="AV94" s="79"/>
      <c r="AW94" s="79"/>
      <c r="AX94" s="79"/>
      <c r="AY94" s="79"/>
      <c r="AZ94" s="79"/>
      <c r="BA94" s="79"/>
      <c r="BB94" s="79"/>
      <c r="BC94" s="79"/>
      <c r="BD94" s="79"/>
      <c r="BE94" s="79"/>
      <c r="BF94" s="79"/>
      <c r="BG94" s="79"/>
      <c r="BH94" s="79"/>
      <c r="BK94" s="433"/>
      <c r="BL94" s="434"/>
      <c r="BM94" s="435"/>
      <c r="BN94" s="433"/>
      <c r="BO94" s="434"/>
      <c r="BP94" s="435"/>
      <c r="BQ94" s="433"/>
      <c r="BR94" s="434"/>
      <c r="BS94" s="435"/>
      <c r="BT94" s="433"/>
      <c r="BU94" s="434"/>
      <c r="BV94" s="435"/>
      <c r="BW94" s="433"/>
      <c r="BX94" s="434"/>
      <c r="BY94" s="435"/>
      <c r="BZ94" s="433"/>
      <c r="CA94" s="434"/>
      <c r="CB94" s="435"/>
      <c r="CC94" s="433"/>
      <c r="CD94" s="434"/>
      <c r="CE94" s="435"/>
      <c r="CF94" s="433"/>
      <c r="CG94" s="434"/>
      <c r="CH94" s="435"/>
      <c r="CI94" s="433"/>
      <c r="CJ94" s="434"/>
      <c r="CK94" s="435"/>
      <c r="CL94" s="433"/>
      <c r="CM94" s="434"/>
      <c r="CN94" s="435"/>
      <c r="CO94" s="433"/>
      <c r="CP94" s="434"/>
      <c r="CQ94" s="435"/>
      <c r="CR94" s="433"/>
      <c r="CS94" s="434"/>
      <c r="CT94" s="435"/>
      <c r="CU94" s="433"/>
      <c r="CV94" s="434"/>
      <c r="CW94" s="435"/>
      <c r="CX94" s="433"/>
      <c r="CY94" s="434"/>
      <c r="CZ94" s="435"/>
      <c r="DA94" s="433"/>
      <c r="DB94" s="434"/>
      <c r="DC94" s="435"/>
      <c r="DD94" s="433"/>
      <c r="DE94" s="434"/>
      <c r="DF94" s="435"/>
      <c r="DG94" s="50"/>
      <c r="DH94" s="438"/>
      <c r="DI94" s="438"/>
      <c r="DJ94" s="438"/>
      <c r="DK94" s="438"/>
      <c r="DL94" s="438"/>
      <c r="DM94" s="438"/>
      <c r="DN94" s="438"/>
      <c r="DO94" s="438"/>
      <c r="DP94" s="438"/>
      <c r="DQ94" s="438"/>
      <c r="DR94" s="438"/>
      <c r="DS94" s="438"/>
      <c r="DT94" s="438"/>
      <c r="DU94" s="438"/>
      <c r="DV94" s="439"/>
    </row>
    <row r="95" spans="1:126" ht="7.4" customHeight="1" x14ac:dyDescent="0.5">
      <c r="D95" s="79"/>
      <c r="E95" s="79"/>
      <c r="F95" s="79"/>
      <c r="G95" s="79"/>
      <c r="H95" s="79"/>
      <c r="I95" s="79"/>
      <c r="J95" s="79"/>
      <c r="K95" s="79"/>
      <c r="L95" s="79"/>
      <c r="M95" s="79"/>
      <c r="N95" s="79"/>
      <c r="O95" s="79"/>
      <c r="P95" s="79"/>
      <c r="Q95" s="79"/>
      <c r="R95" s="79"/>
      <c r="S95" s="79"/>
      <c r="T95" s="79"/>
      <c r="U95" s="79"/>
      <c r="V95" s="79"/>
      <c r="W95" s="79"/>
      <c r="X95" s="79"/>
      <c r="Y95" s="79"/>
      <c r="Z95" s="79"/>
      <c r="AA95" s="79"/>
      <c r="AB95" s="79"/>
      <c r="AC95" s="79"/>
      <c r="AD95" s="79"/>
      <c r="AE95" s="79"/>
      <c r="AF95" s="79"/>
      <c r="AG95" s="79"/>
      <c r="AH95" s="79"/>
      <c r="AI95" s="79"/>
      <c r="AJ95" s="79"/>
      <c r="AK95" s="79"/>
      <c r="AL95" s="79"/>
      <c r="AM95" s="79"/>
      <c r="AN95" s="79"/>
      <c r="AO95" s="79"/>
      <c r="AP95" s="79"/>
      <c r="AQ95" s="79"/>
      <c r="AR95" s="79"/>
      <c r="AS95" s="79"/>
      <c r="AT95" s="79"/>
      <c r="AU95" s="79"/>
      <c r="AV95" s="79"/>
      <c r="AW95" s="79"/>
      <c r="AX95" s="79"/>
      <c r="AY95" s="79"/>
      <c r="AZ95" s="79"/>
      <c r="BA95" s="79"/>
      <c r="BB95" s="79"/>
      <c r="BC95" s="79"/>
      <c r="BD95" s="79"/>
      <c r="BE95" s="79"/>
      <c r="BF95" s="79"/>
      <c r="BG95" s="79"/>
      <c r="BH95" s="79"/>
      <c r="BK95" s="183"/>
      <c r="BL95" s="183"/>
      <c r="BM95" s="183"/>
      <c r="BN95" s="183"/>
      <c r="BO95" s="183"/>
      <c r="BP95" s="183"/>
      <c r="BQ95" s="183"/>
      <c r="BR95" s="183"/>
      <c r="BS95" s="183"/>
      <c r="BT95" s="183"/>
      <c r="BU95" s="183"/>
      <c r="BV95" s="183"/>
      <c r="BW95" s="183"/>
      <c r="BX95" s="183"/>
      <c r="BY95" s="183"/>
      <c r="BZ95" s="183"/>
      <c r="CA95" s="183"/>
      <c r="CB95" s="183"/>
      <c r="CC95" s="183"/>
      <c r="CD95" s="183"/>
      <c r="CE95" s="183"/>
      <c r="CF95" s="183"/>
      <c r="CG95" s="183"/>
      <c r="CH95" s="183"/>
      <c r="CI95" s="183"/>
      <c r="CJ95" s="183"/>
      <c r="CK95" s="183"/>
      <c r="CL95" s="183"/>
      <c r="CM95" s="183"/>
      <c r="CN95" s="183"/>
      <c r="CO95" s="183"/>
      <c r="CP95" s="183"/>
      <c r="CQ95" s="183"/>
      <c r="CR95" s="183"/>
      <c r="CS95" s="183"/>
      <c r="CT95" s="183"/>
      <c r="CU95" s="183"/>
      <c r="CV95" s="183"/>
      <c r="CW95" s="183"/>
      <c r="CX95" s="183"/>
      <c r="CY95" s="183"/>
      <c r="CZ95" s="183"/>
      <c r="DA95" s="183"/>
      <c r="DB95" s="183"/>
      <c r="DC95" s="183"/>
      <c r="DD95" s="183"/>
      <c r="DE95" s="183"/>
      <c r="DF95" s="183"/>
      <c r="DH95" s="182"/>
      <c r="DI95" s="182"/>
      <c r="DJ95" s="182"/>
      <c r="DK95" s="182"/>
      <c r="DL95" s="182"/>
      <c r="DM95" s="182"/>
      <c r="DN95" s="182"/>
      <c r="DO95" s="182"/>
      <c r="DP95" s="182"/>
      <c r="DQ95" s="182"/>
      <c r="DR95" s="182"/>
      <c r="DS95" s="182"/>
      <c r="DT95" s="182"/>
      <c r="DU95" s="182"/>
      <c r="DV95" s="182"/>
    </row>
    <row r="96" spans="1:126" ht="7.4" customHeight="1" x14ac:dyDescent="0.5">
      <c r="D96" s="79"/>
      <c r="E96" s="79"/>
      <c r="F96" s="79"/>
      <c r="G96" s="79"/>
      <c r="H96" s="79"/>
      <c r="I96" s="79"/>
      <c r="J96" s="79"/>
      <c r="K96" s="79"/>
      <c r="L96" s="79"/>
      <c r="M96" s="79"/>
      <c r="N96" s="79"/>
      <c r="O96" s="79"/>
      <c r="P96" s="79"/>
      <c r="Q96" s="79"/>
      <c r="R96" s="79"/>
      <c r="S96" s="79"/>
      <c r="T96" s="79"/>
      <c r="U96" s="79"/>
      <c r="V96" s="79"/>
      <c r="W96" s="79"/>
      <c r="X96" s="79"/>
      <c r="Y96" s="79"/>
      <c r="Z96" s="79"/>
      <c r="AA96" s="79"/>
      <c r="AB96" s="79"/>
      <c r="AC96" s="79"/>
      <c r="AD96" s="79"/>
      <c r="AE96" s="79"/>
      <c r="AF96" s="79"/>
      <c r="AG96" s="79"/>
      <c r="AH96" s="79"/>
      <c r="AI96" s="79"/>
      <c r="AJ96" s="79"/>
      <c r="AK96" s="79"/>
      <c r="AL96" s="79"/>
      <c r="AM96" s="79"/>
      <c r="AN96" s="79"/>
      <c r="AO96" s="79"/>
      <c r="AP96" s="79"/>
      <c r="AQ96" s="79"/>
      <c r="AR96" s="79"/>
      <c r="AS96" s="79"/>
      <c r="AT96" s="79"/>
      <c r="AU96" s="79"/>
      <c r="AV96" s="79"/>
      <c r="AW96" s="79"/>
      <c r="AX96" s="79"/>
      <c r="AY96" s="79"/>
      <c r="AZ96" s="79"/>
      <c r="BA96" s="79"/>
      <c r="BB96" s="79"/>
      <c r="BC96" s="79"/>
      <c r="BD96" s="79"/>
      <c r="BE96" s="79"/>
      <c r="BF96" s="79"/>
      <c r="BG96" s="79"/>
      <c r="BH96" s="79"/>
      <c r="BK96" s="183"/>
      <c r="BL96" s="183"/>
      <c r="BM96" s="183"/>
      <c r="BN96" s="183"/>
      <c r="BO96" s="183"/>
      <c r="BP96" s="183"/>
      <c r="BQ96" s="183"/>
      <c r="BR96" s="183"/>
      <c r="BS96" s="183"/>
      <c r="BT96" s="183"/>
      <c r="BU96" s="183"/>
      <c r="BV96" s="183"/>
      <c r="BW96" s="183"/>
      <c r="BX96" s="183"/>
      <c r="BY96" s="183"/>
      <c r="BZ96" s="183"/>
      <c r="CA96" s="183"/>
      <c r="CB96" s="183"/>
      <c r="CC96" s="183"/>
      <c r="CD96" s="183"/>
      <c r="CE96" s="183"/>
      <c r="CF96" s="183"/>
      <c r="CG96" s="183"/>
      <c r="CH96" s="183"/>
      <c r="CI96" s="183"/>
      <c r="CJ96" s="183"/>
      <c r="CK96" s="183"/>
      <c r="CL96" s="183"/>
      <c r="CM96" s="183"/>
      <c r="CN96" s="183"/>
      <c r="CO96" s="183"/>
      <c r="CP96" s="183"/>
      <c r="CQ96" s="183"/>
      <c r="CR96" s="183"/>
      <c r="CS96" s="183"/>
      <c r="CT96" s="183"/>
      <c r="CU96" s="183"/>
      <c r="CV96" s="183"/>
      <c r="CW96" s="183"/>
      <c r="CX96" s="183"/>
      <c r="CY96" s="183"/>
      <c r="CZ96" s="183"/>
      <c r="DA96" s="183"/>
      <c r="DB96" s="183"/>
      <c r="DC96" s="183"/>
      <c r="DD96" s="183"/>
      <c r="DE96" s="183"/>
      <c r="DF96" s="183"/>
      <c r="DH96" s="182"/>
      <c r="DI96" s="182"/>
      <c r="DJ96" s="182"/>
      <c r="DK96" s="182"/>
      <c r="DL96" s="182"/>
      <c r="DM96" s="182"/>
      <c r="DN96" s="182"/>
      <c r="DO96" s="182"/>
      <c r="DP96" s="182"/>
      <c r="DQ96" s="182"/>
      <c r="DR96" s="182"/>
      <c r="DS96" s="182"/>
      <c r="DT96" s="182"/>
      <c r="DU96" s="182"/>
      <c r="DV96" s="182"/>
    </row>
    <row r="97" spans="1:343" ht="7.4" customHeight="1" x14ac:dyDescent="0.5">
      <c r="D97" s="79"/>
      <c r="E97" s="79"/>
      <c r="F97" s="79"/>
      <c r="G97" s="79"/>
      <c r="H97" s="79"/>
      <c r="I97" s="79"/>
      <c r="J97" s="79"/>
      <c r="K97" s="79"/>
      <c r="L97" s="79"/>
      <c r="M97" s="79"/>
      <c r="N97" s="79"/>
      <c r="O97" s="79"/>
      <c r="P97" s="79"/>
      <c r="Q97" s="79"/>
      <c r="R97" s="79"/>
      <c r="S97" s="79"/>
      <c r="T97" s="79"/>
      <c r="U97" s="79"/>
      <c r="V97" s="79"/>
      <c r="W97" s="79"/>
      <c r="X97" s="79"/>
      <c r="Y97" s="79"/>
      <c r="Z97" s="79"/>
      <c r="AA97" s="79"/>
      <c r="AB97" s="79"/>
      <c r="AC97" s="79"/>
      <c r="AD97" s="79"/>
      <c r="AE97" s="79"/>
      <c r="AF97" s="79"/>
      <c r="AG97" s="79"/>
      <c r="AH97" s="79"/>
      <c r="AI97" s="79"/>
      <c r="AJ97" s="79"/>
      <c r="AK97" s="79"/>
      <c r="AL97" s="79"/>
      <c r="AM97" s="79"/>
      <c r="AN97" s="79"/>
      <c r="AO97" s="79"/>
      <c r="AP97" s="79"/>
      <c r="AQ97" s="79"/>
      <c r="AR97" s="79"/>
      <c r="AS97" s="79"/>
      <c r="AT97" s="79"/>
      <c r="AU97" s="79"/>
      <c r="AV97" s="79"/>
      <c r="AW97" s="79"/>
      <c r="AX97" s="79"/>
      <c r="AY97" s="79"/>
      <c r="AZ97" s="79"/>
      <c r="BA97" s="79"/>
      <c r="BB97" s="79"/>
      <c r="BC97" s="79"/>
      <c r="BD97" s="79"/>
      <c r="BE97" s="79"/>
      <c r="BF97" s="79"/>
      <c r="BG97" s="79"/>
      <c r="BH97" s="79"/>
      <c r="BK97" s="183"/>
      <c r="BL97" s="183"/>
      <c r="BM97" s="183"/>
      <c r="BN97" s="183"/>
      <c r="BO97" s="183"/>
      <c r="BP97" s="183"/>
      <c r="BQ97" s="183"/>
      <c r="BR97" s="183"/>
      <c r="BS97" s="183"/>
      <c r="BT97" s="183"/>
      <c r="BU97" s="183"/>
      <c r="BV97" s="183"/>
      <c r="BW97" s="183"/>
      <c r="BX97" s="183"/>
      <c r="BY97" s="183"/>
      <c r="BZ97" s="183"/>
      <c r="CA97" s="183"/>
      <c r="CB97" s="183"/>
      <c r="CC97" s="183"/>
      <c r="CD97" s="183"/>
      <c r="CE97" s="183"/>
      <c r="CF97" s="183"/>
      <c r="CG97" s="183"/>
      <c r="CH97" s="183"/>
      <c r="CI97" s="183"/>
      <c r="CJ97" s="183"/>
      <c r="CK97" s="183"/>
      <c r="CL97" s="183"/>
      <c r="CM97" s="183"/>
      <c r="CN97" s="183"/>
      <c r="CO97" s="183"/>
      <c r="CP97" s="183"/>
      <c r="CQ97" s="183"/>
      <c r="CR97" s="183"/>
      <c r="CS97" s="183"/>
      <c r="CT97" s="183"/>
      <c r="CU97" s="183"/>
      <c r="CV97" s="183"/>
      <c r="CW97" s="183"/>
      <c r="CX97" s="183"/>
      <c r="CY97" s="183"/>
      <c r="CZ97" s="183"/>
      <c r="DA97" s="183"/>
      <c r="DB97" s="183"/>
      <c r="DC97" s="183"/>
      <c r="DD97" s="183"/>
      <c r="DE97" s="183"/>
      <c r="DF97" s="183"/>
      <c r="DH97" s="182"/>
      <c r="DI97" s="182"/>
      <c r="DJ97" s="182"/>
      <c r="DK97" s="182"/>
      <c r="DL97" s="182"/>
      <c r="DM97" s="182"/>
      <c r="DN97" s="182"/>
      <c r="DO97" s="182"/>
      <c r="DP97" s="182"/>
      <c r="DQ97" s="182"/>
      <c r="DR97" s="182"/>
      <c r="DS97" s="182"/>
      <c r="DT97" s="182"/>
      <c r="DU97" s="182"/>
      <c r="DV97" s="182"/>
    </row>
    <row r="98" spans="1:343" ht="7.4" customHeight="1" x14ac:dyDescent="0.5">
      <c r="D98" s="79"/>
      <c r="E98" s="79"/>
      <c r="F98" s="79"/>
      <c r="G98" s="79"/>
      <c r="H98" s="79"/>
      <c r="I98" s="79"/>
      <c r="J98" s="79"/>
      <c r="K98" s="79"/>
      <c r="L98" s="79"/>
      <c r="M98" s="79"/>
      <c r="N98" s="79"/>
      <c r="O98" s="79"/>
      <c r="P98" s="79"/>
      <c r="Q98" s="79"/>
      <c r="R98" s="79"/>
      <c r="S98" s="79"/>
      <c r="T98" s="79"/>
      <c r="U98" s="79"/>
      <c r="V98" s="79"/>
      <c r="W98" s="79"/>
      <c r="X98" s="79"/>
      <c r="Y98" s="79"/>
      <c r="Z98" s="79"/>
      <c r="AA98" s="79"/>
      <c r="AB98" s="79"/>
      <c r="AC98" s="79"/>
      <c r="AD98" s="79"/>
      <c r="AE98" s="79"/>
      <c r="AF98" s="79"/>
      <c r="AG98" s="79"/>
      <c r="AH98" s="79"/>
      <c r="AI98" s="79"/>
      <c r="AJ98" s="79"/>
      <c r="AK98" s="79"/>
      <c r="AL98" s="79"/>
      <c r="AM98" s="79"/>
      <c r="AN98" s="79"/>
      <c r="AO98" s="79"/>
      <c r="AP98" s="79"/>
      <c r="AQ98" s="79"/>
      <c r="AR98" s="79"/>
      <c r="AS98" s="79"/>
      <c r="AT98" s="79"/>
      <c r="AU98" s="79"/>
      <c r="AV98" s="79"/>
      <c r="AW98" s="79"/>
      <c r="AX98" s="79"/>
      <c r="AY98" s="79"/>
      <c r="AZ98" s="79"/>
      <c r="BA98" s="79"/>
      <c r="BB98" s="79"/>
      <c r="BC98" s="79"/>
      <c r="BD98" s="79"/>
      <c r="BE98" s="79"/>
      <c r="BF98" s="79"/>
      <c r="BG98" s="79"/>
      <c r="BH98" s="79"/>
      <c r="BK98" s="183"/>
      <c r="BL98" s="183"/>
      <c r="BM98" s="183"/>
      <c r="BN98" s="183"/>
      <c r="BO98" s="183"/>
      <c r="BP98" s="183"/>
      <c r="BQ98" s="183"/>
      <c r="BR98" s="183"/>
      <c r="BS98" s="183"/>
      <c r="BT98" s="183"/>
      <c r="BU98" s="183"/>
      <c r="BV98" s="183"/>
      <c r="BW98" s="183"/>
      <c r="BX98" s="183"/>
      <c r="BY98" s="183"/>
      <c r="BZ98" s="183"/>
      <c r="CA98" s="183"/>
      <c r="CB98" s="183"/>
      <c r="CC98" s="183"/>
      <c r="CD98" s="183"/>
      <c r="CE98" s="183"/>
      <c r="CF98" s="183"/>
      <c r="CG98" s="183"/>
      <c r="CH98" s="183"/>
      <c r="CI98" s="183"/>
      <c r="CJ98" s="183"/>
      <c r="CK98" s="183"/>
      <c r="CL98" s="183"/>
      <c r="CM98" s="183"/>
      <c r="CN98" s="183"/>
      <c r="CO98" s="183"/>
      <c r="CP98" s="183"/>
      <c r="CQ98" s="183"/>
      <c r="CR98" s="183"/>
      <c r="CS98" s="183"/>
      <c r="CT98" s="183"/>
      <c r="CU98" s="183"/>
      <c r="CV98" s="183"/>
      <c r="CW98" s="183"/>
      <c r="CX98" s="183"/>
      <c r="CY98" s="183"/>
      <c r="CZ98" s="183"/>
      <c r="DA98" s="183"/>
      <c r="DB98" s="183"/>
      <c r="DC98" s="183"/>
      <c r="DD98" s="183"/>
      <c r="DE98" s="183"/>
      <c r="DF98" s="183"/>
      <c r="DH98" s="182"/>
      <c r="DI98" s="182"/>
      <c r="DJ98" s="182"/>
      <c r="DK98" s="182"/>
      <c r="DL98" s="182"/>
      <c r="DM98" s="182"/>
      <c r="DN98" s="182"/>
      <c r="DO98" s="182"/>
      <c r="DP98" s="182"/>
      <c r="DQ98" s="182"/>
      <c r="DR98" s="182"/>
      <c r="DS98" s="182"/>
      <c r="DT98" s="182"/>
      <c r="DU98" s="182"/>
      <c r="DV98" s="182"/>
    </row>
    <row r="99" spans="1:343" ht="7.4" customHeight="1" x14ac:dyDescent="0.5">
      <c r="D99" s="79"/>
      <c r="E99" s="79"/>
      <c r="F99" s="79"/>
      <c r="G99" s="79"/>
      <c r="H99" s="79"/>
      <c r="I99" s="79"/>
      <c r="J99" s="79"/>
      <c r="K99" s="79"/>
      <c r="L99" s="79"/>
      <c r="M99" s="79"/>
      <c r="N99" s="79"/>
      <c r="O99" s="79"/>
      <c r="P99" s="79"/>
      <c r="Q99" s="79"/>
      <c r="R99" s="79"/>
      <c r="S99" s="79"/>
      <c r="T99" s="79"/>
      <c r="U99" s="79"/>
      <c r="V99" s="79"/>
      <c r="W99" s="79"/>
      <c r="X99" s="79"/>
      <c r="Y99" s="79"/>
      <c r="Z99" s="79"/>
      <c r="AA99" s="79"/>
      <c r="AB99" s="79"/>
      <c r="AC99" s="79"/>
      <c r="AD99" s="79"/>
      <c r="AE99" s="79"/>
      <c r="AF99" s="79"/>
      <c r="AG99" s="79"/>
      <c r="AH99" s="79"/>
      <c r="AI99" s="79"/>
      <c r="AJ99" s="79"/>
      <c r="AK99" s="79"/>
      <c r="AL99" s="79"/>
      <c r="AM99" s="79"/>
      <c r="AN99" s="79"/>
      <c r="AO99" s="79"/>
      <c r="AP99" s="79"/>
      <c r="AQ99" s="79"/>
      <c r="AR99" s="79"/>
      <c r="AS99" s="79"/>
      <c r="AT99" s="79"/>
      <c r="AU99" s="79"/>
      <c r="AV99" s="79"/>
      <c r="AW99" s="79"/>
      <c r="AX99" s="79"/>
      <c r="AY99" s="79"/>
      <c r="AZ99" s="79"/>
      <c r="BA99" s="79"/>
      <c r="BB99" s="79"/>
      <c r="BC99" s="79"/>
      <c r="BD99" s="79"/>
      <c r="BE99" s="79"/>
      <c r="BF99" s="79"/>
      <c r="BG99" s="79"/>
      <c r="BH99" s="79"/>
      <c r="BK99" s="183"/>
      <c r="BL99" s="183"/>
      <c r="BM99" s="183"/>
      <c r="BN99" s="183"/>
      <c r="BO99" s="183"/>
      <c r="BP99" s="183"/>
      <c r="BQ99" s="183"/>
      <c r="BR99" s="183"/>
      <c r="BS99" s="183"/>
      <c r="BT99" s="183"/>
      <c r="BU99" s="183"/>
      <c r="BV99" s="183"/>
      <c r="BW99" s="183"/>
      <c r="BX99" s="183"/>
      <c r="BY99" s="183"/>
      <c r="BZ99" s="183"/>
      <c r="CA99" s="183"/>
      <c r="CB99" s="183"/>
      <c r="CC99" s="183"/>
      <c r="CD99" s="183"/>
      <c r="CE99" s="183"/>
      <c r="CF99" s="183"/>
      <c r="CG99" s="183"/>
      <c r="CH99" s="183"/>
      <c r="CI99" s="183"/>
      <c r="CJ99" s="183"/>
      <c r="CK99" s="183"/>
      <c r="CL99" s="183"/>
      <c r="CM99" s="183"/>
      <c r="CN99" s="183"/>
      <c r="CO99" s="183"/>
      <c r="CP99" s="183"/>
      <c r="CQ99" s="183"/>
      <c r="CR99" s="183"/>
      <c r="CS99" s="183"/>
      <c r="CT99" s="183"/>
      <c r="CU99" s="183"/>
      <c r="CV99" s="183"/>
      <c r="CW99" s="183"/>
      <c r="CX99" s="183"/>
      <c r="CY99" s="183"/>
      <c r="CZ99" s="183"/>
      <c r="DA99" s="183"/>
      <c r="DB99" s="183"/>
      <c r="DC99" s="183"/>
      <c r="DD99" s="183"/>
      <c r="DE99" s="183"/>
      <c r="DF99" s="183"/>
      <c r="DH99" s="182"/>
      <c r="DI99" s="182"/>
      <c r="DJ99" s="182"/>
      <c r="DK99" s="182"/>
      <c r="DL99" s="182"/>
      <c r="DM99" s="182"/>
      <c r="DN99" s="182"/>
      <c r="DO99" s="182"/>
      <c r="DP99" s="182"/>
      <c r="DQ99" s="182"/>
      <c r="DR99" s="182"/>
      <c r="DS99" s="182"/>
      <c r="DT99" s="182"/>
      <c r="DU99" s="182"/>
      <c r="DV99" s="182"/>
    </row>
    <row r="100" spans="1:343" ht="7.4" customHeight="1" x14ac:dyDescent="0.5">
      <c r="D100" s="79"/>
      <c r="E100" s="79"/>
      <c r="F100" s="79"/>
      <c r="G100" s="79"/>
      <c r="H100" s="79"/>
      <c r="I100" s="79"/>
      <c r="J100" s="79"/>
      <c r="K100" s="79"/>
      <c r="L100" s="79"/>
      <c r="M100" s="79"/>
      <c r="N100" s="79"/>
      <c r="O100" s="79"/>
      <c r="P100" s="79"/>
      <c r="Q100" s="79"/>
      <c r="R100" s="79"/>
      <c r="S100" s="79"/>
      <c r="T100" s="79"/>
      <c r="U100" s="79"/>
      <c r="V100" s="79"/>
      <c r="W100" s="79"/>
      <c r="X100" s="79"/>
      <c r="Y100" s="79"/>
      <c r="Z100" s="79"/>
      <c r="AA100" s="79"/>
      <c r="AB100" s="79"/>
      <c r="AC100" s="79"/>
      <c r="AD100" s="79"/>
      <c r="AE100" s="79"/>
      <c r="AF100" s="79"/>
      <c r="AG100" s="79"/>
      <c r="AH100" s="79"/>
      <c r="AI100" s="79"/>
      <c r="AJ100" s="79"/>
      <c r="AK100" s="79"/>
      <c r="AL100" s="79"/>
      <c r="AM100" s="79"/>
      <c r="AN100" s="79"/>
      <c r="AO100" s="79"/>
      <c r="AP100" s="79"/>
      <c r="AQ100" s="79"/>
      <c r="AR100" s="79"/>
      <c r="AS100" s="79"/>
      <c r="AT100" s="79"/>
      <c r="AU100" s="79"/>
      <c r="AV100" s="79"/>
      <c r="AW100" s="79"/>
      <c r="AX100" s="79"/>
      <c r="AY100" s="79"/>
      <c r="AZ100" s="79"/>
      <c r="BA100" s="79"/>
      <c r="BB100" s="79"/>
      <c r="BC100" s="79"/>
      <c r="BD100" s="79"/>
      <c r="BE100" s="79"/>
      <c r="BF100" s="79"/>
      <c r="BG100" s="79"/>
      <c r="BH100" s="79"/>
      <c r="BK100" s="183"/>
      <c r="BL100" s="183"/>
      <c r="BM100" s="183"/>
      <c r="BN100" s="183"/>
      <c r="BO100" s="183"/>
      <c r="BP100" s="183"/>
      <c r="BQ100" s="183"/>
      <c r="BR100" s="183"/>
      <c r="BS100" s="183"/>
      <c r="BT100" s="183"/>
      <c r="BU100" s="183"/>
      <c r="BV100" s="183"/>
      <c r="BW100" s="183"/>
      <c r="BX100" s="183"/>
      <c r="BY100" s="183"/>
      <c r="BZ100" s="183"/>
      <c r="CA100" s="183"/>
      <c r="CB100" s="183"/>
      <c r="CC100" s="183"/>
      <c r="CD100" s="183"/>
      <c r="CE100" s="183"/>
      <c r="CF100" s="183"/>
      <c r="CG100" s="183"/>
      <c r="CH100" s="183"/>
      <c r="CI100" s="183"/>
      <c r="CJ100" s="183"/>
      <c r="CK100" s="183"/>
      <c r="CL100" s="183"/>
      <c r="CM100" s="183"/>
      <c r="CN100" s="183"/>
      <c r="CO100" s="183"/>
      <c r="CP100" s="183"/>
      <c r="CQ100" s="183"/>
      <c r="CR100" s="183"/>
      <c r="CS100" s="183"/>
      <c r="CT100" s="183"/>
      <c r="CU100" s="183"/>
      <c r="CV100" s="183"/>
      <c r="CW100" s="183"/>
      <c r="CX100" s="183"/>
      <c r="CY100" s="183"/>
      <c r="CZ100" s="183"/>
      <c r="DA100" s="183"/>
      <c r="DB100" s="183"/>
      <c r="DC100" s="183"/>
      <c r="DD100" s="183"/>
      <c r="DE100" s="183"/>
      <c r="DF100" s="183"/>
      <c r="DH100" s="182"/>
      <c r="DI100" s="182"/>
      <c r="DJ100" s="182"/>
      <c r="DK100" s="182"/>
      <c r="DL100" s="182"/>
      <c r="DM100" s="182"/>
      <c r="DN100" s="182"/>
      <c r="DO100" s="182"/>
      <c r="DP100" s="182"/>
      <c r="DQ100" s="182"/>
      <c r="DR100" s="182"/>
      <c r="DS100" s="182"/>
      <c r="DT100" s="182"/>
      <c r="DU100" s="182"/>
      <c r="DV100" s="182"/>
    </row>
    <row r="101" spans="1:343" ht="7.4" customHeight="1" x14ac:dyDescent="0.5">
      <c r="D101" s="79"/>
      <c r="E101" s="79"/>
      <c r="F101" s="79"/>
      <c r="G101" s="79"/>
      <c r="H101" s="79"/>
      <c r="I101" s="79"/>
      <c r="J101" s="79"/>
      <c r="K101" s="79"/>
      <c r="L101" s="79"/>
      <c r="M101" s="79"/>
      <c r="N101" s="79"/>
      <c r="O101" s="79"/>
      <c r="P101" s="79"/>
      <c r="Q101" s="79"/>
      <c r="R101" s="79"/>
      <c r="S101" s="79"/>
      <c r="T101" s="79"/>
      <c r="U101" s="79"/>
      <c r="V101" s="79"/>
      <c r="W101" s="79"/>
      <c r="X101" s="79"/>
      <c r="Y101" s="79"/>
      <c r="Z101" s="79"/>
      <c r="AA101" s="79"/>
      <c r="AB101" s="79"/>
      <c r="AC101" s="79"/>
      <c r="AD101" s="79"/>
      <c r="AE101" s="79"/>
      <c r="AF101" s="79"/>
      <c r="AG101" s="79"/>
      <c r="AH101" s="79"/>
      <c r="AI101" s="79"/>
      <c r="AJ101" s="79"/>
      <c r="AK101" s="79"/>
      <c r="AL101" s="79"/>
      <c r="AM101" s="79"/>
      <c r="AN101" s="79"/>
      <c r="AO101" s="79"/>
      <c r="AP101" s="79"/>
      <c r="AQ101" s="79"/>
      <c r="AR101" s="79"/>
      <c r="AS101" s="79"/>
      <c r="AT101" s="79"/>
      <c r="AU101" s="79"/>
      <c r="AV101" s="79"/>
      <c r="AW101" s="79"/>
      <c r="AX101" s="79"/>
      <c r="AY101" s="79"/>
      <c r="AZ101" s="79"/>
      <c r="BA101" s="79"/>
      <c r="BB101" s="79"/>
      <c r="BC101" s="79"/>
      <c r="BD101" s="79"/>
      <c r="BE101" s="79"/>
      <c r="BF101" s="79"/>
      <c r="BG101" s="79"/>
      <c r="BH101" s="79"/>
      <c r="BK101" s="183"/>
      <c r="BL101" s="183"/>
      <c r="BM101" s="183"/>
      <c r="BN101" s="183"/>
      <c r="BO101" s="183"/>
      <c r="BP101" s="183"/>
      <c r="BQ101" s="183"/>
      <c r="BR101" s="183"/>
      <c r="BS101" s="183"/>
      <c r="BT101" s="183"/>
      <c r="BU101" s="183"/>
      <c r="BV101" s="183"/>
      <c r="BW101" s="183"/>
      <c r="BX101" s="183"/>
      <c r="BY101" s="183"/>
      <c r="BZ101" s="183"/>
      <c r="CA101" s="183"/>
      <c r="CB101" s="183"/>
      <c r="CC101" s="183"/>
      <c r="CD101" s="183"/>
      <c r="CE101" s="183"/>
      <c r="CF101" s="183"/>
      <c r="CG101" s="183"/>
      <c r="CH101" s="183"/>
      <c r="CI101" s="183"/>
      <c r="CJ101" s="183"/>
      <c r="CK101" s="183"/>
      <c r="CL101" s="183"/>
      <c r="CM101" s="183"/>
      <c r="CN101" s="183"/>
      <c r="CO101" s="183"/>
      <c r="CP101" s="183"/>
      <c r="CQ101" s="183"/>
      <c r="CR101" s="183"/>
      <c r="CS101" s="183"/>
      <c r="CT101" s="183"/>
      <c r="CU101" s="183"/>
      <c r="CV101" s="183"/>
      <c r="CW101" s="183"/>
      <c r="CX101" s="183"/>
      <c r="CY101" s="183"/>
      <c r="CZ101" s="183"/>
      <c r="DA101" s="183"/>
      <c r="DB101" s="183"/>
      <c r="DC101" s="183"/>
      <c r="DD101" s="183"/>
      <c r="DE101" s="183"/>
      <c r="DF101" s="183"/>
      <c r="DH101" s="182"/>
      <c r="DI101" s="182"/>
      <c r="DJ101" s="182"/>
      <c r="DK101" s="182"/>
      <c r="DL101" s="182"/>
      <c r="DM101" s="182"/>
      <c r="DN101" s="182"/>
      <c r="DO101" s="182"/>
      <c r="DP101" s="182"/>
      <c r="DQ101" s="182"/>
      <c r="DR101" s="182"/>
      <c r="DS101" s="182"/>
      <c r="DT101" s="182"/>
      <c r="DU101" s="182"/>
      <c r="DV101" s="182"/>
    </row>
    <row r="102" spans="1:343" ht="7.4" customHeight="1" x14ac:dyDescent="0.5">
      <c r="D102" s="79"/>
      <c r="E102" s="79"/>
      <c r="F102" s="79"/>
      <c r="G102" s="79"/>
      <c r="H102" s="79"/>
      <c r="I102" s="79"/>
      <c r="J102" s="79"/>
      <c r="K102" s="79"/>
      <c r="L102" s="79"/>
      <c r="M102" s="79"/>
      <c r="N102" s="79"/>
      <c r="O102" s="79"/>
      <c r="P102" s="79"/>
      <c r="Q102" s="79"/>
      <c r="R102" s="79"/>
      <c r="S102" s="79"/>
      <c r="T102" s="79"/>
      <c r="U102" s="79"/>
      <c r="V102" s="79"/>
      <c r="W102" s="79"/>
      <c r="X102" s="79"/>
      <c r="Y102" s="79"/>
      <c r="Z102" s="79"/>
      <c r="AA102" s="79"/>
      <c r="AB102" s="79"/>
      <c r="AC102" s="79"/>
      <c r="AD102" s="79"/>
      <c r="AE102" s="79"/>
      <c r="AF102" s="79"/>
      <c r="AG102" s="79"/>
      <c r="AH102" s="79"/>
      <c r="AI102" s="79"/>
      <c r="AJ102" s="79"/>
      <c r="AK102" s="79"/>
      <c r="AL102" s="79"/>
      <c r="AM102" s="79"/>
      <c r="AN102" s="79"/>
      <c r="AO102" s="79"/>
      <c r="AP102" s="79"/>
      <c r="AQ102" s="79"/>
      <c r="AR102" s="79"/>
      <c r="AS102" s="79"/>
      <c r="AT102" s="79"/>
      <c r="AU102" s="79"/>
      <c r="AV102" s="79"/>
      <c r="AW102" s="79"/>
      <c r="AX102" s="79"/>
      <c r="AY102" s="79"/>
      <c r="AZ102" s="79"/>
      <c r="BA102" s="79"/>
      <c r="BB102" s="79"/>
      <c r="BC102" s="79"/>
      <c r="BD102" s="79"/>
      <c r="BE102" s="79"/>
      <c r="BF102" s="79"/>
      <c r="BG102" s="79"/>
      <c r="BH102" s="79"/>
      <c r="BK102" s="183"/>
      <c r="BL102" s="183"/>
      <c r="BM102" s="183"/>
      <c r="BN102" s="183"/>
      <c r="BO102" s="183"/>
      <c r="BP102" s="183"/>
      <c r="BQ102" s="183"/>
      <c r="BR102" s="183"/>
      <c r="BS102" s="183"/>
      <c r="BT102" s="183"/>
      <c r="BU102" s="183"/>
      <c r="BV102" s="183"/>
      <c r="BW102" s="183"/>
      <c r="BX102" s="183"/>
      <c r="BY102" s="183"/>
      <c r="BZ102" s="183"/>
      <c r="CA102" s="183"/>
      <c r="CB102" s="183"/>
      <c r="CC102" s="183"/>
      <c r="CD102" s="183"/>
      <c r="CE102" s="183"/>
      <c r="CF102" s="183"/>
      <c r="CG102" s="183"/>
      <c r="CH102" s="183"/>
      <c r="CI102" s="183"/>
      <c r="CJ102" s="183"/>
      <c r="CK102" s="183"/>
      <c r="CL102" s="183"/>
      <c r="CM102" s="183"/>
      <c r="CN102" s="183"/>
      <c r="CO102" s="183"/>
      <c r="CP102" s="183"/>
      <c r="CQ102" s="183"/>
      <c r="CR102" s="183"/>
      <c r="CS102" s="183"/>
      <c r="CT102" s="183"/>
      <c r="CU102" s="183"/>
      <c r="CV102" s="183"/>
      <c r="CW102" s="183"/>
      <c r="CX102" s="183"/>
      <c r="CY102" s="183"/>
      <c r="CZ102" s="183"/>
      <c r="DA102" s="183"/>
      <c r="DB102" s="183"/>
      <c r="DC102" s="183"/>
      <c r="DD102" s="183"/>
      <c r="DE102" s="183"/>
      <c r="DF102" s="183"/>
      <c r="DH102" s="182"/>
      <c r="DI102" s="182"/>
      <c r="DJ102" s="182"/>
      <c r="DK102" s="182"/>
      <c r="DL102" s="182"/>
      <c r="DM102" s="182"/>
      <c r="DN102" s="182"/>
      <c r="DO102" s="182"/>
      <c r="DP102" s="182"/>
      <c r="DQ102" s="182"/>
      <c r="DR102" s="182"/>
      <c r="DS102" s="182"/>
      <c r="DT102" s="182"/>
      <c r="DU102" s="182"/>
      <c r="DV102" s="182"/>
    </row>
    <row r="103" spans="1:343" ht="7.4" customHeight="1" x14ac:dyDescent="0.5">
      <c r="D103" s="79"/>
      <c r="E103" s="79"/>
      <c r="F103" s="79"/>
      <c r="G103" s="79"/>
      <c r="H103" s="79"/>
      <c r="I103" s="79"/>
      <c r="J103" s="79"/>
      <c r="K103" s="79"/>
      <c r="L103" s="79"/>
      <c r="M103" s="79"/>
      <c r="N103" s="79"/>
      <c r="O103" s="79"/>
      <c r="P103" s="79"/>
      <c r="Q103" s="79"/>
      <c r="R103" s="79"/>
      <c r="S103" s="79"/>
      <c r="T103" s="79"/>
      <c r="U103" s="79"/>
      <c r="V103" s="79"/>
      <c r="W103" s="79"/>
      <c r="X103" s="79"/>
      <c r="Y103" s="79"/>
      <c r="Z103" s="79"/>
      <c r="AA103" s="79"/>
      <c r="AB103" s="79"/>
      <c r="AC103" s="79"/>
      <c r="AD103" s="79"/>
      <c r="AE103" s="79"/>
      <c r="AF103" s="79"/>
      <c r="AG103" s="79"/>
      <c r="AH103" s="79"/>
      <c r="AI103" s="79"/>
      <c r="AJ103" s="79"/>
      <c r="AK103" s="79"/>
      <c r="AL103" s="79"/>
      <c r="AM103" s="79"/>
      <c r="AN103" s="79"/>
      <c r="AO103" s="79"/>
      <c r="AP103" s="79"/>
      <c r="AQ103" s="79"/>
      <c r="AR103" s="79"/>
      <c r="AS103" s="79"/>
      <c r="AT103" s="79"/>
      <c r="AU103" s="79"/>
      <c r="AV103" s="79"/>
      <c r="AW103" s="79"/>
      <c r="AX103" s="79"/>
      <c r="AY103" s="79"/>
      <c r="AZ103" s="79"/>
      <c r="BA103" s="79"/>
      <c r="BB103" s="79"/>
      <c r="BC103" s="79"/>
      <c r="BD103" s="79"/>
      <c r="BE103" s="79"/>
      <c r="BF103" s="79"/>
      <c r="BG103" s="79"/>
      <c r="BH103" s="79"/>
      <c r="CJ103" s="46"/>
      <c r="CK103" s="46"/>
      <c r="CL103" s="46"/>
      <c r="CM103" s="46"/>
      <c r="CN103" s="46"/>
    </row>
    <row r="104" spans="1:343" ht="7.4" customHeight="1" x14ac:dyDescent="0.5">
      <c r="D104" s="79"/>
      <c r="E104" s="79"/>
      <c r="F104" s="79"/>
      <c r="G104" s="79"/>
      <c r="H104" s="79"/>
      <c r="I104" s="79"/>
      <c r="J104" s="79"/>
      <c r="K104" s="79"/>
      <c r="L104" s="79"/>
      <c r="M104" s="79"/>
      <c r="N104" s="79"/>
      <c r="O104" s="79"/>
      <c r="P104" s="79"/>
      <c r="Q104" s="79"/>
      <c r="R104" s="79"/>
      <c r="S104" s="79"/>
      <c r="T104" s="79"/>
      <c r="U104" s="79"/>
      <c r="V104" s="79"/>
      <c r="W104" s="79"/>
      <c r="X104" s="79"/>
      <c r="Y104" s="79"/>
      <c r="Z104" s="79"/>
      <c r="AA104" s="79"/>
      <c r="AB104" s="79"/>
      <c r="AC104" s="79"/>
      <c r="AD104" s="79"/>
      <c r="AE104" s="79"/>
      <c r="AF104" s="79"/>
      <c r="AG104" s="79"/>
      <c r="AH104" s="79"/>
      <c r="AI104" s="79"/>
      <c r="AJ104" s="79"/>
      <c r="AK104" s="79"/>
      <c r="AL104" s="79"/>
      <c r="AM104" s="79"/>
      <c r="AN104" s="79"/>
      <c r="AO104" s="79"/>
      <c r="AP104" s="79"/>
      <c r="AQ104" s="79"/>
      <c r="AR104" s="79"/>
      <c r="AS104" s="79"/>
      <c r="AT104" s="79"/>
      <c r="AU104" s="79"/>
      <c r="AV104" s="79"/>
      <c r="AW104" s="79"/>
      <c r="AX104" s="79"/>
      <c r="AY104" s="79"/>
      <c r="AZ104" s="79"/>
      <c r="BA104" s="79"/>
      <c r="BB104" s="79"/>
      <c r="BC104" s="79"/>
      <c r="BD104" s="79"/>
      <c r="BE104" s="79"/>
      <c r="BF104" s="79"/>
      <c r="BG104" s="79"/>
      <c r="BH104" s="79"/>
      <c r="CJ104" s="46"/>
      <c r="CK104" s="46"/>
      <c r="CL104" s="46"/>
      <c r="CM104" s="46"/>
      <c r="CN104" s="46"/>
    </row>
    <row r="105" spans="1:343" ht="7.4" customHeight="1" x14ac:dyDescent="0.5">
      <c r="D105" s="79"/>
      <c r="E105" s="79"/>
      <c r="F105" s="79"/>
      <c r="G105" s="79"/>
      <c r="H105" s="79"/>
      <c r="I105" s="79"/>
      <c r="J105" s="79"/>
      <c r="K105" s="79"/>
      <c r="L105" s="79"/>
      <c r="M105" s="79"/>
      <c r="N105" s="79"/>
      <c r="O105" s="79"/>
      <c r="P105" s="79"/>
      <c r="Q105" s="79"/>
      <c r="R105" s="79"/>
      <c r="S105" s="79"/>
      <c r="T105" s="79"/>
      <c r="U105" s="79"/>
      <c r="V105" s="79"/>
      <c r="W105" s="79"/>
      <c r="X105" s="79"/>
      <c r="Y105" s="79"/>
      <c r="Z105" s="79"/>
      <c r="AA105" s="79"/>
      <c r="AB105" s="79"/>
      <c r="AC105" s="79"/>
      <c r="AD105" s="79"/>
      <c r="AE105" s="79"/>
      <c r="AF105" s="79"/>
      <c r="AG105" s="79"/>
      <c r="AH105" s="79"/>
      <c r="AI105" s="79"/>
      <c r="AJ105" s="79"/>
      <c r="AK105" s="79"/>
      <c r="AL105" s="79"/>
      <c r="AM105" s="79"/>
      <c r="AN105" s="79"/>
      <c r="AO105" s="79"/>
      <c r="AP105" s="79"/>
      <c r="AQ105" s="79"/>
      <c r="AR105" s="79"/>
      <c r="AS105" s="79"/>
      <c r="AT105" s="79"/>
      <c r="AU105" s="79"/>
      <c r="AV105" s="79"/>
      <c r="AW105" s="79"/>
      <c r="AX105" s="79"/>
      <c r="AY105" s="79"/>
      <c r="AZ105" s="79"/>
      <c r="BA105" s="79"/>
      <c r="BB105" s="79"/>
      <c r="BC105" s="79"/>
      <c r="BD105" s="79"/>
      <c r="BE105" s="79"/>
      <c r="BF105" s="79"/>
      <c r="BG105" s="79"/>
      <c r="BH105" s="79"/>
      <c r="BK105" s="333"/>
      <c r="BL105" s="333"/>
      <c r="BM105" s="333"/>
      <c r="BN105" s="333"/>
      <c r="BO105" s="333"/>
      <c r="BP105" s="333"/>
      <c r="BQ105" s="298"/>
      <c r="BR105" s="298"/>
      <c r="BS105" s="298"/>
      <c r="BT105" s="298"/>
      <c r="BU105" s="298"/>
      <c r="BV105" s="298"/>
      <c r="BW105" s="298"/>
      <c r="BX105" s="334"/>
      <c r="BY105" s="334"/>
      <c r="BZ105" s="334"/>
      <c r="CA105" s="334"/>
      <c r="CB105" s="334"/>
      <c r="CC105" s="334"/>
      <c r="CJ105" s="46"/>
      <c r="CK105" s="46"/>
      <c r="CL105" s="46"/>
      <c r="CM105" s="46"/>
      <c r="CN105" s="46"/>
    </row>
    <row r="106" spans="1:343" ht="7.4" customHeight="1" x14ac:dyDescent="0.5">
      <c r="D106" s="79"/>
      <c r="E106" s="79"/>
      <c r="F106" s="79"/>
      <c r="G106" s="79"/>
      <c r="H106" s="79"/>
      <c r="I106" s="79"/>
      <c r="J106" s="79"/>
      <c r="K106" s="79"/>
      <c r="L106" s="79"/>
      <c r="M106" s="79"/>
      <c r="N106" s="79"/>
      <c r="O106" s="79"/>
      <c r="P106" s="79"/>
      <c r="Q106" s="79"/>
      <c r="R106" s="79"/>
      <c r="S106" s="79"/>
      <c r="T106" s="79"/>
      <c r="U106" s="79"/>
      <c r="V106" s="79"/>
      <c r="W106" s="79"/>
      <c r="X106" s="79"/>
      <c r="Y106" s="79"/>
      <c r="Z106" s="79"/>
      <c r="AA106" s="79"/>
      <c r="AB106" s="79"/>
      <c r="AC106" s="79"/>
      <c r="AD106" s="79"/>
      <c r="AE106" s="79"/>
      <c r="AF106" s="79"/>
      <c r="AG106" s="79"/>
      <c r="AH106" s="79"/>
      <c r="AI106" s="79"/>
      <c r="AJ106" s="79"/>
      <c r="AK106" s="79"/>
      <c r="AL106" s="79"/>
      <c r="AM106" s="79"/>
      <c r="AN106" s="79"/>
      <c r="AO106" s="79"/>
      <c r="AP106" s="79"/>
      <c r="AQ106" s="79"/>
      <c r="AR106" s="79"/>
      <c r="AS106" s="79"/>
      <c r="AT106" s="79"/>
      <c r="AU106" s="79"/>
      <c r="AV106" s="79"/>
      <c r="AW106" s="79"/>
      <c r="AX106" s="79"/>
      <c r="AY106" s="79"/>
      <c r="AZ106" s="79"/>
      <c r="BA106" s="79"/>
      <c r="BB106" s="79"/>
      <c r="BC106" s="79"/>
      <c r="BD106" s="79"/>
      <c r="BE106" s="79"/>
      <c r="BF106" s="79"/>
      <c r="BG106" s="79"/>
      <c r="BH106" s="79"/>
      <c r="BK106" s="333"/>
      <c r="BL106" s="333"/>
      <c r="BM106" s="333"/>
      <c r="BN106" s="333"/>
      <c r="BO106" s="333"/>
      <c r="BP106" s="333"/>
      <c r="BQ106" s="298"/>
      <c r="BR106" s="298"/>
      <c r="BS106" s="298"/>
      <c r="BT106" s="298"/>
      <c r="BU106" s="298"/>
      <c r="BV106" s="298"/>
      <c r="BW106" s="298"/>
      <c r="BX106" s="334"/>
      <c r="BY106" s="334"/>
      <c r="BZ106" s="334"/>
      <c r="CA106" s="334"/>
      <c r="CB106" s="334"/>
      <c r="CC106" s="334"/>
      <c r="CJ106" s="46"/>
      <c r="CK106" s="46"/>
      <c r="CL106" s="46"/>
      <c r="CM106" s="46"/>
      <c r="CN106" s="46"/>
    </row>
    <row r="107" spans="1:343" ht="7.4" customHeight="1" x14ac:dyDescent="0.5">
      <c r="BB107" s="184"/>
      <c r="BC107" s="184"/>
      <c r="BD107" s="184"/>
      <c r="BE107" s="184"/>
      <c r="BF107" s="184"/>
      <c r="BG107" s="184"/>
      <c r="BH107" s="184"/>
      <c r="BI107" s="184"/>
      <c r="BK107" s="339"/>
      <c r="BL107" s="339"/>
      <c r="BM107" s="339"/>
      <c r="BN107" s="339"/>
      <c r="BO107" s="339"/>
      <c r="BP107" s="339"/>
      <c r="BQ107" s="340"/>
      <c r="BR107" s="340"/>
      <c r="BS107" s="340"/>
      <c r="BT107" s="340"/>
      <c r="BU107" s="340"/>
      <c r="BV107" s="340"/>
      <c r="BW107" s="340"/>
      <c r="BX107" s="341"/>
      <c r="BY107" s="341"/>
      <c r="BZ107" s="341"/>
      <c r="CA107" s="341"/>
      <c r="CB107" s="341"/>
      <c r="CC107" s="341"/>
      <c r="CJ107" s="46"/>
      <c r="CK107" s="46"/>
      <c r="CL107" s="46"/>
      <c r="CM107" s="46"/>
      <c r="CN107" s="46"/>
    </row>
    <row r="108" spans="1:343" ht="7.4" customHeight="1" x14ac:dyDescent="0.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BB108" s="184"/>
      <c r="BC108" s="184"/>
      <c r="BD108" s="184"/>
      <c r="BE108" s="184"/>
      <c r="BF108" s="184"/>
      <c r="BG108" s="184"/>
      <c r="BH108" s="184"/>
      <c r="BI108" s="184"/>
      <c r="BK108" s="339"/>
      <c r="BL108" s="339"/>
      <c r="BM108" s="339"/>
      <c r="BN108" s="339"/>
      <c r="BO108" s="339"/>
      <c r="BP108" s="339"/>
      <c r="BQ108" s="340"/>
      <c r="BR108" s="340"/>
      <c r="BS108" s="340"/>
      <c r="BT108" s="340"/>
      <c r="BU108" s="340"/>
      <c r="BV108" s="340"/>
      <c r="BW108" s="340"/>
      <c r="BX108" s="341"/>
      <c r="BY108" s="341"/>
      <c r="BZ108" s="341"/>
      <c r="CA108" s="341"/>
      <c r="CB108" s="341"/>
      <c r="CC108" s="341"/>
    </row>
    <row r="109" spans="1:343" ht="7.4" customHeight="1" x14ac:dyDescent="0.5">
      <c r="A109" s="38"/>
      <c r="B109" s="39"/>
      <c r="C109" s="39"/>
      <c r="D109" s="39"/>
      <c r="E109" s="39"/>
      <c r="F109" s="39"/>
      <c r="G109" s="39"/>
      <c r="H109" s="39"/>
      <c r="I109" s="39"/>
      <c r="J109" s="39"/>
      <c r="K109" s="39"/>
      <c r="L109" s="39"/>
      <c r="M109" s="39"/>
      <c r="N109" s="39"/>
      <c r="O109" s="39"/>
      <c r="P109" s="39"/>
      <c r="Q109" s="39"/>
      <c r="R109" s="39"/>
      <c r="S109" s="67"/>
      <c r="T109" s="68"/>
      <c r="U109" s="68"/>
      <c r="V109" s="68"/>
      <c r="W109" s="68"/>
      <c r="X109" s="68"/>
      <c r="Y109" s="68"/>
      <c r="Z109" s="68"/>
      <c r="AA109" s="68"/>
      <c r="AB109" s="68"/>
      <c r="AC109" s="68"/>
      <c r="AD109" s="68"/>
      <c r="AE109" s="68"/>
      <c r="AF109" s="68"/>
      <c r="AG109" s="68"/>
      <c r="AH109" s="68"/>
      <c r="AI109" s="68"/>
      <c r="AJ109" s="68"/>
      <c r="AK109" s="68"/>
      <c r="AL109" s="68"/>
      <c r="AM109" s="68"/>
      <c r="AN109" s="68"/>
      <c r="AO109" s="68"/>
      <c r="AP109" s="68"/>
      <c r="AQ109" s="69"/>
      <c r="AR109" s="39"/>
      <c r="AS109" s="39"/>
      <c r="AT109" s="39"/>
      <c r="AU109" s="39"/>
      <c r="AV109" s="39"/>
      <c r="AW109" s="39"/>
      <c r="AX109" s="39"/>
      <c r="AY109" s="39"/>
      <c r="AZ109" s="39"/>
      <c r="BA109" s="39"/>
      <c r="BB109" s="39"/>
      <c r="BC109" s="39"/>
      <c r="BD109" s="39"/>
      <c r="BE109" s="39"/>
      <c r="BF109" s="39"/>
      <c r="BG109" s="39"/>
      <c r="BH109" s="39"/>
      <c r="BI109" s="40"/>
      <c r="BK109" s="334"/>
      <c r="BL109" s="334"/>
      <c r="BM109" s="334"/>
      <c r="BN109" s="334"/>
      <c r="BO109" s="334"/>
      <c r="BP109" s="334"/>
      <c r="BQ109" s="429"/>
      <c r="BR109" s="429"/>
      <c r="BS109" s="429"/>
      <c r="BT109" s="429"/>
      <c r="BU109" s="429"/>
      <c r="BV109" s="429"/>
      <c r="BW109" s="429"/>
      <c r="BX109" s="429"/>
      <c r="BY109" s="429"/>
      <c r="BZ109" s="429"/>
      <c r="CA109" s="429"/>
      <c r="CB109" s="429"/>
      <c r="CC109" s="334"/>
      <c r="CD109" s="334"/>
      <c r="CE109" s="334"/>
      <c r="CF109" s="334"/>
      <c r="CG109" s="334"/>
      <c r="CH109" s="334"/>
      <c r="CI109" s="333"/>
      <c r="CJ109" s="333"/>
      <c r="CK109" s="333"/>
      <c r="CL109" s="333"/>
      <c r="CM109" s="333"/>
      <c r="CN109" s="333"/>
      <c r="CO109" s="334"/>
      <c r="CP109" s="334"/>
      <c r="CQ109" s="334"/>
      <c r="CR109" s="334"/>
      <c r="CS109" s="334"/>
      <c r="CT109" s="334"/>
    </row>
    <row r="110" spans="1:343" ht="7.4" customHeight="1" x14ac:dyDescent="0.5">
      <c r="A110" s="42"/>
      <c r="S110" s="70"/>
      <c r="T110" s="335" t="str">
        <f>"Roof Top Ballast "&amp;$X$78</f>
        <v>Roof Top Ballast Frameless</v>
      </c>
      <c r="U110" s="335"/>
      <c r="V110" s="335"/>
      <c r="W110" s="335"/>
      <c r="X110" s="335"/>
      <c r="Y110" s="335"/>
      <c r="Z110" s="335"/>
      <c r="AA110" s="335"/>
      <c r="AB110" s="335"/>
      <c r="AC110" s="335"/>
      <c r="AD110" s="335"/>
      <c r="AE110" s="335"/>
      <c r="AF110" s="335"/>
      <c r="AG110" s="335"/>
      <c r="AH110" s="335"/>
      <c r="AI110" s="335"/>
      <c r="AJ110" s="335"/>
      <c r="AK110" s="335"/>
      <c r="AL110" s="335"/>
      <c r="AM110" s="335"/>
      <c r="AN110" s="335"/>
      <c r="AO110" s="335"/>
      <c r="AP110" s="335"/>
      <c r="AQ110" s="71"/>
      <c r="BI110" s="41"/>
      <c r="BK110" s="334"/>
      <c r="BL110" s="334"/>
      <c r="BM110" s="334"/>
      <c r="BN110" s="334"/>
      <c r="BO110" s="334"/>
      <c r="BP110" s="334"/>
      <c r="BQ110" s="429"/>
      <c r="BR110" s="429"/>
      <c r="BS110" s="429"/>
      <c r="BT110" s="429"/>
      <c r="BU110" s="429"/>
      <c r="BV110" s="429"/>
      <c r="BW110" s="429"/>
      <c r="BX110" s="429"/>
      <c r="BY110" s="429"/>
      <c r="BZ110" s="429"/>
      <c r="CA110" s="429"/>
      <c r="CB110" s="429"/>
      <c r="CC110" s="334"/>
      <c r="CD110" s="334"/>
      <c r="CE110" s="334"/>
      <c r="CF110" s="334"/>
      <c r="CG110" s="334"/>
      <c r="CH110" s="334"/>
      <c r="CI110" s="333"/>
      <c r="CJ110" s="333"/>
      <c r="CK110" s="333"/>
      <c r="CL110" s="333"/>
      <c r="CM110" s="333"/>
      <c r="CN110" s="333"/>
      <c r="CO110" s="334"/>
      <c r="CP110" s="334"/>
      <c r="CQ110" s="334"/>
      <c r="CR110" s="334"/>
      <c r="CS110" s="334"/>
      <c r="CT110" s="334"/>
      <c r="DY110" s="185">
        <f t="shared" ref="DY110:GJ110" si="0">$DX$111*DY111+$DX$112*DY112</f>
        <v>0</v>
      </c>
      <c r="DZ110" s="185">
        <f t="shared" si="0"/>
        <v>2.35</v>
      </c>
      <c r="EA110" s="185">
        <f t="shared" si="0"/>
        <v>2.9249999999999998</v>
      </c>
      <c r="EB110" s="185">
        <f t="shared" si="0"/>
        <v>4.7</v>
      </c>
      <c r="EC110" s="185">
        <f t="shared" si="0"/>
        <v>5.2750000000000004</v>
      </c>
      <c r="ED110" s="185">
        <f t="shared" si="0"/>
        <v>5.85</v>
      </c>
      <c r="EE110" s="185">
        <f t="shared" si="0"/>
        <v>7.0500000000000007</v>
      </c>
      <c r="EF110" s="185">
        <f t="shared" si="0"/>
        <v>7.625</v>
      </c>
      <c r="EG110" s="185">
        <f t="shared" si="0"/>
        <v>8.1999999999999993</v>
      </c>
      <c r="EH110" s="185">
        <f t="shared" si="0"/>
        <v>8.7749999999999986</v>
      </c>
      <c r="EI110" s="185">
        <f t="shared" si="0"/>
        <v>9.4</v>
      </c>
      <c r="EJ110" s="185">
        <f t="shared" si="0"/>
        <v>9.9750000000000014</v>
      </c>
      <c r="EK110" s="185">
        <f t="shared" si="0"/>
        <v>10.55</v>
      </c>
      <c r="EL110" s="185">
        <f t="shared" si="0"/>
        <v>11.124999999999998</v>
      </c>
      <c r="EM110" s="185">
        <f t="shared" si="0"/>
        <v>11.7</v>
      </c>
      <c r="EN110" s="185">
        <f t="shared" si="0"/>
        <v>11.75</v>
      </c>
      <c r="EO110" s="185">
        <f t="shared" si="0"/>
        <v>12.324999999999999</v>
      </c>
      <c r="EP110" s="185">
        <f t="shared" si="0"/>
        <v>12.9</v>
      </c>
      <c r="EQ110" s="185">
        <f t="shared" si="0"/>
        <v>13.474999999999998</v>
      </c>
      <c r="ER110" s="185">
        <f t="shared" si="0"/>
        <v>14.049999999999999</v>
      </c>
      <c r="ES110" s="185">
        <f t="shared" si="0"/>
        <v>14.049999999999999</v>
      </c>
      <c r="ET110" s="185">
        <f t="shared" si="0"/>
        <v>14.625</v>
      </c>
      <c r="EU110" s="185">
        <f t="shared" si="0"/>
        <v>14.675000000000001</v>
      </c>
      <c r="EV110" s="185">
        <f t="shared" si="0"/>
        <v>15.25</v>
      </c>
      <c r="EW110" s="185">
        <f t="shared" si="0"/>
        <v>15.824999999999999</v>
      </c>
      <c r="EX110" s="185">
        <f t="shared" si="0"/>
        <v>16.399999999999999</v>
      </c>
      <c r="EY110" s="185">
        <f t="shared" si="0"/>
        <v>16.45</v>
      </c>
      <c r="EZ110" s="185">
        <f t="shared" si="0"/>
        <v>16.975000000000001</v>
      </c>
      <c r="FA110" s="185">
        <f t="shared" si="0"/>
        <v>16.975000000000001</v>
      </c>
      <c r="FB110" s="185">
        <f t="shared" si="0"/>
        <v>17.549999999999997</v>
      </c>
      <c r="FC110" s="185">
        <f t="shared" si="0"/>
        <v>17.549999999999997</v>
      </c>
      <c r="FD110" s="185">
        <f t="shared" si="0"/>
        <v>18.174999999999997</v>
      </c>
      <c r="FE110" s="185">
        <f t="shared" si="0"/>
        <v>18.75</v>
      </c>
      <c r="FF110" s="185">
        <f t="shared" si="0"/>
        <v>18.75</v>
      </c>
      <c r="FG110" s="185">
        <f t="shared" si="0"/>
        <v>19.324999999999999</v>
      </c>
      <c r="FH110" s="185">
        <f t="shared" si="0"/>
        <v>19.375</v>
      </c>
      <c r="FI110" s="185">
        <f t="shared" si="0"/>
        <v>19.899999999999999</v>
      </c>
      <c r="FJ110" s="185">
        <f t="shared" si="0"/>
        <v>19.950000000000003</v>
      </c>
      <c r="FK110" s="185">
        <f t="shared" si="0"/>
        <v>20.474999999999998</v>
      </c>
      <c r="FL110" s="185">
        <f t="shared" si="0"/>
        <v>20.474999999999998</v>
      </c>
      <c r="FM110" s="185">
        <f t="shared" si="0"/>
        <v>21.1</v>
      </c>
      <c r="FN110" s="185">
        <f t="shared" si="0"/>
        <v>21.150000000000002</v>
      </c>
      <c r="FO110" s="185">
        <f t="shared" si="0"/>
        <v>21.675000000000001</v>
      </c>
      <c r="FP110" s="185">
        <f t="shared" si="0"/>
        <v>21.675000000000001</v>
      </c>
      <c r="FQ110" s="185">
        <f t="shared" si="0"/>
        <v>22.249999999999996</v>
      </c>
      <c r="FR110" s="185">
        <f t="shared" si="0"/>
        <v>22.249999999999996</v>
      </c>
      <c r="FS110" s="185">
        <f t="shared" si="0"/>
        <v>22.824999999999999</v>
      </c>
      <c r="FT110" s="185">
        <f t="shared" si="0"/>
        <v>22.875</v>
      </c>
      <c r="FU110" s="185">
        <f t="shared" si="0"/>
        <v>23.4</v>
      </c>
      <c r="FV110" s="185">
        <f t="shared" si="0"/>
        <v>23.45</v>
      </c>
      <c r="FW110" s="185">
        <f t="shared" si="0"/>
        <v>23.45</v>
      </c>
      <c r="FX110" s="185">
        <f t="shared" si="0"/>
        <v>24.024999999999999</v>
      </c>
      <c r="FY110" s="185">
        <f t="shared" si="0"/>
        <v>24.075000000000003</v>
      </c>
      <c r="FZ110" s="185">
        <f t="shared" si="0"/>
        <v>24.599999999999998</v>
      </c>
      <c r="GA110" s="185">
        <f t="shared" si="0"/>
        <v>24.65</v>
      </c>
      <c r="GB110" s="185">
        <f t="shared" si="0"/>
        <v>25.174999999999997</v>
      </c>
      <c r="GC110" s="185">
        <f t="shared" si="0"/>
        <v>25.174999999999997</v>
      </c>
      <c r="GD110" s="185">
        <f t="shared" si="0"/>
        <v>25.75</v>
      </c>
      <c r="GE110" s="185">
        <f t="shared" si="0"/>
        <v>25.75</v>
      </c>
      <c r="GF110" s="185">
        <f t="shared" si="0"/>
        <v>25.85</v>
      </c>
      <c r="GG110" s="185">
        <f t="shared" si="0"/>
        <v>26.324999999999999</v>
      </c>
      <c r="GH110" s="185">
        <f t="shared" si="0"/>
        <v>26.375</v>
      </c>
      <c r="GI110" s="185">
        <f t="shared" si="0"/>
        <v>26.375</v>
      </c>
      <c r="GJ110" s="185">
        <f t="shared" si="0"/>
        <v>26.949999999999996</v>
      </c>
      <c r="GK110" s="185">
        <f t="shared" ref="GK110:IV110" si="1">$DX$111*GK111+$DX$112*GK112</f>
        <v>26.949999999999996</v>
      </c>
      <c r="GL110" s="185">
        <f t="shared" si="1"/>
        <v>27.524999999999999</v>
      </c>
      <c r="GM110" s="185">
        <f t="shared" si="1"/>
        <v>27.574999999999999</v>
      </c>
      <c r="GN110" s="185">
        <f t="shared" si="1"/>
        <v>28.099999999999998</v>
      </c>
      <c r="GO110" s="185">
        <f t="shared" si="1"/>
        <v>28.15</v>
      </c>
      <c r="GP110" s="185">
        <f t="shared" si="1"/>
        <v>28.15</v>
      </c>
      <c r="GQ110" s="185">
        <f t="shared" si="1"/>
        <v>28.675000000000001</v>
      </c>
      <c r="GR110" s="185">
        <f t="shared" si="1"/>
        <v>28.675000000000001</v>
      </c>
      <c r="GS110" s="185">
        <f t="shared" si="1"/>
        <v>28.775000000000002</v>
      </c>
      <c r="GT110" s="185">
        <f t="shared" si="1"/>
        <v>29.25</v>
      </c>
      <c r="GU110" s="185">
        <f t="shared" si="1"/>
        <v>29.25</v>
      </c>
      <c r="GV110" s="185">
        <f t="shared" si="1"/>
        <v>29.35</v>
      </c>
      <c r="GW110" s="185">
        <f t="shared" si="1"/>
        <v>29.875</v>
      </c>
      <c r="GX110" s="185">
        <f t="shared" si="1"/>
        <v>29.875</v>
      </c>
      <c r="GY110" s="185">
        <f t="shared" si="1"/>
        <v>30.45</v>
      </c>
      <c r="GZ110" s="185">
        <f t="shared" si="1"/>
        <v>30.45</v>
      </c>
      <c r="HA110" s="185">
        <f t="shared" si="1"/>
        <v>30.55</v>
      </c>
      <c r="HB110" s="185">
        <f t="shared" si="1"/>
        <v>31.024999999999999</v>
      </c>
      <c r="HC110" s="185">
        <f t="shared" si="1"/>
        <v>31.074999999999999</v>
      </c>
      <c r="HD110" s="185">
        <f t="shared" si="1"/>
        <v>31.074999999999999</v>
      </c>
      <c r="HE110" s="185">
        <f t="shared" si="1"/>
        <v>31.6</v>
      </c>
      <c r="HF110" s="185">
        <f t="shared" si="1"/>
        <v>31.65</v>
      </c>
      <c r="HG110" s="185">
        <f t="shared" si="1"/>
        <v>31.65</v>
      </c>
      <c r="HH110" s="185">
        <f t="shared" si="1"/>
        <v>32.174999999999997</v>
      </c>
      <c r="HI110" s="185">
        <f t="shared" si="1"/>
        <v>32.174999999999997</v>
      </c>
      <c r="HJ110" s="185">
        <f t="shared" si="1"/>
        <v>32.274999999999999</v>
      </c>
      <c r="HK110" s="185">
        <f t="shared" si="1"/>
        <v>32.799999999999997</v>
      </c>
      <c r="HL110" s="185">
        <f t="shared" si="1"/>
        <v>32.85</v>
      </c>
      <c r="HM110" s="185">
        <f t="shared" si="1"/>
        <v>32.85</v>
      </c>
      <c r="HN110" s="185">
        <f t="shared" si="1"/>
        <v>33.375</v>
      </c>
      <c r="HO110" s="185">
        <f t="shared" si="1"/>
        <v>33.375</v>
      </c>
      <c r="HP110" s="185">
        <f t="shared" si="1"/>
        <v>33.475000000000001</v>
      </c>
      <c r="HQ110" s="185">
        <f t="shared" si="1"/>
        <v>33.950000000000003</v>
      </c>
      <c r="HR110" s="185">
        <f t="shared" si="1"/>
        <v>33.950000000000003</v>
      </c>
      <c r="HS110" s="185">
        <f t="shared" si="1"/>
        <v>34.050000000000004</v>
      </c>
      <c r="HT110" s="185">
        <f t="shared" si="1"/>
        <v>34.524999999999999</v>
      </c>
      <c r="HU110" s="185">
        <f t="shared" si="1"/>
        <v>34.575000000000003</v>
      </c>
      <c r="HV110" s="185">
        <f t="shared" si="1"/>
        <v>34.575000000000003</v>
      </c>
      <c r="HW110" s="185">
        <f t="shared" si="1"/>
        <v>35.099999999999994</v>
      </c>
      <c r="HX110" s="185">
        <f t="shared" si="1"/>
        <v>35.15</v>
      </c>
      <c r="HY110" s="185">
        <f t="shared" si="1"/>
        <v>35.15</v>
      </c>
      <c r="HZ110" s="185">
        <f t="shared" si="1"/>
        <v>35.25</v>
      </c>
      <c r="IA110" s="185">
        <f t="shared" si="1"/>
        <v>35.725000000000001</v>
      </c>
      <c r="IB110" s="185">
        <f t="shared" si="1"/>
        <v>35.775000000000006</v>
      </c>
      <c r="IC110" s="185">
        <f t="shared" si="1"/>
        <v>35.775000000000006</v>
      </c>
      <c r="ID110" s="185">
        <f t="shared" si="1"/>
        <v>36.299999999999997</v>
      </c>
      <c r="IE110" s="185">
        <f t="shared" si="1"/>
        <v>36.349999999999994</v>
      </c>
      <c r="IF110" s="185">
        <f t="shared" si="1"/>
        <v>36.349999999999994</v>
      </c>
      <c r="IG110" s="185">
        <f t="shared" si="1"/>
        <v>36.875</v>
      </c>
      <c r="IH110" s="185">
        <f t="shared" si="1"/>
        <v>36.875</v>
      </c>
      <c r="II110" s="185">
        <f t="shared" si="1"/>
        <v>36.975000000000001</v>
      </c>
      <c r="IJ110" s="185">
        <f t="shared" si="1"/>
        <v>37.449999999999996</v>
      </c>
      <c r="IK110" s="185">
        <f t="shared" si="1"/>
        <v>37.449999999999996</v>
      </c>
      <c r="IL110" s="185">
        <f t="shared" si="1"/>
        <v>37.549999999999997</v>
      </c>
      <c r="IM110" s="185">
        <f t="shared" si="1"/>
        <v>37.549999999999997</v>
      </c>
      <c r="IN110" s="185">
        <f t="shared" si="1"/>
        <v>38.024999999999999</v>
      </c>
      <c r="IO110" s="185">
        <f t="shared" si="1"/>
        <v>38.075000000000003</v>
      </c>
      <c r="IP110" s="185">
        <f t="shared" si="1"/>
        <v>38.075000000000003</v>
      </c>
      <c r="IQ110" s="185">
        <f t="shared" si="1"/>
        <v>38.174999999999997</v>
      </c>
      <c r="IR110" s="185">
        <f t="shared" si="1"/>
        <v>38.65</v>
      </c>
      <c r="IS110" s="185">
        <f t="shared" si="1"/>
        <v>38.65</v>
      </c>
      <c r="IT110" s="185">
        <f t="shared" si="1"/>
        <v>38.75</v>
      </c>
      <c r="IU110" s="185">
        <f t="shared" si="1"/>
        <v>39.224999999999994</v>
      </c>
      <c r="IV110" s="185">
        <f t="shared" si="1"/>
        <v>39.274999999999999</v>
      </c>
      <c r="IW110" s="185">
        <f t="shared" ref="IW110:LH110" si="2">$DX$111*IW111+$DX$112*IW112</f>
        <v>39.274999999999999</v>
      </c>
      <c r="IX110" s="185">
        <f t="shared" si="2"/>
        <v>39.799999999999997</v>
      </c>
      <c r="IY110" s="185">
        <f t="shared" si="2"/>
        <v>39.849999999999994</v>
      </c>
      <c r="IZ110" s="185">
        <f t="shared" si="2"/>
        <v>39.849999999999994</v>
      </c>
      <c r="JA110" s="185">
        <f t="shared" si="2"/>
        <v>39.950000000000003</v>
      </c>
      <c r="JB110" s="185">
        <f t="shared" si="2"/>
        <v>40.375</v>
      </c>
      <c r="JC110" s="185">
        <f t="shared" si="2"/>
        <v>40.375</v>
      </c>
      <c r="JD110" s="185">
        <f t="shared" si="2"/>
        <v>40.475000000000001</v>
      </c>
      <c r="JE110" s="185">
        <f t="shared" si="2"/>
        <v>40.475000000000001</v>
      </c>
      <c r="JF110" s="185">
        <f t="shared" si="2"/>
        <v>40.949999999999996</v>
      </c>
      <c r="JG110" s="185">
        <f t="shared" si="2"/>
        <v>40.949999999999996</v>
      </c>
      <c r="JH110" s="185">
        <f t="shared" si="2"/>
        <v>41.05</v>
      </c>
      <c r="JI110" s="185">
        <f t="shared" si="2"/>
        <v>41.05</v>
      </c>
      <c r="JJ110" s="185">
        <f t="shared" si="2"/>
        <v>41.574999999999996</v>
      </c>
      <c r="JK110" s="185">
        <f t="shared" si="2"/>
        <v>41.574999999999996</v>
      </c>
      <c r="JL110" s="185">
        <f t="shared" si="2"/>
        <v>41.674999999999997</v>
      </c>
      <c r="JM110" s="185">
        <f t="shared" si="2"/>
        <v>42.149999999999991</v>
      </c>
      <c r="JN110" s="185">
        <f t="shared" si="2"/>
        <v>42.149999999999991</v>
      </c>
      <c r="JO110" s="185">
        <f t="shared" si="2"/>
        <v>42.25</v>
      </c>
      <c r="JP110" s="185">
        <f t="shared" si="2"/>
        <v>42.25</v>
      </c>
      <c r="JQ110" s="185">
        <f t="shared" si="2"/>
        <v>42.725000000000001</v>
      </c>
      <c r="JR110" s="185">
        <f t="shared" si="2"/>
        <v>42.774999999999999</v>
      </c>
      <c r="JS110" s="185">
        <f t="shared" si="2"/>
        <v>42.774999999999999</v>
      </c>
      <c r="JT110" s="185">
        <f t="shared" si="2"/>
        <v>42.875</v>
      </c>
      <c r="JU110" s="185">
        <f t="shared" si="2"/>
        <v>43.3</v>
      </c>
      <c r="JV110" s="185">
        <f t="shared" si="2"/>
        <v>43.35</v>
      </c>
      <c r="JW110" s="185">
        <f t="shared" si="2"/>
        <v>43.35</v>
      </c>
      <c r="JX110" s="185">
        <f t="shared" si="2"/>
        <v>43.45</v>
      </c>
      <c r="JY110" s="185">
        <f t="shared" si="2"/>
        <v>43.875</v>
      </c>
      <c r="JZ110" s="185">
        <f t="shared" si="2"/>
        <v>43.875</v>
      </c>
      <c r="KA110" s="185">
        <f t="shared" si="2"/>
        <v>43.974999999999994</v>
      </c>
      <c r="KB110" s="185">
        <f t="shared" si="2"/>
        <v>43.974999999999994</v>
      </c>
      <c r="KC110" s="185">
        <f t="shared" si="2"/>
        <v>44.499999999999993</v>
      </c>
      <c r="KD110" s="185">
        <f t="shared" si="2"/>
        <v>44.55</v>
      </c>
      <c r="KE110" s="185">
        <f t="shared" si="2"/>
        <v>44.55</v>
      </c>
      <c r="KF110" s="185">
        <f t="shared" si="2"/>
        <v>44.65</v>
      </c>
      <c r="KG110" s="185">
        <f t="shared" si="2"/>
        <v>45.075000000000003</v>
      </c>
      <c r="KH110" s="185">
        <f t="shared" si="2"/>
        <v>45.075000000000003</v>
      </c>
      <c r="KI110" s="185">
        <f t="shared" si="2"/>
        <v>45.174999999999997</v>
      </c>
      <c r="KJ110" s="185">
        <f t="shared" si="2"/>
        <v>45.174999999999997</v>
      </c>
      <c r="KK110" s="185">
        <f t="shared" si="2"/>
        <v>45.65</v>
      </c>
      <c r="KL110" s="185">
        <f t="shared" si="2"/>
        <v>45.65</v>
      </c>
      <c r="KM110" s="185">
        <f t="shared" si="2"/>
        <v>45.75</v>
      </c>
      <c r="KN110" s="185">
        <f t="shared" si="2"/>
        <v>45.75</v>
      </c>
      <c r="KO110" s="185">
        <f t="shared" si="2"/>
        <v>46.225000000000001</v>
      </c>
      <c r="KP110" s="185">
        <f t="shared" si="2"/>
        <v>46.274999999999999</v>
      </c>
      <c r="KQ110" s="185">
        <f t="shared" si="2"/>
        <v>46.274999999999999</v>
      </c>
      <c r="KR110" s="185">
        <f t="shared" si="2"/>
        <v>46.375</v>
      </c>
      <c r="KS110" s="185">
        <f t="shared" si="2"/>
        <v>46.8</v>
      </c>
      <c r="KT110" s="185">
        <f t="shared" si="2"/>
        <v>46.849999999999994</v>
      </c>
      <c r="KU110" s="185">
        <f t="shared" si="2"/>
        <v>46.849999999999994</v>
      </c>
      <c r="KV110" s="185">
        <f t="shared" si="2"/>
        <v>46.95</v>
      </c>
      <c r="KW110" s="185">
        <f t="shared" si="2"/>
        <v>47.424999999999997</v>
      </c>
      <c r="KX110" s="185">
        <f t="shared" si="2"/>
        <v>47.475000000000001</v>
      </c>
      <c r="KY110" s="185">
        <f t="shared" si="2"/>
        <v>47.475000000000001</v>
      </c>
      <c r="KZ110" s="185">
        <f t="shared" si="2"/>
        <v>48</v>
      </c>
      <c r="LA110" s="185">
        <f t="shared" si="2"/>
        <v>48.05</v>
      </c>
      <c r="LB110" s="185">
        <f t="shared" si="2"/>
        <v>48.05</v>
      </c>
      <c r="LC110" s="185">
        <f t="shared" si="2"/>
        <v>48.150000000000006</v>
      </c>
      <c r="LD110" s="185">
        <f t="shared" si="2"/>
        <v>48.575000000000003</v>
      </c>
      <c r="LE110" s="185">
        <f t="shared" si="2"/>
        <v>48.575000000000003</v>
      </c>
      <c r="LF110" s="185">
        <f t="shared" si="2"/>
        <v>48.674999999999997</v>
      </c>
      <c r="LG110" s="185">
        <f t="shared" si="2"/>
        <v>48.674999999999997</v>
      </c>
      <c r="LH110" s="185">
        <f t="shared" si="2"/>
        <v>49.15</v>
      </c>
      <c r="LI110" s="185">
        <f t="shared" ref="LI110:ME110" si="3">$DX$111*LI111+$DX$112*LI112</f>
        <v>49.15</v>
      </c>
      <c r="LJ110" s="185">
        <f t="shared" si="3"/>
        <v>49.25</v>
      </c>
      <c r="LK110" s="185">
        <f t="shared" si="3"/>
        <v>49.25</v>
      </c>
      <c r="LL110" s="185">
        <f t="shared" si="3"/>
        <v>49.35</v>
      </c>
      <c r="LM110" s="185">
        <f t="shared" si="3"/>
        <v>49.724999999999994</v>
      </c>
      <c r="LN110" s="185">
        <f t="shared" si="3"/>
        <v>49.774999999999999</v>
      </c>
      <c r="LO110" s="185">
        <f t="shared" si="3"/>
        <v>49.774999999999999</v>
      </c>
      <c r="LP110" s="185">
        <f t="shared" si="3"/>
        <v>49.875</v>
      </c>
      <c r="LQ110" s="185">
        <f t="shared" si="3"/>
        <v>49.875</v>
      </c>
      <c r="LR110" s="185">
        <f t="shared" si="3"/>
        <v>50.349999999999994</v>
      </c>
      <c r="LS110" s="185">
        <f t="shared" si="3"/>
        <v>50.349999999999994</v>
      </c>
      <c r="LT110" s="185">
        <f t="shared" si="3"/>
        <v>50.449999999999996</v>
      </c>
      <c r="LU110" s="185">
        <f t="shared" si="3"/>
        <v>50.924999999999997</v>
      </c>
      <c r="LV110" s="185">
        <f t="shared" si="3"/>
        <v>50.974999999999994</v>
      </c>
      <c r="LW110" s="185">
        <f t="shared" si="3"/>
        <v>50.974999999999994</v>
      </c>
      <c r="LX110" s="185">
        <f t="shared" si="3"/>
        <v>51.075000000000003</v>
      </c>
      <c r="LY110" s="185">
        <f t="shared" si="3"/>
        <v>51.5</v>
      </c>
      <c r="LZ110" s="185">
        <f t="shared" si="3"/>
        <v>51.55</v>
      </c>
      <c r="MA110" s="185">
        <f t="shared" si="3"/>
        <v>51.55</v>
      </c>
      <c r="MB110" s="185">
        <f t="shared" si="3"/>
        <v>51.650000000000006</v>
      </c>
      <c r="MC110" s="185">
        <f t="shared" si="3"/>
        <v>51.650000000000006</v>
      </c>
      <c r="MD110" s="185">
        <f t="shared" si="3"/>
        <v>52.074999999999996</v>
      </c>
      <c r="ME110" s="185">
        <f t="shared" si="3"/>
        <v>52.074999999999996</v>
      </c>
    </row>
    <row r="111" spans="1:343" ht="7.4" customHeight="1" x14ac:dyDescent="0.5">
      <c r="A111" s="42"/>
      <c r="S111" s="70"/>
      <c r="T111" s="335"/>
      <c r="U111" s="335"/>
      <c r="V111" s="335"/>
      <c r="W111" s="335"/>
      <c r="X111" s="335"/>
      <c r="Y111" s="335"/>
      <c r="Z111" s="335"/>
      <c r="AA111" s="335"/>
      <c r="AB111" s="335"/>
      <c r="AC111" s="335"/>
      <c r="AD111" s="335"/>
      <c r="AE111" s="335"/>
      <c r="AF111" s="335"/>
      <c r="AG111" s="335"/>
      <c r="AH111" s="335"/>
      <c r="AI111" s="335"/>
      <c r="AJ111" s="335"/>
      <c r="AK111" s="335"/>
      <c r="AL111" s="335"/>
      <c r="AM111" s="335"/>
      <c r="AN111" s="335"/>
      <c r="AO111" s="335"/>
      <c r="AP111" s="335"/>
      <c r="AQ111" s="71"/>
      <c r="BI111" s="41"/>
      <c r="BK111" s="427"/>
      <c r="BL111" s="427"/>
      <c r="BM111" s="427"/>
      <c r="BN111" s="427"/>
      <c r="BO111" s="427"/>
      <c r="BP111" s="427"/>
      <c r="BQ111" s="428"/>
      <c r="BR111" s="428"/>
      <c r="BS111" s="428"/>
      <c r="BT111" s="428"/>
      <c r="BU111" s="428"/>
      <c r="BV111" s="428"/>
      <c r="BW111" s="428"/>
      <c r="BX111" s="428"/>
      <c r="BY111" s="428"/>
      <c r="BZ111" s="428"/>
      <c r="CA111" s="428"/>
      <c r="CB111" s="428"/>
      <c r="CC111" s="339"/>
      <c r="CD111" s="339"/>
      <c r="CE111" s="339"/>
      <c r="CF111" s="339"/>
      <c r="CG111" s="339"/>
      <c r="CH111" s="339"/>
      <c r="CI111" s="336"/>
      <c r="CJ111" s="336"/>
      <c r="CK111" s="336"/>
      <c r="CL111" s="336"/>
      <c r="CM111" s="336"/>
      <c r="CN111" s="336"/>
      <c r="CO111" s="336"/>
      <c r="CP111" s="336"/>
      <c r="CQ111" s="336"/>
      <c r="CR111" s="336"/>
      <c r="CS111" s="336"/>
      <c r="CT111" s="336"/>
      <c r="DW111" s="186">
        <f>DX111*1000</f>
        <v>4700</v>
      </c>
      <c r="DX111" s="187">
        <v>4.7</v>
      </c>
      <c r="DY111" s="188">
        <v>0</v>
      </c>
      <c r="DZ111" s="188">
        <v>0.5</v>
      </c>
      <c r="EA111" s="188">
        <v>0</v>
      </c>
      <c r="EB111" s="188">
        <v>1</v>
      </c>
      <c r="EC111" s="188">
        <v>0.5</v>
      </c>
      <c r="ED111" s="188">
        <v>0</v>
      </c>
      <c r="EE111" s="188">
        <v>1.5</v>
      </c>
      <c r="EF111" s="188">
        <v>1</v>
      </c>
      <c r="EG111" s="188">
        <v>0.5</v>
      </c>
      <c r="EH111" s="188">
        <v>0</v>
      </c>
      <c r="EI111" s="188">
        <v>2</v>
      </c>
      <c r="EJ111" s="188">
        <v>1.5</v>
      </c>
      <c r="EK111" s="188">
        <v>1</v>
      </c>
      <c r="EL111" s="188">
        <v>0.5</v>
      </c>
      <c r="EM111" s="188">
        <v>0</v>
      </c>
      <c r="EN111" s="188">
        <v>2.5</v>
      </c>
      <c r="EO111" s="188">
        <v>2</v>
      </c>
      <c r="EP111" s="188">
        <v>1.5</v>
      </c>
      <c r="EQ111" s="188">
        <v>1</v>
      </c>
      <c r="ER111" s="188">
        <v>0.5</v>
      </c>
      <c r="ES111" s="188">
        <v>0.5</v>
      </c>
      <c r="ET111" s="188">
        <v>0</v>
      </c>
      <c r="EU111" s="188">
        <v>2.5</v>
      </c>
      <c r="EV111" s="188">
        <v>2</v>
      </c>
      <c r="EW111" s="188">
        <v>1.5</v>
      </c>
      <c r="EX111" s="188">
        <v>1</v>
      </c>
      <c r="EY111" s="188">
        <v>3.5</v>
      </c>
      <c r="EZ111" s="188">
        <v>0.5</v>
      </c>
      <c r="FA111" s="188">
        <v>0.5</v>
      </c>
      <c r="FB111" s="188">
        <v>0</v>
      </c>
      <c r="FC111" s="188">
        <v>0</v>
      </c>
      <c r="FD111" s="188">
        <v>2</v>
      </c>
      <c r="FE111" s="188">
        <v>1.5</v>
      </c>
      <c r="FF111" s="188">
        <v>1.5</v>
      </c>
      <c r="FG111" s="188">
        <v>1</v>
      </c>
      <c r="FH111" s="188">
        <v>3.5</v>
      </c>
      <c r="FI111" s="188">
        <v>0.5</v>
      </c>
      <c r="FJ111" s="188">
        <v>3</v>
      </c>
      <c r="FK111" s="188">
        <v>0</v>
      </c>
      <c r="FL111" s="188">
        <v>0</v>
      </c>
      <c r="FM111" s="188">
        <v>2</v>
      </c>
      <c r="FN111" s="188">
        <v>4.5</v>
      </c>
      <c r="FO111" s="188">
        <v>1.5</v>
      </c>
      <c r="FP111" s="188">
        <v>1.5</v>
      </c>
      <c r="FQ111" s="188">
        <v>1</v>
      </c>
      <c r="FR111" s="188">
        <v>1</v>
      </c>
      <c r="FS111" s="188">
        <v>0.5</v>
      </c>
      <c r="FT111" s="188">
        <v>3</v>
      </c>
      <c r="FU111" s="188">
        <v>0</v>
      </c>
      <c r="FV111" s="188">
        <v>2.5</v>
      </c>
      <c r="FW111" s="188">
        <v>2.5</v>
      </c>
      <c r="FX111" s="188">
        <v>2</v>
      </c>
      <c r="FY111" s="188">
        <v>4.5</v>
      </c>
      <c r="FZ111" s="188">
        <v>1.5</v>
      </c>
      <c r="GA111" s="188">
        <v>4</v>
      </c>
      <c r="GB111" s="188">
        <v>1</v>
      </c>
      <c r="GC111" s="188">
        <v>1</v>
      </c>
      <c r="GD111" s="188">
        <v>0.5</v>
      </c>
      <c r="GE111" s="188">
        <v>0.5</v>
      </c>
      <c r="GF111" s="188">
        <v>5.5</v>
      </c>
      <c r="GG111" s="188">
        <v>0</v>
      </c>
      <c r="GH111" s="188">
        <v>2.5</v>
      </c>
      <c r="GI111" s="188">
        <v>2.5</v>
      </c>
      <c r="GJ111" s="188">
        <v>2</v>
      </c>
      <c r="GK111" s="188">
        <v>2</v>
      </c>
      <c r="GL111" s="188">
        <v>1.5</v>
      </c>
      <c r="GM111" s="188">
        <v>4</v>
      </c>
      <c r="GN111" s="188">
        <v>1</v>
      </c>
      <c r="GO111" s="188">
        <v>3.5</v>
      </c>
      <c r="GP111" s="188">
        <v>3.5</v>
      </c>
      <c r="GQ111" s="188">
        <v>0.5</v>
      </c>
      <c r="GR111" s="188">
        <v>0.5</v>
      </c>
      <c r="GS111" s="188">
        <v>5.5</v>
      </c>
      <c r="GT111" s="188">
        <v>0</v>
      </c>
      <c r="GU111" s="188">
        <v>0</v>
      </c>
      <c r="GV111" s="188">
        <v>5</v>
      </c>
      <c r="GW111" s="188">
        <v>2</v>
      </c>
      <c r="GX111" s="188">
        <v>2</v>
      </c>
      <c r="GY111" s="188">
        <v>1.5</v>
      </c>
      <c r="GZ111" s="188">
        <v>1.5</v>
      </c>
      <c r="HA111" s="188">
        <v>6.5</v>
      </c>
      <c r="HB111" s="188">
        <v>1</v>
      </c>
      <c r="HC111" s="188">
        <v>3.5</v>
      </c>
      <c r="HD111" s="188">
        <v>3.5</v>
      </c>
      <c r="HE111" s="188">
        <v>0.5</v>
      </c>
      <c r="HF111" s="188">
        <v>3</v>
      </c>
      <c r="HG111" s="188">
        <v>3</v>
      </c>
      <c r="HH111" s="188">
        <v>0</v>
      </c>
      <c r="HI111" s="188">
        <v>0</v>
      </c>
      <c r="HJ111" s="188">
        <v>5</v>
      </c>
      <c r="HK111" s="188">
        <v>2</v>
      </c>
      <c r="HL111" s="188">
        <v>4.5</v>
      </c>
      <c r="HM111" s="188">
        <v>4.5</v>
      </c>
      <c r="HN111" s="188">
        <v>1.5</v>
      </c>
      <c r="HO111" s="188">
        <v>1.5</v>
      </c>
      <c r="HP111" s="188">
        <v>6.5</v>
      </c>
      <c r="HQ111" s="188">
        <v>1</v>
      </c>
      <c r="HR111" s="188">
        <v>1</v>
      </c>
      <c r="HS111" s="188">
        <v>6</v>
      </c>
      <c r="HT111" s="188">
        <v>0.5</v>
      </c>
      <c r="HU111" s="188">
        <v>3</v>
      </c>
      <c r="HV111" s="188">
        <v>3</v>
      </c>
      <c r="HW111" s="188">
        <v>0</v>
      </c>
      <c r="HX111" s="188">
        <v>2.5</v>
      </c>
      <c r="HY111" s="188">
        <v>2.5</v>
      </c>
      <c r="HZ111" s="188">
        <v>7.5</v>
      </c>
      <c r="IA111" s="188">
        <v>2</v>
      </c>
      <c r="IB111" s="188">
        <v>4.5</v>
      </c>
      <c r="IC111" s="188">
        <v>4.5</v>
      </c>
      <c r="ID111" s="188">
        <v>1.5</v>
      </c>
      <c r="IE111" s="188">
        <v>4</v>
      </c>
      <c r="IF111" s="188">
        <v>4</v>
      </c>
      <c r="IG111" s="188">
        <v>1</v>
      </c>
      <c r="IH111" s="188">
        <v>1</v>
      </c>
      <c r="II111" s="188">
        <v>6</v>
      </c>
      <c r="IJ111" s="188">
        <v>0.5</v>
      </c>
      <c r="IK111" s="188">
        <v>0.5</v>
      </c>
      <c r="IL111" s="188">
        <v>5.5</v>
      </c>
      <c r="IM111" s="188">
        <v>5.5</v>
      </c>
      <c r="IN111" s="188">
        <v>0</v>
      </c>
      <c r="IO111" s="188">
        <v>2.5</v>
      </c>
      <c r="IP111" s="188">
        <v>2.5</v>
      </c>
      <c r="IQ111" s="188">
        <v>7.5</v>
      </c>
      <c r="IR111" s="188">
        <v>2</v>
      </c>
      <c r="IS111" s="188">
        <v>2</v>
      </c>
      <c r="IT111" s="188">
        <v>7</v>
      </c>
      <c r="IU111" s="188">
        <v>1.5</v>
      </c>
      <c r="IV111" s="188">
        <v>4</v>
      </c>
      <c r="IW111" s="188">
        <v>4</v>
      </c>
      <c r="IX111" s="188">
        <v>1</v>
      </c>
      <c r="IY111" s="188">
        <v>3.5</v>
      </c>
      <c r="IZ111" s="188">
        <v>3.5</v>
      </c>
      <c r="JA111" s="188">
        <v>8.5</v>
      </c>
      <c r="JB111" s="188">
        <v>0.5</v>
      </c>
      <c r="JC111" s="188">
        <v>0.5</v>
      </c>
      <c r="JD111" s="188">
        <v>5.5</v>
      </c>
      <c r="JE111" s="188">
        <v>5.5</v>
      </c>
      <c r="JF111" s="188">
        <v>0</v>
      </c>
      <c r="JG111" s="188">
        <v>0</v>
      </c>
      <c r="JH111" s="188">
        <v>5</v>
      </c>
      <c r="JI111" s="188">
        <v>5</v>
      </c>
      <c r="JJ111" s="188">
        <v>2</v>
      </c>
      <c r="JK111" s="188">
        <v>2</v>
      </c>
      <c r="JL111" s="188">
        <v>7</v>
      </c>
      <c r="JM111" s="188">
        <v>1.5</v>
      </c>
      <c r="JN111" s="188">
        <v>1.5</v>
      </c>
      <c r="JO111" s="188">
        <v>6.5</v>
      </c>
      <c r="JP111" s="188">
        <v>6.5</v>
      </c>
      <c r="JQ111" s="188">
        <v>1</v>
      </c>
      <c r="JR111" s="188">
        <v>3.5</v>
      </c>
      <c r="JS111" s="188">
        <v>3.5</v>
      </c>
      <c r="JT111" s="188">
        <v>8.5</v>
      </c>
      <c r="JU111" s="188">
        <v>0.5</v>
      </c>
      <c r="JV111" s="188">
        <v>3</v>
      </c>
      <c r="JW111" s="188">
        <v>3</v>
      </c>
      <c r="JX111" s="188">
        <v>8</v>
      </c>
      <c r="JY111" s="188">
        <v>0</v>
      </c>
      <c r="JZ111" s="188">
        <v>0</v>
      </c>
      <c r="KA111" s="188">
        <v>5</v>
      </c>
      <c r="KB111" s="188">
        <v>5</v>
      </c>
      <c r="KC111" s="188">
        <v>2</v>
      </c>
      <c r="KD111" s="188">
        <v>4.5</v>
      </c>
      <c r="KE111" s="188">
        <v>4.5</v>
      </c>
      <c r="KF111" s="188">
        <v>9.5</v>
      </c>
      <c r="KG111" s="188">
        <v>1.5</v>
      </c>
      <c r="KH111" s="188">
        <v>1.5</v>
      </c>
      <c r="KI111" s="188">
        <v>6.5</v>
      </c>
      <c r="KJ111" s="188">
        <v>6.5</v>
      </c>
      <c r="KK111" s="188">
        <v>1</v>
      </c>
      <c r="KL111" s="188">
        <v>1</v>
      </c>
      <c r="KM111" s="188">
        <v>6</v>
      </c>
      <c r="KN111" s="188">
        <v>6</v>
      </c>
      <c r="KO111" s="188">
        <v>0.5</v>
      </c>
      <c r="KP111" s="188">
        <v>3</v>
      </c>
      <c r="KQ111" s="188">
        <v>3</v>
      </c>
      <c r="KR111" s="188">
        <v>8</v>
      </c>
      <c r="KS111" s="188">
        <v>0</v>
      </c>
      <c r="KT111" s="188">
        <v>2.5</v>
      </c>
      <c r="KU111" s="188">
        <v>2.5</v>
      </c>
      <c r="KV111" s="188">
        <v>7.5</v>
      </c>
      <c r="KW111" s="188">
        <v>2</v>
      </c>
      <c r="KX111" s="188">
        <v>4.5</v>
      </c>
      <c r="KY111" s="188">
        <v>4.5</v>
      </c>
      <c r="KZ111" s="188">
        <v>1.5</v>
      </c>
      <c r="LA111" s="188">
        <v>4</v>
      </c>
      <c r="LB111" s="188">
        <v>4</v>
      </c>
      <c r="LC111" s="188">
        <v>9</v>
      </c>
      <c r="LD111" s="188">
        <v>1</v>
      </c>
      <c r="LE111" s="188">
        <v>1</v>
      </c>
      <c r="LF111" s="188">
        <v>6</v>
      </c>
      <c r="LG111" s="188">
        <v>6</v>
      </c>
      <c r="LH111" s="188">
        <v>0.5</v>
      </c>
      <c r="LI111" s="188">
        <v>0.5</v>
      </c>
      <c r="LJ111" s="188">
        <v>5.5</v>
      </c>
      <c r="LK111" s="188">
        <v>5.5</v>
      </c>
      <c r="LL111" s="188">
        <v>10.5</v>
      </c>
      <c r="LM111" s="188">
        <v>0</v>
      </c>
      <c r="LN111" s="188">
        <v>2.5</v>
      </c>
      <c r="LO111" s="188">
        <v>2.5</v>
      </c>
      <c r="LP111" s="188">
        <v>7.5</v>
      </c>
      <c r="LQ111" s="188">
        <v>7.5</v>
      </c>
      <c r="LR111" s="188">
        <v>2</v>
      </c>
      <c r="LS111" s="188">
        <v>2</v>
      </c>
      <c r="LT111" s="188">
        <v>7</v>
      </c>
      <c r="LU111" s="188">
        <v>1.5</v>
      </c>
      <c r="LV111" s="188">
        <v>4</v>
      </c>
      <c r="LW111" s="188">
        <v>4</v>
      </c>
      <c r="LX111" s="188">
        <v>9</v>
      </c>
      <c r="LY111" s="188">
        <v>1</v>
      </c>
      <c r="LZ111" s="188">
        <v>3.5</v>
      </c>
      <c r="MA111" s="188">
        <v>3.5</v>
      </c>
      <c r="MB111" s="188">
        <v>8.5</v>
      </c>
      <c r="MC111" s="188">
        <v>8.5</v>
      </c>
      <c r="MD111" s="188">
        <v>0.5</v>
      </c>
      <c r="ME111" s="188">
        <v>0.5</v>
      </c>
    </row>
    <row r="112" spans="1:343" ht="7.4" customHeight="1" x14ac:dyDescent="0.5">
      <c r="A112" s="42"/>
      <c r="S112" s="72"/>
      <c r="T112" s="73"/>
      <c r="U112" s="73"/>
      <c r="V112" s="73"/>
      <c r="W112" s="73"/>
      <c r="X112" s="73"/>
      <c r="Y112" s="73"/>
      <c r="Z112" s="73"/>
      <c r="AA112" s="73"/>
      <c r="AB112" s="73"/>
      <c r="AC112" s="73"/>
      <c r="AD112" s="73"/>
      <c r="AE112" s="73"/>
      <c r="AF112" s="73"/>
      <c r="AG112" s="73"/>
      <c r="AH112" s="73"/>
      <c r="AI112" s="73"/>
      <c r="AJ112" s="73"/>
      <c r="AK112" s="73"/>
      <c r="AL112" s="73"/>
      <c r="AM112" s="73"/>
      <c r="AN112" s="73"/>
      <c r="AO112" s="73"/>
      <c r="AP112" s="73"/>
      <c r="AQ112" s="74"/>
      <c r="BI112" s="41"/>
      <c r="BK112" s="427"/>
      <c r="BL112" s="427"/>
      <c r="BM112" s="427"/>
      <c r="BN112" s="427"/>
      <c r="BO112" s="427"/>
      <c r="BP112" s="427"/>
      <c r="BQ112" s="428"/>
      <c r="BR112" s="428"/>
      <c r="BS112" s="428"/>
      <c r="BT112" s="428"/>
      <c r="BU112" s="428"/>
      <c r="BV112" s="428"/>
      <c r="BW112" s="428"/>
      <c r="BX112" s="428"/>
      <c r="BY112" s="428"/>
      <c r="BZ112" s="428"/>
      <c r="CA112" s="428"/>
      <c r="CB112" s="428"/>
      <c r="CC112" s="339"/>
      <c r="CD112" s="339"/>
      <c r="CE112" s="339"/>
      <c r="CF112" s="339"/>
      <c r="CG112" s="339"/>
      <c r="CH112" s="339"/>
      <c r="CI112" s="336"/>
      <c r="CJ112" s="336"/>
      <c r="CK112" s="336"/>
      <c r="CL112" s="336"/>
      <c r="CM112" s="336"/>
      <c r="CN112" s="336"/>
      <c r="CO112" s="336"/>
      <c r="CP112" s="336"/>
      <c r="CQ112" s="336"/>
      <c r="CR112" s="336"/>
      <c r="CS112" s="336"/>
      <c r="CT112" s="336"/>
      <c r="DW112" s="186">
        <f>DX112*1000</f>
        <v>5850</v>
      </c>
      <c r="DX112" s="187">
        <v>5.85</v>
      </c>
      <c r="DY112" s="188">
        <v>0</v>
      </c>
      <c r="DZ112" s="188">
        <v>0</v>
      </c>
      <c r="EA112" s="188">
        <v>0.5</v>
      </c>
      <c r="EB112" s="188">
        <v>0</v>
      </c>
      <c r="EC112" s="188">
        <v>0.5</v>
      </c>
      <c r="ED112" s="188">
        <v>1</v>
      </c>
      <c r="EE112" s="188">
        <v>0</v>
      </c>
      <c r="EF112" s="188">
        <v>0.5</v>
      </c>
      <c r="EG112" s="188">
        <v>1</v>
      </c>
      <c r="EH112" s="188">
        <v>1.5</v>
      </c>
      <c r="EI112" s="188">
        <v>0</v>
      </c>
      <c r="EJ112" s="188">
        <v>0.5</v>
      </c>
      <c r="EK112" s="188">
        <v>1</v>
      </c>
      <c r="EL112" s="188">
        <v>1.5</v>
      </c>
      <c r="EM112" s="188">
        <v>2</v>
      </c>
      <c r="EN112" s="188">
        <v>0</v>
      </c>
      <c r="EO112" s="188">
        <v>0.5</v>
      </c>
      <c r="EP112" s="188">
        <v>1</v>
      </c>
      <c r="EQ112" s="188">
        <v>1.5</v>
      </c>
      <c r="ER112" s="188">
        <v>2</v>
      </c>
      <c r="ES112" s="188">
        <v>2</v>
      </c>
      <c r="ET112" s="188">
        <v>2.5</v>
      </c>
      <c r="EU112" s="188">
        <v>0.5</v>
      </c>
      <c r="EV112" s="188">
        <v>1</v>
      </c>
      <c r="EW112" s="188">
        <v>1.5</v>
      </c>
      <c r="EX112" s="188">
        <v>2</v>
      </c>
      <c r="EY112" s="188">
        <v>0</v>
      </c>
      <c r="EZ112" s="188">
        <v>2.5</v>
      </c>
      <c r="FA112" s="188">
        <v>2.5</v>
      </c>
      <c r="FB112" s="188">
        <v>3</v>
      </c>
      <c r="FC112" s="188">
        <v>3</v>
      </c>
      <c r="FD112" s="188">
        <v>1.5</v>
      </c>
      <c r="FE112" s="188">
        <v>2</v>
      </c>
      <c r="FF112" s="188">
        <v>2</v>
      </c>
      <c r="FG112" s="188">
        <v>2.5</v>
      </c>
      <c r="FH112" s="188">
        <v>0.5</v>
      </c>
      <c r="FI112" s="188">
        <v>3</v>
      </c>
      <c r="FJ112" s="188">
        <v>1</v>
      </c>
      <c r="FK112" s="188">
        <v>3.5</v>
      </c>
      <c r="FL112" s="188">
        <v>3.5</v>
      </c>
      <c r="FM112" s="188">
        <v>2</v>
      </c>
      <c r="FN112" s="188">
        <v>0</v>
      </c>
      <c r="FO112" s="188">
        <v>2.5</v>
      </c>
      <c r="FP112" s="188">
        <v>2.5</v>
      </c>
      <c r="FQ112" s="188">
        <v>3</v>
      </c>
      <c r="FR112" s="188">
        <v>3</v>
      </c>
      <c r="FS112" s="188">
        <v>3.5</v>
      </c>
      <c r="FT112" s="188">
        <v>1.5</v>
      </c>
      <c r="FU112" s="188">
        <v>4</v>
      </c>
      <c r="FV112" s="188">
        <v>2</v>
      </c>
      <c r="FW112" s="188">
        <v>2</v>
      </c>
      <c r="FX112" s="188">
        <v>2.5</v>
      </c>
      <c r="FY112" s="188">
        <v>0.5</v>
      </c>
      <c r="FZ112" s="188">
        <v>3</v>
      </c>
      <c r="GA112" s="188">
        <v>1</v>
      </c>
      <c r="GB112" s="188">
        <v>3.5</v>
      </c>
      <c r="GC112" s="188">
        <v>3.5</v>
      </c>
      <c r="GD112" s="188">
        <v>4</v>
      </c>
      <c r="GE112" s="188">
        <v>4</v>
      </c>
      <c r="GF112" s="188">
        <v>0</v>
      </c>
      <c r="GG112" s="188">
        <v>4.5</v>
      </c>
      <c r="GH112" s="188">
        <v>2.5</v>
      </c>
      <c r="GI112" s="188">
        <v>2.5</v>
      </c>
      <c r="GJ112" s="188">
        <v>3</v>
      </c>
      <c r="GK112" s="188">
        <v>3</v>
      </c>
      <c r="GL112" s="188">
        <v>3.5</v>
      </c>
      <c r="GM112" s="188">
        <v>1.5</v>
      </c>
      <c r="GN112" s="188">
        <v>4</v>
      </c>
      <c r="GO112" s="188">
        <v>2</v>
      </c>
      <c r="GP112" s="188">
        <v>2</v>
      </c>
      <c r="GQ112" s="188">
        <v>4.5</v>
      </c>
      <c r="GR112" s="188">
        <v>4.5</v>
      </c>
      <c r="GS112" s="188">
        <v>0.5</v>
      </c>
      <c r="GT112" s="188">
        <v>5</v>
      </c>
      <c r="GU112" s="188">
        <v>5</v>
      </c>
      <c r="GV112" s="188">
        <v>1</v>
      </c>
      <c r="GW112" s="188">
        <v>3.5</v>
      </c>
      <c r="GX112" s="188">
        <v>3.5</v>
      </c>
      <c r="GY112" s="188">
        <v>4</v>
      </c>
      <c r="GZ112" s="188">
        <v>4</v>
      </c>
      <c r="HA112" s="188">
        <v>0</v>
      </c>
      <c r="HB112" s="188">
        <v>4.5</v>
      </c>
      <c r="HC112" s="188">
        <v>2.5</v>
      </c>
      <c r="HD112" s="188">
        <v>2.5</v>
      </c>
      <c r="HE112" s="188">
        <v>5</v>
      </c>
      <c r="HF112" s="188">
        <v>3</v>
      </c>
      <c r="HG112" s="188">
        <v>3</v>
      </c>
      <c r="HH112" s="188">
        <v>5.5</v>
      </c>
      <c r="HI112" s="188">
        <v>5.5</v>
      </c>
      <c r="HJ112" s="188">
        <v>1.5</v>
      </c>
      <c r="HK112" s="188">
        <v>4</v>
      </c>
      <c r="HL112" s="188">
        <v>2</v>
      </c>
      <c r="HM112" s="188">
        <v>2</v>
      </c>
      <c r="HN112" s="188">
        <v>4.5</v>
      </c>
      <c r="HO112" s="188">
        <v>4.5</v>
      </c>
      <c r="HP112" s="188">
        <v>0.5</v>
      </c>
      <c r="HQ112" s="188">
        <v>5</v>
      </c>
      <c r="HR112" s="188">
        <v>5</v>
      </c>
      <c r="HS112" s="188">
        <v>1</v>
      </c>
      <c r="HT112" s="188">
        <v>5.5</v>
      </c>
      <c r="HU112" s="188">
        <v>3.5</v>
      </c>
      <c r="HV112" s="188">
        <v>3.5</v>
      </c>
      <c r="HW112" s="188">
        <v>6</v>
      </c>
      <c r="HX112" s="188">
        <v>4</v>
      </c>
      <c r="HY112" s="188">
        <v>4</v>
      </c>
      <c r="HZ112" s="188">
        <v>0</v>
      </c>
      <c r="IA112" s="188">
        <v>4.5</v>
      </c>
      <c r="IB112" s="188">
        <v>2.5</v>
      </c>
      <c r="IC112" s="188">
        <v>2.5</v>
      </c>
      <c r="ID112" s="188">
        <v>5</v>
      </c>
      <c r="IE112" s="188">
        <v>3</v>
      </c>
      <c r="IF112" s="188">
        <v>3</v>
      </c>
      <c r="IG112" s="188">
        <v>5.5</v>
      </c>
      <c r="IH112" s="188">
        <v>5.5</v>
      </c>
      <c r="II112" s="188">
        <v>1.5</v>
      </c>
      <c r="IJ112" s="188">
        <v>6</v>
      </c>
      <c r="IK112" s="188">
        <v>6</v>
      </c>
      <c r="IL112" s="188">
        <v>2</v>
      </c>
      <c r="IM112" s="188">
        <v>2</v>
      </c>
      <c r="IN112" s="188">
        <v>6.5</v>
      </c>
      <c r="IO112" s="188">
        <v>4.5</v>
      </c>
      <c r="IP112" s="188">
        <v>4.5</v>
      </c>
      <c r="IQ112" s="188">
        <v>0.5</v>
      </c>
      <c r="IR112" s="188">
        <v>5</v>
      </c>
      <c r="IS112" s="188">
        <v>5</v>
      </c>
      <c r="IT112" s="188">
        <v>1</v>
      </c>
      <c r="IU112" s="188">
        <v>5.5</v>
      </c>
      <c r="IV112" s="188">
        <v>3.5</v>
      </c>
      <c r="IW112" s="188">
        <v>3.5</v>
      </c>
      <c r="IX112" s="188">
        <v>6</v>
      </c>
      <c r="IY112" s="188">
        <v>4</v>
      </c>
      <c r="IZ112" s="188">
        <v>4</v>
      </c>
      <c r="JA112" s="188">
        <v>0</v>
      </c>
      <c r="JB112" s="188">
        <v>6.5</v>
      </c>
      <c r="JC112" s="188">
        <v>6.5</v>
      </c>
      <c r="JD112" s="188">
        <v>2.5</v>
      </c>
      <c r="JE112" s="188">
        <v>2.5</v>
      </c>
      <c r="JF112" s="188">
        <v>7</v>
      </c>
      <c r="JG112" s="188">
        <v>7</v>
      </c>
      <c r="JH112" s="188">
        <v>3</v>
      </c>
      <c r="JI112" s="188">
        <v>3</v>
      </c>
      <c r="JJ112" s="188">
        <v>5.5</v>
      </c>
      <c r="JK112" s="188">
        <v>5.5</v>
      </c>
      <c r="JL112" s="188">
        <v>1.5</v>
      </c>
      <c r="JM112" s="188">
        <v>6</v>
      </c>
      <c r="JN112" s="188">
        <v>6</v>
      </c>
      <c r="JO112" s="188">
        <v>2</v>
      </c>
      <c r="JP112" s="188">
        <v>2</v>
      </c>
      <c r="JQ112" s="188">
        <v>6.5</v>
      </c>
      <c r="JR112" s="188">
        <v>4.5</v>
      </c>
      <c r="JS112" s="188">
        <v>4.5</v>
      </c>
      <c r="JT112" s="188">
        <v>0.5</v>
      </c>
      <c r="JU112" s="188">
        <v>7</v>
      </c>
      <c r="JV112" s="188">
        <v>5</v>
      </c>
      <c r="JW112" s="188">
        <v>5</v>
      </c>
      <c r="JX112" s="188">
        <v>1</v>
      </c>
      <c r="JY112" s="188">
        <v>7.5</v>
      </c>
      <c r="JZ112" s="188">
        <v>7.5</v>
      </c>
      <c r="KA112" s="188">
        <v>3.5</v>
      </c>
      <c r="KB112" s="188">
        <v>3.5</v>
      </c>
      <c r="KC112" s="188">
        <v>6</v>
      </c>
      <c r="KD112" s="188">
        <v>4</v>
      </c>
      <c r="KE112" s="188">
        <v>4</v>
      </c>
      <c r="KF112" s="188">
        <v>0</v>
      </c>
      <c r="KG112" s="188">
        <v>6.5</v>
      </c>
      <c r="KH112" s="188">
        <v>6.5</v>
      </c>
      <c r="KI112" s="188">
        <v>2.5</v>
      </c>
      <c r="KJ112" s="188">
        <v>2.5</v>
      </c>
      <c r="KK112" s="188">
        <v>7</v>
      </c>
      <c r="KL112" s="188">
        <v>7</v>
      </c>
      <c r="KM112" s="188">
        <v>3</v>
      </c>
      <c r="KN112" s="188">
        <v>3</v>
      </c>
      <c r="KO112" s="188">
        <v>7.5</v>
      </c>
      <c r="KP112" s="188">
        <v>5.5</v>
      </c>
      <c r="KQ112" s="188">
        <v>5.5</v>
      </c>
      <c r="KR112" s="188">
        <v>1.5</v>
      </c>
      <c r="KS112" s="188">
        <v>8</v>
      </c>
      <c r="KT112" s="188">
        <v>6</v>
      </c>
      <c r="KU112" s="188">
        <v>6</v>
      </c>
      <c r="KV112" s="188">
        <v>2</v>
      </c>
      <c r="KW112" s="188">
        <v>6.5</v>
      </c>
      <c r="KX112" s="188">
        <v>4.5</v>
      </c>
      <c r="KY112" s="188">
        <v>4.5</v>
      </c>
      <c r="KZ112" s="188">
        <v>7</v>
      </c>
      <c r="LA112" s="188">
        <v>5</v>
      </c>
      <c r="LB112" s="188">
        <v>5</v>
      </c>
      <c r="LC112" s="188">
        <v>1</v>
      </c>
      <c r="LD112" s="188">
        <v>7.5</v>
      </c>
      <c r="LE112" s="188">
        <v>7.5</v>
      </c>
      <c r="LF112" s="188">
        <v>3.5</v>
      </c>
      <c r="LG112" s="188">
        <v>3.5</v>
      </c>
      <c r="LH112" s="188">
        <v>8</v>
      </c>
      <c r="LI112" s="188">
        <v>8</v>
      </c>
      <c r="LJ112" s="188">
        <v>4</v>
      </c>
      <c r="LK112" s="188">
        <v>4</v>
      </c>
      <c r="LL112" s="188">
        <v>0</v>
      </c>
      <c r="LM112" s="188">
        <v>8.5</v>
      </c>
      <c r="LN112" s="188">
        <v>6.5</v>
      </c>
      <c r="LO112" s="188">
        <v>6.5</v>
      </c>
      <c r="LP112" s="188">
        <v>2.5</v>
      </c>
      <c r="LQ112" s="188">
        <v>2.5</v>
      </c>
      <c r="LR112" s="188">
        <v>7</v>
      </c>
      <c r="LS112" s="188">
        <v>7</v>
      </c>
      <c r="LT112" s="188">
        <v>3</v>
      </c>
      <c r="LU112" s="188">
        <v>7.5</v>
      </c>
      <c r="LV112" s="188">
        <v>5.5</v>
      </c>
      <c r="LW112" s="188">
        <v>5.5</v>
      </c>
      <c r="LX112" s="188">
        <v>1.5</v>
      </c>
      <c r="LY112" s="188">
        <v>8</v>
      </c>
      <c r="LZ112" s="188">
        <v>6</v>
      </c>
      <c r="MA112" s="188">
        <v>6</v>
      </c>
      <c r="MB112" s="188">
        <v>2</v>
      </c>
      <c r="MC112" s="188">
        <v>2</v>
      </c>
      <c r="MD112" s="188">
        <v>8.5</v>
      </c>
      <c r="ME112" s="188">
        <v>8.5</v>
      </c>
    </row>
    <row r="113" spans="1:342" ht="7.4" customHeight="1" x14ac:dyDescent="0.5">
      <c r="A113" s="42"/>
      <c r="BI113" s="41"/>
      <c r="CO113" s="298"/>
      <c r="CP113" s="298"/>
      <c r="CQ113" s="298"/>
      <c r="CR113" s="298"/>
      <c r="CS113" s="298"/>
      <c r="CT113" s="298"/>
      <c r="DW113" s="24" t="s">
        <v>86</v>
      </c>
    </row>
    <row r="114" spans="1:342" ht="7.4" customHeight="1" x14ac:dyDescent="0.5">
      <c r="A114" s="42"/>
      <c r="B114" s="29"/>
      <c r="C114" s="422" t="s">
        <v>49</v>
      </c>
      <c r="D114" s="422"/>
      <c r="E114" s="423"/>
      <c r="F114" s="29"/>
      <c r="G114" s="422" t="s">
        <v>50</v>
      </c>
      <c r="H114" s="422"/>
      <c r="I114" s="422"/>
      <c r="J114" s="422"/>
      <c r="K114" s="422"/>
      <c r="L114" s="422"/>
      <c r="M114" s="422"/>
      <c r="N114" s="422"/>
      <c r="O114" s="422"/>
      <c r="P114" s="422"/>
      <c r="Q114" s="422"/>
      <c r="R114" s="423"/>
      <c r="S114" s="29"/>
      <c r="T114" s="422" t="s">
        <v>51</v>
      </c>
      <c r="U114" s="422"/>
      <c r="V114" s="422"/>
      <c r="W114" s="422"/>
      <c r="X114" s="422"/>
      <c r="Y114" s="422"/>
      <c r="Z114" s="422"/>
      <c r="AA114" s="422"/>
      <c r="AB114" s="422"/>
      <c r="AC114" s="422"/>
      <c r="AD114" s="422"/>
      <c r="AE114" s="422"/>
      <c r="AF114" s="422"/>
      <c r="AG114" s="422"/>
      <c r="AH114" s="422"/>
      <c r="AI114" s="422"/>
      <c r="AJ114" s="423"/>
      <c r="AK114" s="29"/>
      <c r="AL114" s="422" t="s">
        <v>106</v>
      </c>
      <c r="AM114" s="422"/>
      <c r="AN114" s="422"/>
      <c r="AO114" s="422"/>
      <c r="AP114" s="423"/>
      <c r="AQ114" s="299" t="s">
        <v>53</v>
      </c>
      <c r="AR114" s="300"/>
      <c r="AS114" s="300"/>
      <c r="AT114" s="300"/>
      <c r="AU114" s="300"/>
      <c r="AV114" s="300"/>
      <c r="AW114" s="300"/>
      <c r="AX114" s="300"/>
      <c r="AY114" s="300"/>
      <c r="AZ114" s="300"/>
      <c r="BA114" s="300"/>
      <c r="BB114" s="300"/>
      <c r="BC114" s="300"/>
      <c r="BD114" s="300"/>
      <c r="BE114" s="300"/>
      <c r="BF114" s="300"/>
      <c r="BG114" s="300"/>
      <c r="BH114" s="301"/>
      <c r="BI114" s="41"/>
      <c r="BK114" s="81"/>
      <c r="BL114" s="77"/>
      <c r="BM114" s="40"/>
      <c r="BN114" s="77"/>
      <c r="BO114" s="77"/>
      <c r="BP114" s="40"/>
      <c r="BQ114" s="81"/>
      <c r="BR114" s="77"/>
      <c r="BS114" s="40"/>
      <c r="BT114" s="81"/>
      <c r="BU114" s="77"/>
      <c r="BV114" s="40"/>
      <c r="BW114" s="81"/>
      <c r="BX114" s="77"/>
      <c r="BY114" s="40"/>
      <c r="BZ114" s="81"/>
      <c r="CA114" s="77"/>
      <c r="CB114" s="40"/>
      <c r="CC114" s="81"/>
      <c r="CD114" s="77"/>
      <c r="CE114" s="40"/>
      <c r="CF114" s="81"/>
      <c r="CG114" s="77"/>
      <c r="CH114" s="40"/>
      <c r="CI114" s="81"/>
      <c r="CJ114" s="77"/>
      <c r="CK114" s="40"/>
      <c r="CL114" s="81"/>
      <c r="CM114" s="77"/>
      <c r="CN114" s="40"/>
      <c r="CO114" s="81"/>
      <c r="CP114" s="77"/>
      <c r="CQ114" s="40"/>
      <c r="CR114" s="81"/>
      <c r="CS114" s="77"/>
      <c r="CT114" s="40"/>
      <c r="CU114" s="81"/>
      <c r="CV114" s="77"/>
      <c r="CW114" s="40"/>
      <c r="CX114" s="81"/>
      <c r="CY114" s="77"/>
      <c r="CZ114" s="40"/>
      <c r="DA114" s="81"/>
      <c r="DB114" s="77"/>
      <c r="DC114" s="40"/>
      <c r="DD114" s="81"/>
      <c r="DE114" s="77"/>
      <c r="DF114" s="40"/>
      <c r="DY114" s="189"/>
      <c r="DZ114" s="189"/>
      <c r="EA114" s="189"/>
      <c r="EB114" s="189"/>
      <c r="EC114" s="189"/>
      <c r="ED114" s="189"/>
      <c r="EE114" s="189"/>
      <c r="EF114" s="189"/>
      <c r="EG114" s="189"/>
      <c r="EH114" s="189"/>
      <c r="EI114" s="189"/>
      <c r="EJ114" s="189"/>
      <c r="EK114" s="189"/>
      <c r="EL114" s="189"/>
      <c r="EM114" s="189"/>
      <c r="EN114" s="189"/>
      <c r="EO114" s="189"/>
      <c r="EP114" s="189"/>
      <c r="EQ114" s="189"/>
      <c r="ER114" s="189"/>
      <c r="ES114" s="189"/>
      <c r="ET114" s="189"/>
      <c r="EU114" s="189"/>
      <c r="EV114" s="189"/>
      <c r="EW114" s="189"/>
      <c r="EX114" s="189"/>
      <c r="EY114" s="189"/>
      <c r="EZ114" s="189"/>
      <c r="FA114" s="189"/>
      <c r="FB114" s="189"/>
      <c r="FC114" s="189"/>
      <c r="FD114" s="189"/>
      <c r="FE114" s="189"/>
      <c r="FF114" s="189"/>
      <c r="FG114" s="189"/>
      <c r="FH114" s="189"/>
      <c r="FI114" s="189"/>
      <c r="FJ114" s="189"/>
      <c r="FK114" s="189"/>
      <c r="FL114" s="189"/>
      <c r="FM114" s="189"/>
      <c r="FN114" s="189"/>
      <c r="FO114" s="189"/>
      <c r="FP114" s="189"/>
      <c r="FQ114" s="189"/>
      <c r="FR114" s="189"/>
      <c r="FS114" s="189"/>
      <c r="FT114" s="189"/>
      <c r="FU114" s="189"/>
      <c r="FV114" s="189"/>
      <c r="FW114" s="189"/>
      <c r="FX114" s="189"/>
      <c r="FY114" s="189"/>
      <c r="FZ114" s="189"/>
      <c r="GA114" s="189"/>
      <c r="GB114" s="189"/>
      <c r="GC114" s="189"/>
      <c r="GD114" s="189"/>
      <c r="GE114" s="189"/>
      <c r="GF114" s="189"/>
      <c r="GG114" s="189"/>
      <c r="GH114" s="189"/>
      <c r="GI114" s="189"/>
      <c r="GJ114" s="189"/>
      <c r="GK114" s="189"/>
      <c r="GL114" s="189"/>
      <c r="GM114" s="189"/>
      <c r="GN114" s="189"/>
      <c r="GO114" s="189"/>
      <c r="GP114" s="189"/>
      <c r="GQ114" s="189"/>
      <c r="GR114" s="189"/>
      <c r="GS114" s="189"/>
      <c r="GT114" s="189"/>
      <c r="GU114" s="189"/>
      <c r="GV114" s="189"/>
      <c r="GW114" s="189"/>
      <c r="GX114" s="189"/>
      <c r="GY114" s="189"/>
      <c r="GZ114" s="189"/>
      <c r="HA114" s="189"/>
      <c r="HB114" s="189"/>
      <c r="HC114" s="189"/>
      <c r="HD114" s="189"/>
      <c r="HE114" s="189"/>
      <c r="HF114" s="189"/>
      <c r="HG114" s="189"/>
      <c r="HH114" s="189"/>
      <c r="HI114" s="189"/>
      <c r="HJ114" s="189"/>
      <c r="HK114" s="189"/>
      <c r="HL114" s="189"/>
      <c r="HM114" s="189"/>
      <c r="HN114" s="189"/>
      <c r="HO114" s="189"/>
      <c r="HP114" s="189"/>
      <c r="HQ114" s="189"/>
      <c r="HR114" s="189"/>
      <c r="HS114" s="189"/>
      <c r="HT114" s="189"/>
      <c r="HU114" s="189"/>
      <c r="HV114" s="189"/>
      <c r="HW114" s="189"/>
      <c r="HX114" s="189"/>
      <c r="HY114" s="189"/>
      <c r="HZ114" s="189"/>
      <c r="IA114" s="189"/>
      <c r="IB114" s="189"/>
      <c r="IC114" s="189"/>
      <c r="ID114" s="189"/>
      <c r="IE114" s="189"/>
      <c r="IF114" s="189"/>
      <c r="IG114" s="189"/>
      <c r="IH114" s="189"/>
      <c r="II114" s="189"/>
      <c r="IJ114" s="189"/>
      <c r="IK114" s="189"/>
      <c r="IL114" s="189"/>
      <c r="IM114" s="189"/>
      <c r="IN114" s="189"/>
      <c r="IO114" s="189"/>
      <c r="IP114" s="189"/>
      <c r="IQ114" s="189"/>
      <c r="IR114" s="189"/>
      <c r="IS114" s="189"/>
      <c r="IT114" s="189"/>
      <c r="IU114" s="189"/>
      <c r="IV114" s="189"/>
      <c r="IW114" s="189"/>
      <c r="IX114" s="189"/>
      <c r="IY114" s="189"/>
      <c r="IZ114" s="189"/>
      <c r="JA114" s="189"/>
      <c r="JB114" s="189"/>
      <c r="JC114" s="189"/>
      <c r="JD114" s="189"/>
      <c r="JE114" s="189"/>
      <c r="JF114" s="189"/>
      <c r="JG114" s="189"/>
      <c r="JH114" s="189"/>
      <c r="JI114" s="189"/>
      <c r="JJ114" s="189"/>
      <c r="JK114" s="189"/>
      <c r="JL114" s="189"/>
      <c r="JM114" s="189"/>
      <c r="JN114" s="189"/>
      <c r="JO114" s="189"/>
      <c r="JP114" s="189"/>
      <c r="JQ114" s="189"/>
      <c r="JR114" s="189"/>
      <c r="JS114" s="189"/>
      <c r="JT114" s="189"/>
      <c r="JU114" s="189"/>
      <c r="JV114" s="189"/>
      <c r="JW114" s="189"/>
      <c r="JX114" s="189"/>
      <c r="JY114" s="189"/>
      <c r="JZ114" s="189"/>
      <c r="KA114" s="189"/>
      <c r="KB114" s="189"/>
      <c r="KC114" s="189"/>
      <c r="KD114" s="189"/>
      <c r="KE114" s="189"/>
      <c r="KF114" s="189"/>
      <c r="KG114" s="189"/>
      <c r="KH114" s="189"/>
      <c r="KI114" s="189"/>
      <c r="KJ114" s="189"/>
      <c r="KK114" s="189"/>
      <c r="KL114" s="189"/>
      <c r="KM114" s="189"/>
      <c r="KN114" s="189"/>
      <c r="KO114" s="189"/>
      <c r="KP114" s="189"/>
      <c r="KQ114" s="189"/>
      <c r="KR114" s="189"/>
      <c r="KS114" s="189"/>
      <c r="KT114" s="189"/>
      <c r="KU114" s="189"/>
      <c r="KV114" s="189"/>
      <c r="KW114" s="189"/>
      <c r="KX114" s="189"/>
      <c r="KY114" s="189"/>
      <c r="KZ114" s="189"/>
      <c r="LA114" s="189"/>
      <c r="LB114" s="189"/>
      <c r="LC114" s="189"/>
      <c r="LD114" s="189"/>
      <c r="LE114" s="189"/>
      <c r="LF114" s="189"/>
      <c r="LG114" s="189"/>
      <c r="LH114" s="189"/>
      <c r="LI114" s="189"/>
      <c r="LJ114" s="189"/>
      <c r="LK114" s="189"/>
      <c r="LL114" s="189"/>
      <c r="LM114" s="189"/>
      <c r="LN114" s="189"/>
      <c r="LO114" s="189"/>
      <c r="LP114" s="189"/>
      <c r="LQ114" s="189"/>
      <c r="LR114" s="189"/>
      <c r="LS114" s="189"/>
      <c r="LT114" s="189"/>
      <c r="LU114" s="189"/>
      <c r="LV114" s="189"/>
      <c r="LW114" s="189"/>
      <c r="LX114" s="189"/>
      <c r="LY114" s="189"/>
      <c r="LZ114" s="189"/>
      <c r="MA114" s="189"/>
      <c r="MB114" s="189"/>
      <c r="MC114" s="189"/>
      <c r="MD114" s="189"/>
    </row>
    <row r="115" spans="1:342" ht="7.4" customHeight="1" x14ac:dyDescent="0.5">
      <c r="A115" s="42"/>
      <c r="B115" s="32"/>
      <c r="C115" s="408"/>
      <c r="D115" s="408"/>
      <c r="E115" s="424"/>
      <c r="F115" s="32"/>
      <c r="G115" s="408"/>
      <c r="H115" s="408"/>
      <c r="I115" s="408"/>
      <c r="J115" s="408"/>
      <c r="K115" s="408"/>
      <c r="L115" s="408"/>
      <c r="M115" s="408"/>
      <c r="N115" s="408"/>
      <c r="O115" s="408"/>
      <c r="P115" s="408"/>
      <c r="Q115" s="408"/>
      <c r="R115" s="424"/>
      <c r="S115" s="32"/>
      <c r="T115" s="408"/>
      <c r="U115" s="408"/>
      <c r="V115" s="408"/>
      <c r="W115" s="408"/>
      <c r="X115" s="408"/>
      <c r="Y115" s="408"/>
      <c r="Z115" s="408"/>
      <c r="AA115" s="408"/>
      <c r="AB115" s="408"/>
      <c r="AC115" s="408"/>
      <c r="AD115" s="408"/>
      <c r="AE115" s="408"/>
      <c r="AF115" s="408"/>
      <c r="AG115" s="408"/>
      <c r="AH115" s="408"/>
      <c r="AI115" s="408"/>
      <c r="AJ115" s="424"/>
      <c r="AK115" s="32"/>
      <c r="AL115" s="408"/>
      <c r="AM115" s="408"/>
      <c r="AN115" s="408"/>
      <c r="AO115" s="408"/>
      <c r="AP115" s="424"/>
      <c r="AQ115" s="302"/>
      <c r="AR115" s="303"/>
      <c r="AS115" s="303"/>
      <c r="AT115" s="303"/>
      <c r="AU115" s="303"/>
      <c r="AV115" s="303"/>
      <c r="AW115" s="303"/>
      <c r="AX115" s="303"/>
      <c r="AY115" s="303"/>
      <c r="AZ115" s="303"/>
      <c r="BA115" s="303"/>
      <c r="BB115" s="303"/>
      <c r="BC115" s="303"/>
      <c r="BD115" s="303"/>
      <c r="BE115" s="303"/>
      <c r="BF115" s="303"/>
      <c r="BG115" s="303"/>
      <c r="BH115" s="304"/>
      <c r="BI115" s="41"/>
      <c r="BK115" s="420" t="s">
        <v>20</v>
      </c>
      <c r="BL115" s="333"/>
      <c r="BM115" s="421"/>
      <c r="BN115" s="420" t="s">
        <v>107</v>
      </c>
      <c r="BO115" s="333"/>
      <c r="BP115" s="421"/>
      <c r="BQ115" s="420" t="s">
        <v>108</v>
      </c>
      <c r="BR115" s="333"/>
      <c r="BS115" s="421"/>
      <c r="BT115" s="420" t="s">
        <v>109</v>
      </c>
      <c r="BU115" s="333"/>
      <c r="BV115" s="421"/>
      <c r="BW115" s="420" t="s">
        <v>110</v>
      </c>
      <c r="BX115" s="333"/>
      <c r="BY115" s="421"/>
      <c r="BZ115" s="420" t="s">
        <v>111</v>
      </c>
      <c r="CA115" s="333"/>
      <c r="CB115" s="421"/>
      <c r="CC115" s="420" t="s">
        <v>112</v>
      </c>
      <c r="CD115" s="333"/>
      <c r="CE115" s="421"/>
      <c r="CF115" s="420" t="s">
        <v>113</v>
      </c>
      <c r="CG115" s="333"/>
      <c r="CH115" s="421"/>
      <c r="CI115" s="420" t="s">
        <v>114</v>
      </c>
      <c r="CJ115" s="333"/>
      <c r="CK115" s="421"/>
      <c r="CL115" s="420" t="s">
        <v>115</v>
      </c>
      <c r="CM115" s="333"/>
      <c r="CN115" s="421"/>
      <c r="CO115" s="420" t="s">
        <v>116</v>
      </c>
      <c r="CP115" s="333"/>
      <c r="CQ115" s="421"/>
      <c r="CR115" s="420" t="s">
        <v>117</v>
      </c>
      <c r="CS115" s="333"/>
      <c r="CT115" s="421"/>
      <c r="CU115" s="420" t="s">
        <v>118</v>
      </c>
      <c r="CV115" s="333"/>
      <c r="CW115" s="421"/>
      <c r="CX115" s="420" t="s">
        <v>119</v>
      </c>
      <c r="CY115" s="333"/>
      <c r="CZ115" s="421"/>
      <c r="DA115" s="420" t="s">
        <v>120</v>
      </c>
      <c r="DB115" s="333"/>
      <c r="DC115" s="421"/>
      <c r="DD115" s="420" t="s">
        <v>121</v>
      </c>
      <c r="DE115" s="333"/>
      <c r="DF115" s="421"/>
      <c r="DH115" s="331"/>
      <c r="DI115" s="331"/>
      <c r="DJ115" s="331"/>
      <c r="DK115" s="331"/>
      <c r="DL115" s="311"/>
      <c r="DM115" s="311"/>
      <c r="DN115" s="311"/>
      <c r="DO115" s="311"/>
      <c r="DP115" s="311"/>
      <c r="DQ115" s="311"/>
      <c r="DR115" s="311"/>
      <c r="DS115" s="311"/>
      <c r="DT115" s="311"/>
      <c r="DY115" s="190">
        <f t="shared" ref="DY115:GJ115" si="4">DZ110-DY110</f>
        <v>2.35</v>
      </c>
      <c r="DZ115" s="190">
        <f t="shared" si="4"/>
        <v>0.57499999999999973</v>
      </c>
      <c r="EA115" s="190">
        <f t="shared" si="4"/>
        <v>1.7750000000000004</v>
      </c>
      <c r="EB115" s="190">
        <f t="shared" si="4"/>
        <v>0.57500000000000018</v>
      </c>
      <c r="EC115" s="190">
        <f t="shared" si="4"/>
        <v>0.57499999999999929</v>
      </c>
      <c r="ED115" s="190">
        <f t="shared" si="4"/>
        <v>1.2000000000000011</v>
      </c>
      <c r="EE115" s="190">
        <f t="shared" si="4"/>
        <v>0.57499999999999929</v>
      </c>
      <c r="EF115" s="190">
        <f t="shared" si="4"/>
        <v>0.57499999999999929</v>
      </c>
      <c r="EG115" s="190">
        <f t="shared" si="4"/>
        <v>0.57499999999999929</v>
      </c>
      <c r="EH115" s="190">
        <f t="shared" si="4"/>
        <v>0.62500000000000178</v>
      </c>
      <c r="EI115" s="190">
        <f t="shared" si="4"/>
        <v>0.57500000000000107</v>
      </c>
      <c r="EJ115" s="190">
        <f t="shared" si="4"/>
        <v>0.57499999999999929</v>
      </c>
      <c r="EK115" s="190">
        <f t="shared" si="4"/>
        <v>0.57499999999999751</v>
      </c>
      <c r="EL115" s="190">
        <f t="shared" si="4"/>
        <v>0.57500000000000107</v>
      </c>
      <c r="EM115" s="190">
        <f t="shared" si="4"/>
        <v>5.0000000000000711E-2</v>
      </c>
      <c r="EN115" s="190">
        <f t="shared" si="4"/>
        <v>0.57499999999999929</v>
      </c>
      <c r="EO115" s="190">
        <f t="shared" si="4"/>
        <v>0.57500000000000107</v>
      </c>
      <c r="EP115" s="190">
        <f t="shared" si="4"/>
        <v>0.57499999999999751</v>
      </c>
      <c r="EQ115" s="190">
        <f t="shared" si="4"/>
        <v>0.57500000000000107</v>
      </c>
      <c r="ER115" s="190">
        <f t="shared" si="4"/>
        <v>0</v>
      </c>
      <c r="ES115" s="190">
        <f t="shared" si="4"/>
        <v>0.57500000000000107</v>
      </c>
      <c r="ET115" s="190">
        <f t="shared" si="4"/>
        <v>5.0000000000000711E-2</v>
      </c>
      <c r="EU115" s="190">
        <f t="shared" si="4"/>
        <v>0.57499999999999929</v>
      </c>
      <c r="EV115" s="190">
        <f t="shared" si="4"/>
        <v>0.57499999999999929</v>
      </c>
      <c r="EW115" s="190">
        <f t="shared" si="4"/>
        <v>0.57499999999999929</v>
      </c>
      <c r="EX115" s="190">
        <f t="shared" si="4"/>
        <v>5.0000000000000711E-2</v>
      </c>
      <c r="EY115" s="190">
        <f t="shared" si="4"/>
        <v>0.52500000000000213</v>
      </c>
      <c r="EZ115" s="190">
        <f t="shared" si="4"/>
        <v>0</v>
      </c>
      <c r="FA115" s="190">
        <f t="shared" si="4"/>
        <v>0.57499999999999574</v>
      </c>
      <c r="FB115" s="190">
        <f t="shared" si="4"/>
        <v>0</v>
      </c>
      <c r="FC115" s="190">
        <f t="shared" si="4"/>
        <v>0.625</v>
      </c>
      <c r="FD115" s="190">
        <f t="shared" si="4"/>
        <v>0.57500000000000284</v>
      </c>
      <c r="FE115" s="190">
        <f t="shared" si="4"/>
        <v>0</v>
      </c>
      <c r="FF115" s="190">
        <f t="shared" si="4"/>
        <v>0.57499999999999929</v>
      </c>
      <c r="FG115" s="190">
        <f t="shared" si="4"/>
        <v>5.0000000000000711E-2</v>
      </c>
      <c r="FH115" s="190">
        <f t="shared" si="4"/>
        <v>0.52499999999999858</v>
      </c>
      <c r="FI115" s="190">
        <f t="shared" si="4"/>
        <v>5.0000000000004263E-2</v>
      </c>
      <c r="FJ115" s="190">
        <f t="shared" si="4"/>
        <v>0.52499999999999503</v>
      </c>
      <c r="FK115" s="190">
        <f t="shared" si="4"/>
        <v>0</v>
      </c>
      <c r="FL115" s="190">
        <f t="shared" si="4"/>
        <v>0.62500000000000355</v>
      </c>
      <c r="FM115" s="190">
        <f t="shared" si="4"/>
        <v>5.0000000000000711E-2</v>
      </c>
      <c r="FN115" s="190">
        <f t="shared" si="4"/>
        <v>0.52499999999999858</v>
      </c>
      <c r="FO115" s="190">
        <f t="shared" si="4"/>
        <v>0</v>
      </c>
      <c r="FP115" s="190">
        <f t="shared" si="4"/>
        <v>0.57499999999999574</v>
      </c>
      <c r="FQ115" s="190">
        <f t="shared" si="4"/>
        <v>0</v>
      </c>
      <c r="FR115" s="190">
        <f t="shared" si="4"/>
        <v>0.57500000000000284</v>
      </c>
      <c r="FS115" s="190">
        <f t="shared" si="4"/>
        <v>5.0000000000000711E-2</v>
      </c>
      <c r="FT115" s="190">
        <f t="shared" si="4"/>
        <v>0.52499999999999858</v>
      </c>
      <c r="FU115" s="190">
        <f t="shared" si="4"/>
        <v>5.0000000000000711E-2</v>
      </c>
      <c r="FV115" s="190">
        <f t="shared" si="4"/>
        <v>0</v>
      </c>
      <c r="FW115" s="190">
        <f t="shared" si="4"/>
        <v>0.57499999999999929</v>
      </c>
      <c r="FX115" s="190">
        <f t="shared" si="4"/>
        <v>5.0000000000004263E-2</v>
      </c>
      <c r="FY115" s="190">
        <f t="shared" si="4"/>
        <v>0.52499999999999503</v>
      </c>
      <c r="FZ115" s="190">
        <f t="shared" si="4"/>
        <v>5.0000000000000711E-2</v>
      </c>
      <c r="GA115" s="190">
        <f t="shared" si="4"/>
        <v>0.52499999999999858</v>
      </c>
      <c r="GB115" s="190">
        <f t="shared" si="4"/>
        <v>0</v>
      </c>
      <c r="GC115" s="190">
        <f t="shared" si="4"/>
        <v>0.57500000000000284</v>
      </c>
      <c r="GD115" s="190">
        <f t="shared" si="4"/>
        <v>0</v>
      </c>
      <c r="GE115" s="190">
        <f t="shared" si="4"/>
        <v>0.10000000000000142</v>
      </c>
      <c r="GF115" s="190">
        <f t="shared" si="4"/>
        <v>0.47499999999999787</v>
      </c>
      <c r="GG115" s="190">
        <f t="shared" si="4"/>
        <v>5.0000000000000711E-2</v>
      </c>
      <c r="GH115" s="190">
        <f t="shared" si="4"/>
        <v>0</v>
      </c>
      <c r="GI115" s="190">
        <f t="shared" si="4"/>
        <v>0.57499999999999574</v>
      </c>
      <c r="GJ115" s="190">
        <f t="shared" si="4"/>
        <v>0</v>
      </c>
      <c r="GK115" s="190">
        <f t="shared" ref="GK115:IV115" si="5">GL110-GK110</f>
        <v>0.57500000000000284</v>
      </c>
      <c r="GL115" s="190">
        <f t="shared" si="5"/>
        <v>5.0000000000000711E-2</v>
      </c>
      <c r="GM115" s="190">
        <f t="shared" si="5"/>
        <v>0.52499999999999858</v>
      </c>
      <c r="GN115" s="190">
        <f t="shared" si="5"/>
        <v>5.0000000000000711E-2</v>
      </c>
      <c r="GO115" s="190">
        <f t="shared" si="5"/>
        <v>0</v>
      </c>
      <c r="GP115" s="190">
        <f t="shared" si="5"/>
        <v>0.52500000000000213</v>
      </c>
      <c r="GQ115" s="190">
        <f t="shared" si="5"/>
        <v>0</v>
      </c>
      <c r="GR115" s="190">
        <f t="shared" si="5"/>
        <v>0.10000000000000142</v>
      </c>
      <c r="GS115" s="190">
        <f t="shared" si="5"/>
        <v>0.47499999999999787</v>
      </c>
      <c r="GT115" s="190">
        <f t="shared" si="5"/>
        <v>0</v>
      </c>
      <c r="GU115" s="190">
        <f t="shared" si="5"/>
        <v>0.10000000000000142</v>
      </c>
      <c r="GV115" s="190">
        <f t="shared" si="5"/>
        <v>0.52499999999999858</v>
      </c>
      <c r="GW115" s="190">
        <f t="shared" si="5"/>
        <v>0</v>
      </c>
      <c r="GX115" s="190">
        <f t="shared" si="5"/>
        <v>0.57499999999999929</v>
      </c>
      <c r="GY115" s="190">
        <f t="shared" si="5"/>
        <v>0</v>
      </c>
      <c r="GZ115" s="190">
        <f t="shared" si="5"/>
        <v>0.10000000000000142</v>
      </c>
      <c r="HA115" s="190">
        <f t="shared" si="5"/>
        <v>0.47499999999999787</v>
      </c>
      <c r="HB115" s="190">
        <f t="shared" si="5"/>
        <v>5.0000000000000711E-2</v>
      </c>
      <c r="HC115" s="190">
        <f t="shared" si="5"/>
        <v>0</v>
      </c>
      <c r="HD115" s="190">
        <f t="shared" si="5"/>
        <v>0.52500000000000213</v>
      </c>
      <c r="HE115" s="190">
        <f t="shared" si="5"/>
        <v>4.9999999999997158E-2</v>
      </c>
      <c r="HF115" s="190">
        <f t="shared" si="5"/>
        <v>0</v>
      </c>
      <c r="HG115" s="190">
        <f t="shared" si="5"/>
        <v>0.52499999999999858</v>
      </c>
      <c r="HH115" s="190">
        <f t="shared" si="5"/>
        <v>0</v>
      </c>
      <c r="HI115" s="190">
        <f t="shared" si="5"/>
        <v>0.10000000000000142</v>
      </c>
      <c r="HJ115" s="190">
        <f t="shared" si="5"/>
        <v>0.52499999999999858</v>
      </c>
      <c r="HK115" s="190">
        <f t="shared" si="5"/>
        <v>5.0000000000004263E-2</v>
      </c>
      <c r="HL115" s="190">
        <f t="shared" si="5"/>
        <v>0</v>
      </c>
      <c r="HM115" s="190">
        <f t="shared" si="5"/>
        <v>0.52499999999999858</v>
      </c>
      <c r="HN115" s="190">
        <f t="shared" si="5"/>
        <v>0</v>
      </c>
      <c r="HO115" s="190">
        <f t="shared" si="5"/>
        <v>0.10000000000000142</v>
      </c>
      <c r="HP115" s="190">
        <f t="shared" si="5"/>
        <v>0.47500000000000142</v>
      </c>
      <c r="HQ115" s="190">
        <f t="shared" si="5"/>
        <v>0</v>
      </c>
      <c r="HR115" s="190">
        <f t="shared" si="5"/>
        <v>0.10000000000000142</v>
      </c>
      <c r="HS115" s="190">
        <f t="shared" si="5"/>
        <v>0.47499999999999432</v>
      </c>
      <c r="HT115" s="190">
        <f t="shared" si="5"/>
        <v>5.0000000000004263E-2</v>
      </c>
      <c r="HU115" s="190">
        <f t="shared" si="5"/>
        <v>0</v>
      </c>
      <c r="HV115" s="190">
        <f t="shared" si="5"/>
        <v>0.52499999999999147</v>
      </c>
      <c r="HW115" s="190">
        <f t="shared" si="5"/>
        <v>5.0000000000004263E-2</v>
      </c>
      <c r="HX115" s="190">
        <f t="shared" si="5"/>
        <v>0</v>
      </c>
      <c r="HY115" s="190">
        <f t="shared" si="5"/>
        <v>0.10000000000000142</v>
      </c>
      <c r="HZ115" s="190">
        <f t="shared" si="5"/>
        <v>0.47500000000000142</v>
      </c>
      <c r="IA115" s="190">
        <f t="shared" si="5"/>
        <v>5.0000000000004263E-2</v>
      </c>
      <c r="IB115" s="190">
        <f t="shared" si="5"/>
        <v>0</v>
      </c>
      <c r="IC115" s="190">
        <f t="shared" si="5"/>
        <v>0.52499999999999147</v>
      </c>
      <c r="ID115" s="190">
        <f t="shared" si="5"/>
        <v>4.9999999999997158E-2</v>
      </c>
      <c r="IE115" s="190">
        <f t="shared" si="5"/>
        <v>0</v>
      </c>
      <c r="IF115" s="190">
        <f t="shared" si="5"/>
        <v>0.52500000000000568</v>
      </c>
      <c r="IG115" s="190">
        <f t="shared" si="5"/>
        <v>0</v>
      </c>
      <c r="IH115" s="190">
        <f t="shared" si="5"/>
        <v>0.10000000000000142</v>
      </c>
      <c r="II115" s="190">
        <f t="shared" si="5"/>
        <v>0.47499999999999432</v>
      </c>
      <c r="IJ115" s="190">
        <f t="shared" si="5"/>
        <v>0</v>
      </c>
      <c r="IK115" s="190">
        <f t="shared" si="5"/>
        <v>0.10000000000000142</v>
      </c>
      <c r="IL115" s="190">
        <f t="shared" si="5"/>
        <v>0</v>
      </c>
      <c r="IM115" s="190">
        <f t="shared" si="5"/>
        <v>0.47500000000000142</v>
      </c>
      <c r="IN115" s="190">
        <f t="shared" si="5"/>
        <v>5.0000000000004263E-2</v>
      </c>
      <c r="IO115" s="190">
        <f t="shared" si="5"/>
        <v>0</v>
      </c>
      <c r="IP115" s="190">
        <f t="shared" si="5"/>
        <v>9.9999999999994316E-2</v>
      </c>
      <c r="IQ115" s="190">
        <f t="shared" si="5"/>
        <v>0.47500000000000142</v>
      </c>
      <c r="IR115" s="190">
        <f t="shared" si="5"/>
        <v>0</v>
      </c>
      <c r="IS115" s="190">
        <f t="shared" si="5"/>
        <v>0.10000000000000142</v>
      </c>
      <c r="IT115" s="190">
        <f t="shared" si="5"/>
        <v>0.47499999999999432</v>
      </c>
      <c r="IU115" s="190">
        <f t="shared" si="5"/>
        <v>5.0000000000004263E-2</v>
      </c>
      <c r="IV115" s="190">
        <f t="shared" si="5"/>
        <v>0</v>
      </c>
      <c r="IW115" s="190">
        <f t="shared" ref="IW115:LH115" si="6">IX110-IW110</f>
        <v>0.52499999999999858</v>
      </c>
      <c r="IX115" s="190">
        <f t="shared" si="6"/>
        <v>4.9999999999997158E-2</v>
      </c>
      <c r="IY115" s="190">
        <f t="shared" si="6"/>
        <v>0</v>
      </c>
      <c r="IZ115" s="190">
        <f t="shared" si="6"/>
        <v>0.10000000000000853</v>
      </c>
      <c r="JA115" s="190">
        <f t="shared" si="6"/>
        <v>0.42499999999999716</v>
      </c>
      <c r="JB115" s="190">
        <f t="shared" si="6"/>
        <v>0</v>
      </c>
      <c r="JC115" s="190">
        <f t="shared" si="6"/>
        <v>0.10000000000000142</v>
      </c>
      <c r="JD115" s="190">
        <f t="shared" si="6"/>
        <v>0</v>
      </c>
      <c r="JE115" s="190">
        <f t="shared" si="6"/>
        <v>0.47499999999999432</v>
      </c>
      <c r="JF115" s="190">
        <f t="shared" si="6"/>
        <v>0</v>
      </c>
      <c r="JG115" s="190">
        <f t="shared" si="6"/>
        <v>0.10000000000000142</v>
      </c>
      <c r="JH115" s="190">
        <f t="shared" si="6"/>
        <v>0</v>
      </c>
      <c r="JI115" s="190">
        <f t="shared" si="6"/>
        <v>0.52499999999999858</v>
      </c>
      <c r="JJ115" s="190">
        <f t="shared" si="6"/>
        <v>0</v>
      </c>
      <c r="JK115" s="190">
        <f t="shared" si="6"/>
        <v>0.10000000000000142</v>
      </c>
      <c r="JL115" s="190">
        <f t="shared" si="6"/>
        <v>0.47499999999999432</v>
      </c>
      <c r="JM115" s="190">
        <f t="shared" si="6"/>
        <v>0</v>
      </c>
      <c r="JN115" s="190">
        <f t="shared" si="6"/>
        <v>0.10000000000000853</v>
      </c>
      <c r="JO115" s="190">
        <f t="shared" si="6"/>
        <v>0</v>
      </c>
      <c r="JP115" s="190">
        <f t="shared" si="6"/>
        <v>0.47500000000000142</v>
      </c>
      <c r="JQ115" s="190">
        <f t="shared" si="6"/>
        <v>4.9999999999997158E-2</v>
      </c>
      <c r="JR115" s="190">
        <f t="shared" si="6"/>
        <v>0</v>
      </c>
      <c r="JS115" s="190">
        <f t="shared" si="6"/>
        <v>0.10000000000000142</v>
      </c>
      <c r="JT115" s="190">
        <f t="shared" si="6"/>
        <v>0.42499999999999716</v>
      </c>
      <c r="JU115" s="190">
        <f t="shared" si="6"/>
        <v>5.0000000000004263E-2</v>
      </c>
      <c r="JV115" s="190">
        <f t="shared" si="6"/>
        <v>0</v>
      </c>
      <c r="JW115" s="190">
        <f t="shared" si="6"/>
        <v>0.10000000000000142</v>
      </c>
      <c r="JX115" s="190">
        <f t="shared" si="6"/>
        <v>0.42499999999999716</v>
      </c>
      <c r="JY115" s="190">
        <f t="shared" si="6"/>
        <v>0</v>
      </c>
      <c r="JZ115" s="190">
        <f t="shared" si="6"/>
        <v>9.9999999999994316E-2</v>
      </c>
      <c r="KA115" s="190">
        <f t="shared" si="6"/>
        <v>0</v>
      </c>
      <c r="KB115" s="190">
        <f t="shared" si="6"/>
        <v>0.52499999999999858</v>
      </c>
      <c r="KC115" s="190">
        <f t="shared" si="6"/>
        <v>5.0000000000004263E-2</v>
      </c>
      <c r="KD115" s="190">
        <f t="shared" si="6"/>
        <v>0</v>
      </c>
      <c r="KE115" s="190">
        <f t="shared" si="6"/>
        <v>0.10000000000000142</v>
      </c>
      <c r="KF115" s="190">
        <f t="shared" si="6"/>
        <v>0.42500000000000426</v>
      </c>
      <c r="KG115" s="190">
        <f t="shared" si="6"/>
        <v>0</v>
      </c>
      <c r="KH115" s="190">
        <f t="shared" si="6"/>
        <v>9.9999999999994316E-2</v>
      </c>
      <c r="KI115" s="190">
        <f t="shared" si="6"/>
        <v>0</v>
      </c>
      <c r="KJ115" s="190">
        <f t="shared" si="6"/>
        <v>0.47500000000000142</v>
      </c>
      <c r="KK115" s="190">
        <f t="shared" si="6"/>
        <v>0</v>
      </c>
      <c r="KL115" s="190">
        <f t="shared" si="6"/>
        <v>0.10000000000000142</v>
      </c>
      <c r="KM115" s="190">
        <f t="shared" si="6"/>
        <v>0</v>
      </c>
      <c r="KN115" s="190">
        <f t="shared" si="6"/>
        <v>0.47500000000000142</v>
      </c>
      <c r="KO115" s="190">
        <f t="shared" si="6"/>
        <v>4.9999999999997158E-2</v>
      </c>
      <c r="KP115" s="190">
        <f t="shared" si="6"/>
        <v>0</v>
      </c>
      <c r="KQ115" s="190">
        <f t="shared" si="6"/>
        <v>0.10000000000000142</v>
      </c>
      <c r="KR115" s="190">
        <f t="shared" si="6"/>
        <v>0.42499999999999716</v>
      </c>
      <c r="KS115" s="190">
        <f t="shared" si="6"/>
        <v>4.9999999999997158E-2</v>
      </c>
      <c r="KT115" s="190">
        <f t="shared" si="6"/>
        <v>0</v>
      </c>
      <c r="KU115" s="190">
        <f t="shared" si="6"/>
        <v>0.10000000000000853</v>
      </c>
      <c r="KV115" s="190">
        <f t="shared" si="6"/>
        <v>0.47499999999999432</v>
      </c>
      <c r="KW115" s="190">
        <f t="shared" si="6"/>
        <v>5.0000000000004263E-2</v>
      </c>
      <c r="KX115" s="190">
        <f t="shared" si="6"/>
        <v>0</v>
      </c>
      <c r="KY115" s="190">
        <f t="shared" si="6"/>
        <v>0.52499999999999858</v>
      </c>
      <c r="KZ115" s="190">
        <f t="shared" si="6"/>
        <v>4.9999999999997158E-2</v>
      </c>
      <c r="LA115" s="190">
        <f t="shared" si="6"/>
        <v>0</v>
      </c>
      <c r="LB115" s="190">
        <f t="shared" si="6"/>
        <v>0.10000000000000853</v>
      </c>
      <c r="LC115" s="190">
        <f t="shared" si="6"/>
        <v>0.42499999999999716</v>
      </c>
      <c r="LD115" s="190">
        <f t="shared" si="6"/>
        <v>0</v>
      </c>
      <c r="LE115" s="190">
        <f t="shared" si="6"/>
        <v>9.9999999999994316E-2</v>
      </c>
      <c r="LF115" s="190">
        <f t="shared" si="6"/>
        <v>0</v>
      </c>
      <c r="LG115" s="190">
        <f t="shared" si="6"/>
        <v>0.47500000000000142</v>
      </c>
      <c r="LH115" s="190">
        <f t="shared" si="6"/>
        <v>0</v>
      </c>
      <c r="LI115" s="190">
        <f t="shared" ref="LI115:MD115" si="7">LJ110-LI110</f>
        <v>0.10000000000000142</v>
      </c>
      <c r="LJ115" s="190">
        <f t="shared" si="7"/>
        <v>0</v>
      </c>
      <c r="LK115" s="190">
        <f t="shared" si="7"/>
        <v>0.10000000000000142</v>
      </c>
      <c r="LL115" s="190">
        <f t="shared" si="7"/>
        <v>0.37499999999999289</v>
      </c>
      <c r="LM115" s="190">
        <f t="shared" si="7"/>
        <v>5.0000000000004263E-2</v>
      </c>
      <c r="LN115" s="190">
        <f t="shared" si="7"/>
        <v>0</v>
      </c>
      <c r="LO115" s="190">
        <f t="shared" si="7"/>
        <v>0.10000000000000142</v>
      </c>
      <c r="LP115" s="190">
        <f t="shared" si="7"/>
        <v>0</v>
      </c>
      <c r="LQ115" s="190">
        <f t="shared" si="7"/>
        <v>0.47499999999999432</v>
      </c>
      <c r="LR115" s="190">
        <f t="shared" si="7"/>
        <v>0</v>
      </c>
      <c r="LS115" s="190">
        <f t="shared" si="7"/>
        <v>0.10000000000000142</v>
      </c>
      <c r="LT115" s="190">
        <f t="shared" si="7"/>
        <v>0.47500000000000142</v>
      </c>
      <c r="LU115" s="190">
        <f t="shared" si="7"/>
        <v>4.9999999999997158E-2</v>
      </c>
      <c r="LV115" s="190">
        <f t="shared" si="7"/>
        <v>0</v>
      </c>
      <c r="LW115" s="190">
        <f t="shared" si="7"/>
        <v>0.10000000000000853</v>
      </c>
      <c r="LX115" s="190">
        <f t="shared" si="7"/>
        <v>0.42499999999999716</v>
      </c>
      <c r="LY115" s="190">
        <f t="shared" si="7"/>
        <v>4.9999999999997158E-2</v>
      </c>
      <c r="LZ115" s="190">
        <f t="shared" si="7"/>
        <v>0</v>
      </c>
      <c r="MA115" s="190">
        <f t="shared" si="7"/>
        <v>0.10000000000000853</v>
      </c>
      <c r="MB115" s="190">
        <f t="shared" si="7"/>
        <v>0</v>
      </c>
      <c r="MC115" s="190">
        <f t="shared" si="7"/>
        <v>0.42499999999999005</v>
      </c>
      <c r="MD115" s="190">
        <f t="shared" si="7"/>
        <v>0</v>
      </c>
    </row>
    <row r="116" spans="1:342" ht="7.4" customHeight="1" x14ac:dyDescent="0.5">
      <c r="A116" s="42"/>
      <c r="B116" s="32"/>
      <c r="C116" s="408"/>
      <c r="D116" s="408"/>
      <c r="E116" s="424"/>
      <c r="F116" s="32"/>
      <c r="G116" s="408"/>
      <c r="H116" s="408"/>
      <c r="I116" s="408"/>
      <c r="J116" s="408"/>
      <c r="K116" s="408"/>
      <c r="L116" s="408"/>
      <c r="M116" s="408"/>
      <c r="N116" s="408"/>
      <c r="O116" s="408"/>
      <c r="P116" s="408"/>
      <c r="Q116" s="408"/>
      <c r="R116" s="424"/>
      <c r="S116" s="32"/>
      <c r="T116" s="408"/>
      <c r="U116" s="408"/>
      <c r="V116" s="408"/>
      <c r="W116" s="408"/>
      <c r="X116" s="408"/>
      <c r="Y116" s="408"/>
      <c r="Z116" s="408"/>
      <c r="AA116" s="408"/>
      <c r="AB116" s="408"/>
      <c r="AC116" s="408"/>
      <c r="AD116" s="408"/>
      <c r="AE116" s="408"/>
      <c r="AF116" s="408"/>
      <c r="AG116" s="408"/>
      <c r="AH116" s="408"/>
      <c r="AI116" s="408"/>
      <c r="AJ116" s="424"/>
      <c r="AK116" s="32"/>
      <c r="AL116" s="408"/>
      <c r="AM116" s="408"/>
      <c r="AN116" s="408"/>
      <c r="AO116" s="408"/>
      <c r="AP116" s="424"/>
      <c r="AQ116" s="302"/>
      <c r="AR116" s="303"/>
      <c r="AS116" s="303"/>
      <c r="AT116" s="303"/>
      <c r="AU116" s="303"/>
      <c r="AV116" s="303"/>
      <c r="AW116" s="303"/>
      <c r="AX116" s="303"/>
      <c r="AY116" s="303"/>
      <c r="AZ116" s="303"/>
      <c r="BA116" s="303"/>
      <c r="BB116" s="303"/>
      <c r="BC116" s="303"/>
      <c r="BD116" s="303"/>
      <c r="BE116" s="303"/>
      <c r="BF116" s="303"/>
      <c r="BG116" s="303"/>
      <c r="BH116" s="304"/>
      <c r="BI116" s="41"/>
      <c r="BK116" s="420"/>
      <c r="BL116" s="333"/>
      <c r="BM116" s="421"/>
      <c r="BN116" s="420"/>
      <c r="BO116" s="333"/>
      <c r="BP116" s="421"/>
      <c r="BQ116" s="420"/>
      <c r="BR116" s="333"/>
      <c r="BS116" s="421"/>
      <c r="BT116" s="420"/>
      <c r="BU116" s="333"/>
      <c r="BV116" s="421"/>
      <c r="BW116" s="420"/>
      <c r="BX116" s="333"/>
      <c r="BY116" s="421"/>
      <c r="BZ116" s="420"/>
      <c r="CA116" s="333"/>
      <c r="CB116" s="421"/>
      <c r="CC116" s="420"/>
      <c r="CD116" s="333"/>
      <c r="CE116" s="421"/>
      <c r="CF116" s="420"/>
      <c r="CG116" s="333"/>
      <c r="CH116" s="421"/>
      <c r="CI116" s="420"/>
      <c r="CJ116" s="333"/>
      <c r="CK116" s="421"/>
      <c r="CL116" s="420"/>
      <c r="CM116" s="333"/>
      <c r="CN116" s="421"/>
      <c r="CO116" s="420"/>
      <c r="CP116" s="333"/>
      <c r="CQ116" s="421"/>
      <c r="CR116" s="420"/>
      <c r="CS116" s="333"/>
      <c r="CT116" s="421"/>
      <c r="CU116" s="420"/>
      <c r="CV116" s="333"/>
      <c r="CW116" s="421"/>
      <c r="CX116" s="420"/>
      <c r="CY116" s="333"/>
      <c r="CZ116" s="421"/>
      <c r="DA116" s="420"/>
      <c r="DB116" s="333"/>
      <c r="DC116" s="421"/>
      <c r="DD116" s="420"/>
      <c r="DE116" s="333"/>
      <c r="DF116" s="421"/>
      <c r="DH116" s="331"/>
      <c r="DI116" s="331"/>
      <c r="DJ116" s="331"/>
      <c r="DK116" s="331"/>
      <c r="DL116" s="311"/>
      <c r="DM116" s="311"/>
      <c r="DN116" s="311"/>
      <c r="DO116" s="311"/>
      <c r="DP116" s="311"/>
      <c r="DQ116" s="311"/>
      <c r="DR116" s="311"/>
      <c r="DS116" s="311"/>
      <c r="DT116" s="311"/>
      <c r="DY116" s="181"/>
      <c r="DZ116" s="181"/>
      <c r="EA116" s="181"/>
      <c r="EB116" s="181"/>
      <c r="EC116" s="181"/>
      <c r="ED116" s="181"/>
      <c r="EE116" s="181"/>
      <c r="EF116" s="181"/>
      <c r="EG116" s="181"/>
      <c r="EH116" s="181"/>
      <c r="EI116" s="181"/>
      <c r="EJ116" s="181"/>
      <c r="EK116" s="181"/>
      <c r="EL116" s="181"/>
      <c r="EM116" s="181"/>
      <c r="EN116" s="181"/>
      <c r="EO116" s="181"/>
      <c r="EP116" s="181"/>
      <c r="EQ116" s="181"/>
      <c r="ER116" s="181"/>
      <c r="ES116" s="181"/>
      <c r="ET116" s="181"/>
      <c r="EU116" s="181"/>
      <c r="EV116" s="181"/>
      <c r="EW116" s="181"/>
      <c r="EX116" s="181"/>
      <c r="EY116" s="181"/>
      <c r="EZ116" s="181"/>
      <c r="FA116" s="181"/>
      <c r="FB116" s="181"/>
      <c r="FC116" s="181"/>
      <c r="FD116" s="181"/>
      <c r="FE116" s="181"/>
      <c r="FF116" s="181"/>
      <c r="FG116" s="181"/>
      <c r="FH116" s="181"/>
      <c r="FI116" s="181"/>
      <c r="FJ116" s="181"/>
      <c r="FK116" s="181"/>
      <c r="FL116" s="181"/>
      <c r="FM116" s="181"/>
      <c r="FN116" s="181"/>
      <c r="FO116" s="181"/>
      <c r="FP116" s="181"/>
      <c r="FQ116" s="181"/>
      <c r="FR116" s="181"/>
      <c r="FS116" s="181"/>
      <c r="FT116" s="181"/>
      <c r="FU116" s="181"/>
      <c r="FV116" s="181"/>
      <c r="FW116" s="181"/>
      <c r="FX116" s="181"/>
      <c r="FY116" s="181"/>
      <c r="FZ116" s="181"/>
      <c r="GA116" s="181"/>
      <c r="GB116" s="181"/>
      <c r="GC116" s="181"/>
      <c r="GD116" s="181"/>
      <c r="GE116" s="181"/>
      <c r="GF116" s="181"/>
      <c r="GG116" s="181"/>
      <c r="GH116" s="181"/>
      <c r="GI116" s="181"/>
      <c r="GJ116" s="181"/>
      <c r="GK116" s="181"/>
      <c r="GL116" s="181"/>
      <c r="GM116" s="181"/>
      <c r="GN116" s="181"/>
      <c r="GO116" s="181"/>
      <c r="GP116" s="181"/>
      <c r="GQ116" s="181"/>
      <c r="GR116" s="181"/>
      <c r="GS116" s="181"/>
      <c r="GT116" s="181"/>
      <c r="GU116" s="181"/>
      <c r="GV116" s="181"/>
      <c r="GW116" s="181"/>
      <c r="GX116" s="181"/>
      <c r="GY116" s="181"/>
      <c r="GZ116" s="181"/>
      <c r="HA116" s="181"/>
      <c r="HB116" s="181"/>
      <c r="HC116" s="181"/>
      <c r="HD116" s="181"/>
      <c r="HE116" s="181"/>
      <c r="HF116" s="181"/>
      <c r="HG116" s="181"/>
      <c r="HH116" s="181"/>
      <c r="HI116" s="181"/>
      <c r="HJ116" s="181"/>
      <c r="HK116" s="181"/>
      <c r="HL116" s="181"/>
      <c r="HM116" s="181"/>
      <c r="HN116" s="181"/>
      <c r="HO116" s="181"/>
      <c r="HP116" s="181"/>
      <c r="HQ116" s="181"/>
      <c r="HR116" s="181"/>
      <c r="HS116" s="181"/>
      <c r="HT116" s="181"/>
      <c r="HU116" s="181"/>
      <c r="HV116" s="181"/>
      <c r="HW116" s="181"/>
      <c r="HX116" s="181"/>
      <c r="HY116" s="181"/>
      <c r="HZ116" s="181"/>
      <c r="IA116" s="181"/>
      <c r="IB116" s="181"/>
      <c r="IC116" s="181"/>
      <c r="ID116" s="181"/>
      <c r="IE116" s="181"/>
      <c r="IF116" s="181"/>
      <c r="IG116" s="181"/>
      <c r="IH116" s="181"/>
      <c r="II116" s="181"/>
      <c r="IJ116" s="181"/>
      <c r="IK116" s="181"/>
      <c r="IL116" s="181"/>
      <c r="IM116" s="181"/>
      <c r="IN116" s="181"/>
      <c r="IO116" s="181"/>
      <c r="IP116" s="181"/>
      <c r="IQ116" s="181"/>
      <c r="IR116" s="181"/>
      <c r="IS116" s="181"/>
      <c r="IT116" s="181"/>
      <c r="IU116" s="181"/>
      <c r="IV116" s="181"/>
      <c r="IW116" s="181"/>
      <c r="IX116" s="181"/>
      <c r="IY116" s="181"/>
      <c r="IZ116" s="181"/>
      <c r="JA116" s="181"/>
      <c r="JB116" s="181"/>
      <c r="JC116" s="181"/>
      <c r="JD116" s="181"/>
      <c r="JE116" s="181"/>
      <c r="JF116" s="181"/>
      <c r="JG116" s="181"/>
      <c r="JH116" s="181"/>
      <c r="JI116" s="181"/>
      <c r="JJ116" s="181"/>
      <c r="JK116" s="181"/>
      <c r="JL116" s="181"/>
      <c r="JM116" s="181"/>
      <c r="JN116" s="181"/>
      <c r="JO116" s="181"/>
      <c r="JP116" s="181"/>
      <c r="JQ116" s="181"/>
      <c r="JR116" s="181"/>
      <c r="JS116" s="181"/>
      <c r="JT116" s="181"/>
      <c r="JU116" s="181"/>
      <c r="JV116" s="181"/>
      <c r="JW116" s="181"/>
      <c r="JX116" s="181"/>
      <c r="JY116" s="181"/>
      <c r="JZ116" s="181"/>
      <c r="KA116" s="181"/>
      <c r="KB116" s="181"/>
      <c r="KC116" s="181"/>
      <c r="KD116" s="181"/>
      <c r="KE116" s="181"/>
      <c r="KF116" s="181"/>
      <c r="KG116" s="181"/>
      <c r="KH116" s="181"/>
      <c r="KI116" s="181"/>
      <c r="KJ116" s="181"/>
      <c r="KK116" s="181"/>
      <c r="KL116" s="181"/>
      <c r="KM116" s="181"/>
      <c r="KN116" s="181"/>
      <c r="KO116" s="181"/>
      <c r="KP116" s="181"/>
      <c r="KQ116" s="181"/>
      <c r="KR116" s="181"/>
      <c r="KS116" s="181"/>
      <c r="KT116" s="181"/>
      <c r="KU116" s="181"/>
      <c r="KV116" s="181"/>
      <c r="KW116" s="181"/>
      <c r="KX116" s="181"/>
      <c r="KY116" s="181"/>
      <c r="KZ116" s="181"/>
      <c r="LA116" s="181"/>
      <c r="LB116" s="181"/>
      <c r="LC116" s="181"/>
      <c r="LD116" s="181"/>
      <c r="LE116" s="181"/>
      <c r="LF116" s="181"/>
      <c r="LG116" s="181"/>
      <c r="LH116" s="181"/>
      <c r="LI116" s="181"/>
      <c r="LJ116" s="181"/>
      <c r="LK116" s="181"/>
      <c r="LL116" s="181"/>
      <c r="LM116" s="181"/>
      <c r="LN116" s="181"/>
      <c r="LO116" s="181"/>
      <c r="LP116" s="181"/>
      <c r="LQ116" s="181"/>
      <c r="LR116" s="181"/>
      <c r="LS116" s="181"/>
      <c r="LT116" s="181"/>
      <c r="LU116" s="181"/>
      <c r="LV116" s="181"/>
      <c r="LW116" s="181"/>
      <c r="LX116" s="181"/>
      <c r="LY116" s="181"/>
      <c r="LZ116" s="181"/>
      <c r="MA116" s="181"/>
      <c r="MB116" s="181"/>
      <c r="MC116" s="181"/>
      <c r="MD116" s="181"/>
    </row>
    <row r="117" spans="1:342" ht="7.4" customHeight="1" x14ac:dyDescent="0.5">
      <c r="A117" s="42"/>
      <c r="B117" s="35"/>
      <c r="C117" s="425"/>
      <c r="D117" s="425"/>
      <c r="E117" s="426"/>
      <c r="F117" s="35"/>
      <c r="G117" s="425"/>
      <c r="H117" s="425"/>
      <c r="I117" s="425"/>
      <c r="J117" s="425"/>
      <c r="K117" s="425"/>
      <c r="L117" s="425"/>
      <c r="M117" s="425"/>
      <c r="N117" s="425"/>
      <c r="O117" s="425"/>
      <c r="P117" s="425"/>
      <c r="Q117" s="425"/>
      <c r="R117" s="426"/>
      <c r="S117" s="35"/>
      <c r="T117" s="425"/>
      <c r="U117" s="425"/>
      <c r="V117" s="425"/>
      <c r="W117" s="425"/>
      <c r="X117" s="425"/>
      <c r="Y117" s="425"/>
      <c r="Z117" s="425"/>
      <c r="AA117" s="425"/>
      <c r="AB117" s="425"/>
      <c r="AC117" s="425"/>
      <c r="AD117" s="425"/>
      <c r="AE117" s="425"/>
      <c r="AF117" s="425"/>
      <c r="AG117" s="425"/>
      <c r="AH117" s="425"/>
      <c r="AI117" s="425"/>
      <c r="AJ117" s="426"/>
      <c r="AK117" s="35"/>
      <c r="AL117" s="425"/>
      <c r="AM117" s="425"/>
      <c r="AN117" s="425"/>
      <c r="AO117" s="425"/>
      <c r="AP117" s="426"/>
      <c r="AQ117" s="305"/>
      <c r="AR117" s="306"/>
      <c r="AS117" s="306"/>
      <c r="AT117" s="306"/>
      <c r="AU117" s="306"/>
      <c r="AV117" s="306"/>
      <c r="AW117" s="306"/>
      <c r="AX117" s="306"/>
      <c r="AY117" s="306"/>
      <c r="AZ117" s="306"/>
      <c r="BA117" s="306"/>
      <c r="BB117" s="306"/>
      <c r="BC117" s="306"/>
      <c r="BD117" s="306"/>
      <c r="BE117" s="306"/>
      <c r="BF117" s="306"/>
      <c r="BG117" s="306"/>
      <c r="BH117" s="307"/>
      <c r="BI117" s="41"/>
      <c r="BK117" s="174"/>
      <c r="BL117" s="135"/>
      <c r="BM117" s="52"/>
      <c r="BN117" s="135"/>
      <c r="BO117" s="135"/>
      <c r="BP117" s="52"/>
      <c r="BQ117" s="174"/>
      <c r="BR117" s="135"/>
      <c r="BS117" s="52"/>
      <c r="BT117" s="174"/>
      <c r="BU117" s="135"/>
      <c r="BV117" s="52"/>
      <c r="BW117" s="174"/>
      <c r="BX117" s="135"/>
      <c r="BY117" s="52"/>
      <c r="BZ117" s="174"/>
      <c r="CA117" s="135"/>
      <c r="CB117" s="52"/>
      <c r="CC117" s="174"/>
      <c r="CD117" s="135"/>
      <c r="CE117" s="52"/>
      <c r="CF117" s="174"/>
      <c r="CG117" s="135"/>
      <c r="CH117" s="52"/>
      <c r="CI117" s="174"/>
      <c r="CJ117" s="135"/>
      <c r="CK117" s="52"/>
      <c r="CL117" s="174"/>
      <c r="CM117" s="135"/>
      <c r="CN117" s="52"/>
      <c r="CO117" s="174"/>
      <c r="CP117" s="135"/>
      <c r="CQ117" s="52"/>
      <c r="CR117" s="174"/>
      <c r="CS117" s="135"/>
      <c r="CT117" s="52"/>
      <c r="CU117" s="174"/>
      <c r="CV117" s="135"/>
      <c r="CW117" s="52"/>
      <c r="CX117" s="174"/>
      <c r="CY117" s="135"/>
      <c r="CZ117" s="52"/>
      <c r="DA117" s="174"/>
      <c r="DB117" s="135"/>
      <c r="DC117" s="52"/>
      <c r="DD117" s="174"/>
      <c r="DE117" s="135"/>
      <c r="DF117" s="52"/>
      <c r="DY117" s="191"/>
      <c r="DZ117" s="191"/>
      <c r="EA117" s="191"/>
      <c r="EB117" s="191"/>
      <c r="EC117" s="191"/>
      <c r="ED117" s="191"/>
      <c r="EE117" s="191"/>
      <c r="EF117" s="191"/>
      <c r="EG117" s="191"/>
      <c r="EH117" s="191"/>
      <c r="EI117" s="191"/>
      <c r="EJ117" s="192"/>
      <c r="EK117" s="192"/>
      <c r="EL117" s="192"/>
      <c r="EM117" s="192"/>
      <c r="EN117" s="191"/>
      <c r="EO117" s="192"/>
      <c r="EP117" s="192"/>
      <c r="EQ117" s="192"/>
      <c r="ER117" s="192"/>
      <c r="ES117" s="192"/>
      <c r="ET117" s="192"/>
      <c r="EU117" s="192"/>
      <c r="EV117" s="192"/>
      <c r="EW117" s="192"/>
      <c r="EX117" s="192"/>
      <c r="EY117" s="192"/>
      <c r="EZ117" s="192"/>
      <c r="FA117" s="191"/>
      <c r="FB117" s="191"/>
      <c r="FC117" s="191"/>
      <c r="FD117" s="192"/>
      <c r="FE117" s="192"/>
      <c r="FF117" s="192"/>
      <c r="FG117" s="192"/>
      <c r="FH117" s="191"/>
      <c r="FI117" s="191"/>
      <c r="FJ117" s="191"/>
      <c r="FK117" s="191"/>
      <c r="FL117" s="191"/>
      <c r="FM117" s="191"/>
      <c r="FN117" s="191"/>
      <c r="FO117" s="191"/>
      <c r="FP117" s="191"/>
      <c r="FQ117" s="191"/>
      <c r="FR117" s="191"/>
    </row>
    <row r="118" spans="1:342" ht="7.4" customHeight="1" x14ac:dyDescent="0.5">
      <c r="A118" s="42"/>
      <c r="B118" s="38"/>
      <c r="C118" s="39"/>
      <c r="D118" s="39"/>
      <c r="E118" s="40"/>
      <c r="F118" s="38"/>
      <c r="G118" s="140"/>
      <c r="H118" s="140"/>
      <c r="I118" s="140"/>
      <c r="J118" s="140"/>
      <c r="K118" s="140"/>
      <c r="L118" s="140"/>
      <c r="M118" s="140"/>
      <c r="N118" s="140"/>
      <c r="O118" s="140"/>
      <c r="P118" s="140"/>
      <c r="Q118" s="140"/>
      <c r="R118" s="193"/>
      <c r="S118" s="38"/>
      <c r="T118" s="39"/>
      <c r="U118" s="39"/>
      <c r="V118" s="39"/>
      <c r="W118" s="39"/>
      <c r="X118" s="39"/>
      <c r="Y118" s="39"/>
      <c r="Z118" s="39"/>
      <c r="AA118" s="39"/>
      <c r="AB118" s="39"/>
      <c r="AC118" s="39"/>
      <c r="AD118" s="39"/>
      <c r="AE118" s="39"/>
      <c r="AF118" s="39"/>
      <c r="AG118" s="39"/>
      <c r="AH118" s="39"/>
      <c r="AI118" s="39"/>
      <c r="AJ118" s="40"/>
      <c r="AK118" s="38"/>
      <c r="AL118" s="39"/>
      <c r="AM118" s="39"/>
      <c r="AN118" s="39"/>
      <c r="AO118" s="39"/>
      <c r="AP118" s="39"/>
      <c r="AQ118" s="38"/>
      <c r="AR118" s="39"/>
      <c r="AS118" s="39"/>
      <c r="AT118" s="39"/>
      <c r="AU118" s="39"/>
      <c r="AV118" s="39"/>
      <c r="AW118" s="39"/>
      <c r="AX118" s="39"/>
      <c r="AY118" s="39"/>
      <c r="AZ118" s="39"/>
      <c r="BA118" s="39"/>
      <c r="BB118" s="39"/>
      <c r="BC118" s="39"/>
      <c r="BD118" s="39"/>
      <c r="BE118" s="39"/>
      <c r="BF118" s="39"/>
      <c r="BG118" s="39"/>
      <c r="BH118" s="40"/>
      <c r="BI118" s="41"/>
      <c r="BK118" s="415">
        <f>IF($N$66="Combination",0,(IF($AV$28="Duo-pitch",M58*($AX$31+$AO$35/2+50/2),M58*$AJ$70))*2*M54/$N$66)</f>
        <v>0</v>
      </c>
      <c r="BL118" s="416"/>
      <c r="BM118" s="417"/>
      <c r="BN118" s="415">
        <f>IF($N$66="Combination",0,(IF($AV$28="Duo-pitch",P58*($AX$31+$AO$35/2+50/2),P58*$AJ$70))*2*P54/$N$66)</f>
        <v>0</v>
      </c>
      <c r="BO118" s="416"/>
      <c r="BP118" s="417"/>
      <c r="BQ118" s="415">
        <f>IF($N$66="Combination",0,(IF($AV$28="Duo-pitch",S58*($AX$31+$AO$35/2+50/2),S58*$AJ$70))*2*S54/$N$66)</f>
        <v>0</v>
      </c>
      <c r="BR118" s="416"/>
      <c r="BS118" s="417"/>
      <c r="BT118" s="415">
        <f>IF($N$66="Combination",0,(IF($AV$28="Duo-pitch",V58*($AX$31+$AO$35/2+50/2),V58*$AJ$70))*2*V54/$N$66)</f>
        <v>0</v>
      </c>
      <c r="BU118" s="416"/>
      <c r="BV118" s="417"/>
      <c r="BW118" s="415">
        <f>IF($N$66="Combination",0,(IF($AV$28="Duo-pitch",Y58*($AX$31+$AO$35/2+50/2),Y58*$AJ$70))*2*Y54/$N$66)</f>
        <v>0</v>
      </c>
      <c r="BX118" s="416"/>
      <c r="BY118" s="417"/>
      <c r="BZ118" s="415">
        <f>IF($N$66="Combination",0,(IF($AV$28="Duo-pitch",AB58*($AX$31+$AO$35/2+50/2),AB58*$AJ$70))*2*AB54/$N$66)</f>
        <v>0</v>
      </c>
      <c r="CA118" s="416"/>
      <c r="CB118" s="417"/>
      <c r="CC118" s="415">
        <f>IF($N$66="Combination",0,(IF($AV$28="Duo-pitch",AE58*($AX$31+$AO$35/2+50/2),AE58*$AJ$70))*2*AE54/$N$66)</f>
        <v>0</v>
      </c>
      <c r="CD118" s="416"/>
      <c r="CE118" s="417"/>
      <c r="CF118" s="415">
        <f>IF($N$66="Combination",0,(IF($AV$28="Duo-pitch",AH58*($AX$31+$AO$35/2+50/2),AH58*$AJ$70))*2*AH54/$N$66)</f>
        <v>0</v>
      </c>
      <c r="CG118" s="416"/>
      <c r="CH118" s="417"/>
      <c r="CI118" s="415">
        <f>IF($N$66="Combination",0,(IF($AV$28="Duo-pitch",AK58*($AX$31+$AO$35/2+50/2),AK58*$AJ$70))*2*AK54/$N$66)</f>
        <v>0</v>
      </c>
      <c r="CJ118" s="416"/>
      <c r="CK118" s="417"/>
      <c r="CL118" s="415">
        <f>IF($N$66="Combination",0,(IF($AV$28="Duo-pitch",AN58*($AX$31+$AO$35/2+50/2),AN58*$AJ$70))*2*AN54/$N$66)</f>
        <v>0</v>
      </c>
      <c r="CM118" s="416"/>
      <c r="CN118" s="417"/>
      <c r="CO118" s="415">
        <f>IF($N$66="Combination",0,(IF($AV$28="Duo-pitch",AQ58*($AX$31+$AO$35/2+50/2),AQ58*$AJ$70))*2*AQ54/$N$66)</f>
        <v>0</v>
      </c>
      <c r="CP118" s="416"/>
      <c r="CQ118" s="417"/>
      <c r="CR118" s="415">
        <f>IF($N$66="Combination",0,(IF($AV$28="Duo-pitch",AT58*($AX$31+$AO$35/2+50/2),AT58*$AJ$70))*2*AT54/$N$66)</f>
        <v>0</v>
      </c>
      <c r="CS118" s="416"/>
      <c r="CT118" s="417"/>
      <c r="CU118" s="415">
        <f>IF($N$66="Combination",0,(IF($AV$28="Duo-pitch",AW58*($AX$31+$AO$35/2+50/2),AW58*$AJ$70))*2*AW54/$N$66)</f>
        <v>0</v>
      </c>
      <c r="CV118" s="416"/>
      <c r="CW118" s="417"/>
      <c r="CX118" s="415">
        <f>IF($N$66="Combination",0,(IF($AV$28="Duo-pitch",AZ58*($AX$31+$AO$35/2+50/2),AZ58*$AJ$70))*2*AZ54/$N$66)</f>
        <v>0</v>
      </c>
      <c r="CY118" s="416"/>
      <c r="CZ118" s="417"/>
      <c r="DA118" s="415">
        <f>IF($N$66="Combination",0,(IF($AV$28="Duo-pitch",BC58*($AX$31+$AO$35/2+50/2),BC58*$AJ$70))*2*BC54/$N$66)</f>
        <v>0</v>
      </c>
      <c r="DB118" s="416"/>
      <c r="DC118" s="417"/>
      <c r="DD118" s="415">
        <f>IF($N$66="Combination",0,(IF($AV$28="Duo-pitch",BF58*($AX$31+$AO$35/2+50/2),BF58*$AJ$70))*2*BF54/$N$66)</f>
        <v>0</v>
      </c>
      <c r="DE118" s="416"/>
      <c r="DF118" s="417"/>
      <c r="DY118" s="191"/>
      <c r="DZ118" s="191"/>
      <c r="EA118" s="191"/>
      <c r="EB118" s="191"/>
      <c r="EC118" s="191"/>
      <c r="ED118" s="191"/>
      <c r="EE118" s="191"/>
      <c r="EF118" s="191"/>
      <c r="EG118" s="191"/>
      <c r="EH118" s="191"/>
      <c r="EI118" s="191"/>
      <c r="EJ118" s="192"/>
      <c r="EK118" s="192"/>
      <c r="EL118" s="192"/>
      <c r="EM118" s="192"/>
      <c r="EN118" s="191"/>
      <c r="EO118" s="192"/>
      <c r="EP118" s="192"/>
      <c r="EQ118" s="192"/>
      <c r="ER118" s="192"/>
      <c r="ES118" s="192"/>
      <c r="ET118" s="192"/>
      <c r="EU118" s="192"/>
      <c r="EV118" s="192"/>
      <c r="EW118" s="192"/>
      <c r="EX118" s="192"/>
      <c r="EY118" s="192"/>
      <c r="EZ118" s="192"/>
      <c r="FA118" s="191"/>
      <c r="FB118" s="191"/>
      <c r="FC118" s="191"/>
      <c r="FD118" s="192"/>
      <c r="FE118" s="192"/>
      <c r="FF118" s="192"/>
      <c r="FG118" s="192"/>
      <c r="FH118" s="191"/>
      <c r="FI118" s="191"/>
      <c r="FJ118" s="191"/>
      <c r="FK118" s="191"/>
      <c r="FL118" s="191"/>
      <c r="FM118" s="191"/>
      <c r="FN118" s="191"/>
      <c r="FO118" s="191"/>
      <c r="FP118" s="191"/>
      <c r="FQ118" s="191"/>
      <c r="FR118" s="191"/>
    </row>
    <row r="119" spans="1:342" ht="7.4" customHeight="1" x14ac:dyDescent="0.5">
      <c r="A119" s="42"/>
      <c r="B119" s="42"/>
      <c r="C119" s="419">
        <v>1</v>
      </c>
      <c r="D119" s="419"/>
      <c r="E119" s="41"/>
      <c r="F119" s="42"/>
      <c r="G119" s="319" t="str">
        <f>IF(AL119=0,"N/A","AXE_L_R_BL_AL")</f>
        <v>AXE_L_R_BL_AL</v>
      </c>
      <c r="H119" s="319"/>
      <c r="I119" s="319"/>
      <c r="J119" s="319"/>
      <c r="K119" s="319"/>
      <c r="L119" s="319"/>
      <c r="M119" s="319"/>
      <c r="N119" s="319"/>
      <c r="O119" s="319"/>
      <c r="P119" s="319"/>
      <c r="Q119" s="319"/>
      <c r="R119" s="320"/>
      <c r="S119" s="42"/>
      <c r="T119" s="405" t="str">
        <f>VLOOKUP(G119,PL!$B$9:$BH$1265,14,FALSE)</f>
        <v>Ballast Rail</v>
      </c>
      <c r="U119" s="405"/>
      <c r="V119" s="405"/>
      <c r="W119" s="405"/>
      <c r="X119" s="405"/>
      <c r="Y119" s="405"/>
      <c r="Z119" s="405"/>
      <c r="AA119" s="405"/>
      <c r="AB119" s="405"/>
      <c r="AC119" s="405"/>
      <c r="AE119" s="49"/>
      <c r="AF119" s="316" t="str">
        <f>IF(AL119=0,"","("&amp;IF(N66="Combination",DW111,N66)/1000&amp;"m)")</f>
        <v>(4,7m)</v>
      </c>
      <c r="AG119" s="418"/>
      <c r="AH119" s="418"/>
      <c r="AI119" s="418"/>
      <c r="AJ119" s="110"/>
      <c r="AK119" s="42"/>
      <c r="AL119" s="311">
        <f>IF(N66="Combination",ROUND(SUM(BK121:DF121)*(1+$BF$66),0),ROUNDUP(SUM(BK119:DF119)*(1+$BF$66),0))</f>
        <v>10</v>
      </c>
      <c r="AM119" s="311"/>
      <c r="AN119" s="311"/>
      <c r="AO119" s="311"/>
      <c r="AP119" s="43"/>
      <c r="AQ119" s="128"/>
      <c r="AR119" s="308" t="str">
        <f>VLOOKUP(G119,PL!$B$9:$BH$818,52,FALSE)</f>
        <v>SOL-6097</v>
      </c>
      <c r="AS119" s="309"/>
      <c r="AT119" s="309"/>
      <c r="AU119" s="309"/>
      <c r="AV119" s="309"/>
      <c r="AW119" s="309"/>
      <c r="AX119" s="309"/>
      <c r="AY119" s="309"/>
      <c r="AZ119" s="309"/>
      <c r="BA119" s="309"/>
      <c r="BB119" s="309"/>
      <c r="BC119" s="309"/>
      <c r="BD119" s="309"/>
      <c r="BE119" s="309"/>
      <c r="BF119" s="309"/>
      <c r="BG119" s="309"/>
      <c r="BH119" s="124"/>
      <c r="BI119" s="124"/>
      <c r="BK119" s="415">
        <f>IF($N$66="Combination",0,(IF($AV$28="Duo-pitch",M58*($AX$31+$AO$35/2+50/2),M58*$AJ$70)+IF(OR(BK89&lt;$BW$74,BK91&lt;$BW$74),MIN(BK89,BK91),0))*2*M54/$N$66)</f>
        <v>0</v>
      </c>
      <c r="BL119" s="416"/>
      <c r="BM119" s="417"/>
      <c r="BN119" s="415">
        <f>IF($N$66="Combination",0,(IF($AV$28="Duo-pitch",P58*($AX$31+$AO$35/2+50/2),P58*$AJ$70)+IF(OR(BN89&lt;$BW$74,BN91&lt;$BW$74),MIN(BN89,BN91),0))*2*P54/$N$66)</f>
        <v>0</v>
      </c>
      <c r="BO119" s="416"/>
      <c r="BP119" s="417"/>
      <c r="BQ119" s="415">
        <f>IF($N$66="Combination",0,(IF($AV$28="Duo-pitch",S58*($AX$31+$AO$35/2+50/2),S58*$AJ$70)+IF(OR(BQ89&lt;$BW$74,BQ91&lt;$BW$74),MIN(BQ89,BQ91),0))*2*S54/$N$66)</f>
        <v>0</v>
      </c>
      <c r="BR119" s="416"/>
      <c r="BS119" s="417"/>
      <c r="BT119" s="415">
        <f>IF($N$66="Combination",0,(IF($AV$28="Duo-pitch",V58*($AX$31+$AO$35/2+50/2),V58*$AJ$70)+IF(OR(BT89&lt;$BW$74,BT91&lt;$BW$74),MIN(BT89,BT91),0))*2*V54/$N$66)</f>
        <v>0</v>
      </c>
      <c r="BU119" s="416"/>
      <c r="BV119" s="417"/>
      <c r="BW119" s="415">
        <f>IF($N$66="Combination",0,(IF($AV$28="Duo-pitch",Y58*($AX$31+$AO$35/2+50/2),Y58*$AJ$70)+IF(OR(BW89&lt;$BW$74,BW91&lt;$BW$74),MIN(BW89,BW91),0))*2*Y54/$N$66)</f>
        <v>0</v>
      </c>
      <c r="BX119" s="416"/>
      <c r="BY119" s="417"/>
      <c r="BZ119" s="415">
        <f>IF($N$66="Combination",0,(IF($AV$28="Duo-pitch",AB58*($AX$31+$AO$35/2+50/2),AB58*$AJ$70)+IF(OR(BZ89&lt;$BW$74,BZ91&lt;$BW$74),MIN(BZ89,BZ91),0))*2*AB54/$N$66)</f>
        <v>0</v>
      </c>
      <c r="CA119" s="416"/>
      <c r="CB119" s="417"/>
      <c r="CC119" s="415">
        <f>IF($N$66="Combination",0,(IF($AV$28="Duo-pitch",AE58*($AX$31+$AO$35/2+50/2),AE58*$AJ$70)+IF(OR(CC89&lt;$BW$74,CC91&lt;$BW$74),MIN(CC89,CC91),0))*2*AE54/$N$66)</f>
        <v>0</v>
      </c>
      <c r="CD119" s="416"/>
      <c r="CE119" s="417"/>
      <c r="CF119" s="415">
        <f>IF($N$66="Combination",0,(IF($AV$28="Duo-pitch",AH58*($AX$31+$AO$35/2+50/2),AH58*$AJ$70)+IF(OR(CF89&lt;$BW$74,CF91&lt;$BW$74),MIN(CF89,CF91),0))*2*AH54/$N$66)</f>
        <v>0</v>
      </c>
      <c r="CG119" s="416"/>
      <c r="CH119" s="417"/>
      <c r="CI119" s="415">
        <f>IF($N$66="Combination",0,(IF($AV$28="Duo-pitch",AK58*($AX$31+$AO$35/2+50/2),AK58*$AJ$70)+IF(OR(CI89&lt;$BW$74,CI91&lt;$BW$74),MIN(CI89,CI91),0))*2*AK54/$N$66)</f>
        <v>0</v>
      </c>
      <c r="CJ119" s="416"/>
      <c r="CK119" s="417"/>
      <c r="CL119" s="415">
        <f>IF($N$66="Combination",0,(IF($AV$28="Duo-pitch",AN58*($AX$31+$AO$35/2+50/2),AN58*$AJ$70)+IF(OR(CL89&lt;$BW$74,CL91&lt;$BW$74),MIN(CL89,CL91),0))*2*AN54/$N$66)</f>
        <v>0</v>
      </c>
      <c r="CM119" s="416"/>
      <c r="CN119" s="417"/>
      <c r="CO119" s="415">
        <f>IF($N$66="Combination",0,(IF($AV$28="Duo-pitch",AQ58*($AX$31+$AO$35/2+50/2),AQ58*$AJ$70)+IF(OR(CO89&lt;$BW$74,CO91&lt;$BW$74),MIN(CO89,CO91),0))*2*AQ54/$N$66)</f>
        <v>0</v>
      </c>
      <c r="CP119" s="416"/>
      <c r="CQ119" s="417"/>
      <c r="CR119" s="415">
        <f>IF($N$66="Combination",0,(IF($AV$28="Duo-pitch",AT58*($AX$31+$AO$35/2+50/2),AT58*$AJ$70)+IF(OR(CR89&lt;$BW$74,CR91&lt;$BW$74),MIN(CR89,CR91),0))*2*AT54/$N$66)</f>
        <v>0</v>
      </c>
      <c r="CS119" s="416"/>
      <c r="CT119" s="417"/>
      <c r="CU119" s="415">
        <f>IF($N$66="Combination",0,(IF($AV$28="Duo-pitch",AW58*($AX$31+$AO$35/2+50/2),AW58*$AJ$70)+IF(OR(CU89&lt;$BW$74,CU91&lt;$BW$74),MIN(CU89,CU91),0))*2*AW54/$N$66)</f>
        <v>0</v>
      </c>
      <c r="CV119" s="416"/>
      <c r="CW119" s="417"/>
      <c r="CX119" s="415">
        <f>IF($N$66="Combination",0,(IF($AV$28="Duo-pitch",AZ58*($AX$31+$AO$35/2+50/2),AZ58*$AJ$70)+IF(OR(CX89&lt;$BW$74,CX91&lt;$BW$74),MIN(CX89,CX91),0))*2*AZ54/$N$66)</f>
        <v>0</v>
      </c>
      <c r="CY119" s="416"/>
      <c r="CZ119" s="417"/>
      <c r="DA119" s="415">
        <f>IF($N$66="Combination",0,(IF($AV$28="Duo-pitch",BC58*($AX$31+$AO$35/2+50/2),BC58*$AJ$70)+IF(OR(DA89&lt;$BW$74,DA91&lt;$BW$74),MIN(DA89,DA91),0))*2*BC54/$N$66)</f>
        <v>0</v>
      </c>
      <c r="DB119" s="416"/>
      <c r="DC119" s="417"/>
      <c r="DD119" s="415">
        <f>IF($N$66="Combination",0,(IF($AV$28="Duo-pitch",BF58*($AX$31+$AO$35/2+50/2),BF58*$AJ$70)+IF(OR(DD89&lt;$BW$74,DD91&lt;$BW$74),MIN(DD89,DD91),0))*2*BF54/$N$66)</f>
        <v>0</v>
      </c>
      <c r="DE119" s="416"/>
      <c r="DF119" s="417"/>
      <c r="DH119" s="311"/>
      <c r="DI119" s="311"/>
      <c r="DJ119" s="311"/>
      <c r="DK119" s="311"/>
      <c r="DL119" s="321"/>
      <c r="DM119" s="321"/>
      <c r="DN119" s="321"/>
      <c r="DO119" s="321"/>
      <c r="DP119" s="321"/>
      <c r="DQ119" s="321"/>
      <c r="DR119" s="321"/>
      <c r="DS119" s="321"/>
    </row>
    <row r="120" spans="1:342" ht="7.4" customHeight="1" x14ac:dyDescent="0.5">
      <c r="A120" s="42"/>
      <c r="B120" s="42"/>
      <c r="C120" s="419"/>
      <c r="D120" s="419"/>
      <c r="E120" s="41"/>
      <c r="F120" s="42"/>
      <c r="G120" s="319"/>
      <c r="H120" s="319"/>
      <c r="I120" s="319"/>
      <c r="J120" s="319"/>
      <c r="K120" s="319"/>
      <c r="L120" s="319"/>
      <c r="M120" s="319"/>
      <c r="N120" s="319"/>
      <c r="O120" s="319"/>
      <c r="P120" s="319"/>
      <c r="Q120" s="319"/>
      <c r="R120" s="320"/>
      <c r="S120" s="42"/>
      <c r="T120" s="405"/>
      <c r="U120" s="405"/>
      <c r="V120" s="405"/>
      <c r="W120" s="405"/>
      <c r="X120" s="405"/>
      <c r="Y120" s="405"/>
      <c r="Z120" s="405"/>
      <c r="AA120" s="405"/>
      <c r="AB120" s="405"/>
      <c r="AC120" s="405"/>
      <c r="AD120" s="49"/>
      <c r="AE120" s="49"/>
      <c r="AF120" s="418"/>
      <c r="AG120" s="418"/>
      <c r="AH120" s="418"/>
      <c r="AI120" s="418"/>
      <c r="AJ120" s="110"/>
      <c r="AK120" s="42"/>
      <c r="AL120" s="311"/>
      <c r="AM120" s="311"/>
      <c r="AN120" s="311"/>
      <c r="AO120" s="311"/>
      <c r="AP120" s="43"/>
      <c r="AQ120" s="128"/>
      <c r="AR120" s="309"/>
      <c r="AS120" s="309"/>
      <c r="AT120" s="309"/>
      <c r="AU120" s="309"/>
      <c r="AV120" s="309"/>
      <c r="AW120" s="309"/>
      <c r="AX120" s="309"/>
      <c r="AY120" s="309"/>
      <c r="AZ120" s="309"/>
      <c r="BA120" s="309"/>
      <c r="BB120" s="309"/>
      <c r="BC120" s="309"/>
      <c r="BD120" s="309"/>
      <c r="BE120" s="309"/>
      <c r="BF120" s="309"/>
      <c r="BG120" s="309"/>
      <c r="BH120" s="124"/>
      <c r="BI120" s="124"/>
      <c r="BK120" s="415"/>
      <c r="BL120" s="416"/>
      <c r="BM120" s="417"/>
      <c r="BN120" s="415"/>
      <c r="BO120" s="416"/>
      <c r="BP120" s="417"/>
      <c r="BQ120" s="415"/>
      <c r="BR120" s="416"/>
      <c r="BS120" s="417"/>
      <c r="BT120" s="415"/>
      <c r="BU120" s="416"/>
      <c r="BV120" s="417"/>
      <c r="BW120" s="415"/>
      <c r="BX120" s="416"/>
      <c r="BY120" s="417"/>
      <c r="BZ120" s="415"/>
      <c r="CA120" s="416"/>
      <c r="CB120" s="417"/>
      <c r="CC120" s="415"/>
      <c r="CD120" s="416"/>
      <c r="CE120" s="417"/>
      <c r="CF120" s="415"/>
      <c r="CG120" s="416"/>
      <c r="CH120" s="417"/>
      <c r="CI120" s="415"/>
      <c r="CJ120" s="416"/>
      <c r="CK120" s="417"/>
      <c r="CL120" s="415"/>
      <c r="CM120" s="416"/>
      <c r="CN120" s="417"/>
      <c r="CO120" s="415"/>
      <c r="CP120" s="416"/>
      <c r="CQ120" s="417"/>
      <c r="CR120" s="415"/>
      <c r="CS120" s="416"/>
      <c r="CT120" s="417"/>
      <c r="CU120" s="415"/>
      <c r="CV120" s="416"/>
      <c r="CW120" s="417"/>
      <c r="CX120" s="415"/>
      <c r="CY120" s="416"/>
      <c r="CZ120" s="417"/>
      <c r="DA120" s="415"/>
      <c r="DB120" s="416"/>
      <c r="DC120" s="417"/>
      <c r="DD120" s="415"/>
      <c r="DE120" s="416"/>
      <c r="DF120" s="417"/>
      <c r="DH120" s="311"/>
      <c r="DI120" s="311"/>
      <c r="DJ120" s="311"/>
      <c r="DK120" s="311"/>
      <c r="DL120" s="321"/>
      <c r="DM120" s="321"/>
      <c r="DN120" s="321"/>
      <c r="DO120" s="321"/>
      <c r="DP120" s="321"/>
      <c r="DQ120" s="321"/>
      <c r="DR120" s="321"/>
      <c r="DS120" s="321"/>
    </row>
    <row r="121" spans="1:342" ht="7.4" customHeight="1" x14ac:dyDescent="0.5">
      <c r="A121" s="42"/>
      <c r="B121" s="42"/>
      <c r="C121" s="333"/>
      <c r="D121" s="333"/>
      <c r="E121" s="41"/>
      <c r="F121" s="42"/>
      <c r="G121" s="56"/>
      <c r="H121" s="56"/>
      <c r="I121" s="56"/>
      <c r="J121" s="56"/>
      <c r="K121" s="56"/>
      <c r="L121" s="56"/>
      <c r="M121" s="56"/>
      <c r="N121" s="56"/>
      <c r="O121" s="56"/>
      <c r="P121" s="56"/>
      <c r="Q121" s="56"/>
      <c r="R121" s="126"/>
      <c r="S121" s="42"/>
      <c r="T121" s="116" t="str">
        <f>VLOOKUP(G119,PL!$B$9:$BH$1265,33,FALSE)</f>
        <v>Aluminium + Friction Pads</v>
      </c>
      <c r="AJ121" s="41"/>
      <c r="AK121" s="42"/>
      <c r="AL121" s="311"/>
      <c r="AM121" s="311"/>
      <c r="AN121" s="311"/>
      <c r="AO121" s="311"/>
      <c r="AP121" s="43"/>
      <c r="AQ121" s="42"/>
      <c r="AR121" s="131"/>
      <c r="AS121" s="131"/>
      <c r="AT121" s="131"/>
      <c r="AU121" s="131"/>
      <c r="AV121" s="131"/>
      <c r="AW121" s="131"/>
      <c r="AX121" s="105"/>
      <c r="AZ121" s="131"/>
      <c r="BA121" s="131"/>
      <c r="BB121" s="131"/>
      <c r="BC121" s="131"/>
      <c r="BD121" s="131"/>
      <c r="BE121" s="131"/>
      <c r="BF121" s="131"/>
      <c r="BG121" s="131"/>
      <c r="BH121" s="124"/>
      <c r="BI121" s="124"/>
      <c r="BK121" s="415">
        <f>IF(M54&gt;0,HLOOKUP(BK81,$DY$110:$ME$112,2)*M54*2,0)</f>
        <v>10</v>
      </c>
      <c r="BL121" s="416"/>
      <c r="BM121" s="417"/>
      <c r="BN121" s="415">
        <f>IF(P54&gt;0,HLOOKUP(BN81,$DY$110:$ME$112,2)*P54*2,0)</f>
        <v>0</v>
      </c>
      <c r="BO121" s="416"/>
      <c r="BP121" s="417"/>
      <c r="BQ121" s="415">
        <f>IF(S54&gt;0,HLOOKUP(BQ81,$DY$110:$ME$112,2)*S54*2,0)</f>
        <v>0</v>
      </c>
      <c r="BR121" s="416"/>
      <c r="BS121" s="417"/>
      <c r="BT121" s="415">
        <f>IF(V54&gt;0,HLOOKUP(BT81,$DY$110:$ME$112,2)*V54*2,0)</f>
        <v>0</v>
      </c>
      <c r="BU121" s="416"/>
      <c r="BV121" s="417"/>
      <c r="BW121" s="415">
        <f>IF(Y54&gt;0,HLOOKUP(BW81,$DY$110:$ME$112,2)*Y54*2,0)</f>
        <v>0</v>
      </c>
      <c r="BX121" s="416"/>
      <c r="BY121" s="417"/>
      <c r="BZ121" s="415">
        <f>IF(AB54&gt;0,HLOOKUP(BZ81,$DY$110:$ME$112,2)*AB54*2,0)</f>
        <v>0</v>
      </c>
      <c r="CA121" s="416"/>
      <c r="CB121" s="417"/>
      <c r="CC121" s="415">
        <f>IF(AE54&gt;0,HLOOKUP(CC81,$DY$110:$ME$112,2)*AE54*2,0)</f>
        <v>0</v>
      </c>
      <c r="CD121" s="416"/>
      <c r="CE121" s="417"/>
      <c r="CF121" s="415">
        <f>IF(AH54&gt;0,HLOOKUP(CF81,$DY$110:$ME$112,2)*AH54*2,0)</f>
        <v>0</v>
      </c>
      <c r="CG121" s="416"/>
      <c r="CH121" s="417"/>
      <c r="CI121" s="415">
        <f>IF(AK54&gt;0,HLOOKUP(CI81,$DY$110:$ME$112,2)*AK54*2,0)</f>
        <v>0</v>
      </c>
      <c r="CJ121" s="416"/>
      <c r="CK121" s="417"/>
      <c r="CL121" s="415">
        <f>IF(AN54&gt;0,HLOOKUP(CL81,$DY$110:$ME$112,2)*AN54*2,0)</f>
        <v>0</v>
      </c>
      <c r="CM121" s="416"/>
      <c r="CN121" s="417"/>
      <c r="CO121" s="415">
        <f>IF(AQ54&gt;0,HLOOKUP(CO81,$DY$110:$ME$112,2)*AQ54*2,0)</f>
        <v>0</v>
      </c>
      <c r="CP121" s="416"/>
      <c r="CQ121" s="417"/>
      <c r="CR121" s="415">
        <f>IF(AT54&gt;0,HLOOKUP(CR81,$DY$110:$ME$112,2)*AT54*2,0)</f>
        <v>0</v>
      </c>
      <c r="CS121" s="416"/>
      <c r="CT121" s="417"/>
      <c r="CU121" s="415">
        <f>IF(AW54&gt;0,HLOOKUP(CU81,$DY$110:$ME$112,2)*AW54*2,0)</f>
        <v>0</v>
      </c>
      <c r="CV121" s="416"/>
      <c r="CW121" s="417"/>
      <c r="CX121" s="415">
        <f>IF(AZ54&gt;0,HLOOKUP(CX81,$DY$110:$ME$112,2)*AZ54*2,0)</f>
        <v>0</v>
      </c>
      <c r="CY121" s="416"/>
      <c r="CZ121" s="417"/>
      <c r="DA121" s="415">
        <f>IF(BC54&gt;0,HLOOKUP(DA81,$DY$110:$ME$112,2)*BC54*2,0)</f>
        <v>0</v>
      </c>
      <c r="DB121" s="416"/>
      <c r="DC121" s="417"/>
      <c r="DD121" s="415">
        <f>IF(BF54&gt;0,HLOOKUP(DD81,$DY$110:$ME$112,2)*BF54*2,0)</f>
        <v>0</v>
      </c>
      <c r="DE121" s="416"/>
      <c r="DF121" s="417"/>
      <c r="DH121" s="311"/>
      <c r="DI121" s="311"/>
      <c r="DJ121" s="311"/>
      <c r="DK121" s="311"/>
      <c r="DL121" s="321"/>
      <c r="DM121" s="321"/>
      <c r="DN121" s="321"/>
      <c r="DO121" s="321"/>
      <c r="DP121" s="321"/>
      <c r="DQ121" s="321"/>
      <c r="DR121" s="321"/>
      <c r="DS121" s="321"/>
    </row>
    <row r="122" spans="1:342" ht="7.4" customHeight="1" x14ac:dyDescent="0.5">
      <c r="A122" s="42"/>
      <c r="B122" s="42"/>
      <c r="C122" s="55"/>
      <c r="D122" s="55"/>
      <c r="E122" s="41"/>
      <c r="F122" s="42"/>
      <c r="G122" s="56"/>
      <c r="H122" s="56"/>
      <c r="I122" s="56"/>
      <c r="J122" s="56"/>
      <c r="K122" s="56"/>
      <c r="L122" s="56"/>
      <c r="M122" s="56"/>
      <c r="N122" s="56"/>
      <c r="O122" s="56"/>
      <c r="P122" s="56"/>
      <c r="Q122" s="56"/>
      <c r="R122" s="126"/>
      <c r="S122" s="42"/>
      <c r="AJ122" s="41"/>
      <c r="AK122" s="42"/>
      <c r="AL122" s="311"/>
      <c r="AM122" s="311"/>
      <c r="AN122" s="311"/>
      <c r="AO122" s="311"/>
      <c r="AP122" s="43"/>
      <c r="AQ122" s="42"/>
      <c r="AR122" s="131"/>
      <c r="AS122" s="131"/>
      <c r="AT122" s="131"/>
      <c r="AU122" s="131"/>
      <c r="AV122" s="131"/>
      <c r="AW122" s="131"/>
      <c r="AX122" s="105"/>
      <c r="AZ122" s="131"/>
      <c r="BA122" s="131"/>
      <c r="BB122" s="131"/>
      <c r="BC122" s="131"/>
      <c r="BD122" s="131"/>
      <c r="BE122" s="131"/>
      <c r="BF122" s="131"/>
      <c r="BG122" s="131"/>
      <c r="BH122" s="124"/>
      <c r="BI122" s="124"/>
      <c r="BK122" s="415"/>
      <c r="BL122" s="416"/>
      <c r="BM122" s="417"/>
      <c r="BN122" s="415"/>
      <c r="BO122" s="416"/>
      <c r="BP122" s="417"/>
      <c r="BQ122" s="415"/>
      <c r="BR122" s="416"/>
      <c r="BS122" s="417"/>
      <c r="BT122" s="415"/>
      <c r="BU122" s="416"/>
      <c r="BV122" s="417"/>
      <c r="BW122" s="415"/>
      <c r="BX122" s="416"/>
      <c r="BY122" s="417"/>
      <c r="BZ122" s="415"/>
      <c r="CA122" s="416"/>
      <c r="CB122" s="417"/>
      <c r="CC122" s="415"/>
      <c r="CD122" s="416"/>
      <c r="CE122" s="417"/>
      <c r="CF122" s="415"/>
      <c r="CG122" s="416"/>
      <c r="CH122" s="417"/>
      <c r="CI122" s="415"/>
      <c r="CJ122" s="416"/>
      <c r="CK122" s="417"/>
      <c r="CL122" s="415"/>
      <c r="CM122" s="416"/>
      <c r="CN122" s="417"/>
      <c r="CO122" s="415"/>
      <c r="CP122" s="416"/>
      <c r="CQ122" s="417"/>
      <c r="CR122" s="415"/>
      <c r="CS122" s="416"/>
      <c r="CT122" s="417"/>
      <c r="CU122" s="415"/>
      <c r="CV122" s="416"/>
      <c r="CW122" s="417"/>
      <c r="CX122" s="415"/>
      <c r="CY122" s="416"/>
      <c r="CZ122" s="417"/>
      <c r="DA122" s="415"/>
      <c r="DB122" s="416"/>
      <c r="DC122" s="417"/>
      <c r="DD122" s="415"/>
      <c r="DE122" s="416"/>
      <c r="DF122" s="417"/>
      <c r="DL122" s="105"/>
      <c r="DM122" s="105"/>
      <c r="DN122" s="105"/>
      <c r="DO122" s="105"/>
      <c r="DP122" s="105"/>
      <c r="DQ122" s="105"/>
      <c r="DR122" s="105"/>
      <c r="DS122" s="105"/>
    </row>
    <row r="123" spans="1:342" ht="7.4" customHeight="1" x14ac:dyDescent="0.5">
      <c r="A123" s="42"/>
      <c r="B123" s="42"/>
      <c r="C123" s="311">
        <f>C119+1</f>
        <v>2</v>
      </c>
      <c r="D123" s="311"/>
      <c r="E123" s="41"/>
      <c r="F123" s="42"/>
      <c r="G123" s="319" t="str">
        <f>IF(AL123=0,"N/A","AXE_L_R_BL_AL")</f>
        <v>AXE_L_R_BL_AL</v>
      </c>
      <c r="H123" s="319"/>
      <c r="I123" s="319"/>
      <c r="J123" s="319"/>
      <c r="K123" s="319"/>
      <c r="L123" s="319"/>
      <c r="M123" s="319"/>
      <c r="N123" s="319"/>
      <c r="O123" s="319"/>
      <c r="P123" s="319"/>
      <c r="Q123" s="319"/>
      <c r="R123" s="320"/>
      <c r="S123" s="42"/>
      <c r="T123" s="405" t="str">
        <f>VLOOKUP(G123,PL!$B$9:$BH$1265,14,FALSE)</f>
        <v>Ballast Rail</v>
      </c>
      <c r="U123" s="405"/>
      <c r="V123" s="405"/>
      <c r="W123" s="405"/>
      <c r="X123" s="405"/>
      <c r="Y123" s="405"/>
      <c r="Z123" s="405"/>
      <c r="AA123" s="405"/>
      <c r="AB123" s="405"/>
      <c r="AC123" s="405"/>
      <c r="AE123" s="49"/>
      <c r="AF123" s="316" t="str">
        <f>IF(AL123=0,"","("&amp;IF(N66="Combination",DW112/1000,0)&amp;"m)")</f>
        <v>(5,85m)</v>
      </c>
      <c r="AG123" s="418"/>
      <c r="AH123" s="418"/>
      <c r="AI123" s="418"/>
      <c r="AJ123" s="110"/>
      <c r="AK123" s="42"/>
      <c r="AL123" s="311">
        <f>IF(N66="Combination",ROUND(SUM(BK123:DF123)*(1+$BF$66),0),0)</f>
        <v>41</v>
      </c>
      <c r="AM123" s="311"/>
      <c r="AN123" s="311"/>
      <c r="AO123" s="311"/>
      <c r="AP123" s="43"/>
      <c r="AQ123" s="128"/>
      <c r="AR123" s="308" t="str">
        <f>VLOOKUP(G123,PL!$B$9:$BH$818,52,FALSE)</f>
        <v>SOL-6097</v>
      </c>
      <c r="AS123" s="309"/>
      <c r="AT123" s="309"/>
      <c r="AU123" s="309"/>
      <c r="AV123" s="309"/>
      <c r="AW123" s="309"/>
      <c r="AX123" s="309"/>
      <c r="AY123" s="309"/>
      <c r="AZ123" s="309"/>
      <c r="BA123" s="309"/>
      <c r="BB123" s="309"/>
      <c r="BC123" s="309"/>
      <c r="BD123" s="309"/>
      <c r="BE123" s="309"/>
      <c r="BF123" s="309"/>
      <c r="BG123" s="309"/>
      <c r="BH123" s="124"/>
      <c r="BI123" s="124"/>
      <c r="BK123" s="415">
        <f>IF(M54&gt;0,HLOOKUP(BK81,$DY$110:$ME$112,3)*M54*2,0)</f>
        <v>40</v>
      </c>
      <c r="BL123" s="416"/>
      <c r="BM123" s="417"/>
      <c r="BN123" s="415">
        <f>IF(P54&gt;0,HLOOKUP(BN81,$DY$110:$ME$112,3)*P54*2,0)</f>
        <v>0</v>
      </c>
      <c r="BO123" s="416"/>
      <c r="BP123" s="417"/>
      <c r="BQ123" s="415">
        <f>IF(S54&gt;0,HLOOKUP(BQ81,$DY$110:$ME$112,3)*S54*2,0)</f>
        <v>0</v>
      </c>
      <c r="BR123" s="416"/>
      <c r="BS123" s="417"/>
      <c r="BT123" s="415">
        <f>IF(V54&gt;0,HLOOKUP(BT81,$DY$110:$ME$112,3)*V54*2,0)</f>
        <v>0</v>
      </c>
      <c r="BU123" s="416"/>
      <c r="BV123" s="417"/>
      <c r="BW123" s="415">
        <f>IF(Y54&gt;0,HLOOKUP(BW81,$DY$110:$ME$112,3)*Y54*2,0)</f>
        <v>0</v>
      </c>
      <c r="BX123" s="416"/>
      <c r="BY123" s="417"/>
      <c r="BZ123" s="415">
        <f>IF(AB54&gt;0,HLOOKUP(BZ81,$DY$110:$ME$112,3)*AB54*2,0)</f>
        <v>0</v>
      </c>
      <c r="CA123" s="416"/>
      <c r="CB123" s="417"/>
      <c r="CC123" s="415">
        <f>IF(AE54&gt;0,HLOOKUP(CC81,$DY$110:$ME$112,3)*AE54*2,0)</f>
        <v>0</v>
      </c>
      <c r="CD123" s="416"/>
      <c r="CE123" s="417"/>
      <c r="CF123" s="415">
        <f>IF(AH54&gt;0,HLOOKUP(CF81,$DY$110:$ME$112,3)*AH54*2,0)</f>
        <v>0</v>
      </c>
      <c r="CG123" s="416"/>
      <c r="CH123" s="417"/>
      <c r="CI123" s="415">
        <f>IF(AK54&gt;0,HLOOKUP(CI81,$DY$110:$ME$112,3)*AK54*2,0)</f>
        <v>0</v>
      </c>
      <c r="CJ123" s="416"/>
      <c r="CK123" s="417"/>
      <c r="CL123" s="415">
        <f>IF(AN54&gt;0,HLOOKUP(CL81,$DY$110:$ME$112,3)*AN54*2,0)</f>
        <v>0</v>
      </c>
      <c r="CM123" s="416"/>
      <c r="CN123" s="417"/>
      <c r="CO123" s="415">
        <f>IF(AQ54&gt;0,HLOOKUP(CO81,$DY$110:$ME$112,3)*AQ54*2,0)</f>
        <v>0</v>
      </c>
      <c r="CP123" s="416"/>
      <c r="CQ123" s="417"/>
      <c r="CR123" s="415">
        <f>IF(AT54&gt;0,HLOOKUP(CR81,$DY$110:$ME$112,3)*AT54*2,0)</f>
        <v>0</v>
      </c>
      <c r="CS123" s="416"/>
      <c r="CT123" s="417"/>
      <c r="CU123" s="415">
        <f>IF(AW54&gt;0,HLOOKUP(CU81,$DY$110:$ME$112,3)*AW54*2,0)</f>
        <v>0</v>
      </c>
      <c r="CV123" s="416"/>
      <c r="CW123" s="417"/>
      <c r="CX123" s="415">
        <f>IF(AZ54&gt;0,HLOOKUP(CX81,$DY$110:$ME$112,3)*AZ54*2,0)</f>
        <v>0</v>
      </c>
      <c r="CY123" s="416"/>
      <c r="CZ123" s="417"/>
      <c r="DA123" s="415">
        <f>IF(BC54&gt;0,HLOOKUP(DA81,$DY$110:$ME$112,3)*BC54*2,0)</f>
        <v>0</v>
      </c>
      <c r="DB123" s="416"/>
      <c r="DC123" s="417"/>
      <c r="DD123" s="415">
        <f>IF(BF54&gt;0,HLOOKUP(DD81,$DY$110:$ME$112,3)*BF54*2,0)</f>
        <v>0</v>
      </c>
      <c r="DE123" s="416"/>
      <c r="DF123" s="417"/>
      <c r="DH123" s="311"/>
      <c r="DI123" s="311"/>
      <c r="DJ123" s="311"/>
      <c r="DK123" s="311"/>
      <c r="DL123" s="321"/>
      <c r="DM123" s="321"/>
      <c r="DN123" s="321"/>
      <c r="DO123" s="321"/>
      <c r="DP123" s="321"/>
      <c r="DQ123" s="321"/>
      <c r="DR123" s="321"/>
      <c r="DS123" s="321"/>
    </row>
    <row r="124" spans="1:342" ht="7.4" customHeight="1" x14ac:dyDescent="0.5">
      <c r="A124" s="42"/>
      <c r="B124" s="42"/>
      <c r="C124" s="311"/>
      <c r="D124" s="311"/>
      <c r="E124" s="41"/>
      <c r="F124" s="42"/>
      <c r="G124" s="319"/>
      <c r="H124" s="319"/>
      <c r="I124" s="319"/>
      <c r="J124" s="319"/>
      <c r="K124" s="319"/>
      <c r="L124" s="319"/>
      <c r="M124" s="319"/>
      <c r="N124" s="319"/>
      <c r="O124" s="319"/>
      <c r="P124" s="319"/>
      <c r="Q124" s="319"/>
      <c r="R124" s="320"/>
      <c r="S124" s="42"/>
      <c r="T124" s="405"/>
      <c r="U124" s="405"/>
      <c r="V124" s="405"/>
      <c r="W124" s="405"/>
      <c r="X124" s="405"/>
      <c r="Y124" s="405"/>
      <c r="Z124" s="405"/>
      <c r="AA124" s="405"/>
      <c r="AB124" s="405"/>
      <c r="AC124" s="405"/>
      <c r="AD124" s="49"/>
      <c r="AE124" s="49"/>
      <c r="AF124" s="418"/>
      <c r="AG124" s="418"/>
      <c r="AH124" s="418"/>
      <c r="AI124" s="418"/>
      <c r="AJ124" s="110"/>
      <c r="AK124" s="42"/>
      <c r="AL124" s="311"/>
      <c r="AM124" s="311"/>
      <c r="AN124" s="311"/>
      <c r="AO124" s="311"/>
      <c r="AP124" s="43"/>
      <c r="AQ124" s="128"/>
      <c r="AR124" s="309"/>
      <c r="AS124" s="309"/>
      <c r="AT124" s="309"/>
      <c r="AU124" s="309"/>
      <c r="AV124" s="309"/>
      <c r="AW124" s="309"/>
      <c r="AX124" s="309"/>
      <c r="AY124" s="309"/>
      <c r="AZ124" s="309"/>
      <c r="BA124" s="309"/>
      <c r="BB124" s="309"/>
      <c r="BC124" s="309"/>
      <c r="BD124" s="309"/>
      <c r="BE124" s="309"/>
      <c r="BF124" s="309"/>
      <c r="BG124" s="309"/>
      <c r="BH124" s="124"/>
      <c r="BI124" s="124"/>
      <c r="BK124" s="415"/>
      <c r="BL124" s="416"/>
      <c r="BM124" s="417"/>
      <c r="BN124" s="415"/>
      <c r="BO124" s="416"/>
      <c r="BP124" s="417"/>
      <c r="BQ124" s="415"/>
      <c r="BR124" s="416"/>
      <c r="BS124" s="417"/>
      <c r="BT124" s="415"/>
      <c r="BU124" s="416"/>
      <c r="BV124" s="417"/>
      <c r="BW124" s="415"/>
      <c r="BX124" s="416"/>
      <c r="BY124" s="417"/>
      <c r="BZ124" s="415"/>
      <c r="CA124" s="416"/>
      <c r="CB124" s="417"/>
      <c r="CC124" s="415"/>
      <c r="CD124" s="416"/>
      <c r="CE124" s="417"/>
      <c r="CF124" s="415"/>
      <c r="CG124" s="416"/>
      <c r="CH124" s="417"/>
      <c r="CI124" s="415"/>
      <c r="CJ124" s="416"/>
      <c r="CK124" s="417"/>
      <c r="CL124" s="415"/>
      <c r="CM124" s="416"/>
      <c r="CN124" s="417"/>
      <c r="CO124" s="415"/>
      <c r="CP124" s="416"/>
      <c r="CQ124" s="417"/>
      <c r="CR124" s="415"/>
      <c r="CS124" s="416"/>
      <c r="CT124" s="417"/>
      <c r="CU124" s="415"/>
      <c r="CV124" s="416"/>
      <c r="CW124" s="417"/>
      <c r="CX124" s="415"/>
      <c r="CY124" s="416"/>
      <c r="CZ124" s="417"/>
      <c r="DA124" s="415"/>
      <c r="DB124" s="416"/>
      <c r="DC124" s="417"/>
      <c r="DD124" s="415"/>
      <c r="DE124" s="416"/>
      <c r="DF124" s="417"/>
      <c r="DH124" s="311"/>
      <c r="DI124" s="311"/>
      <c r="DJ124" s="311"/>
      <c r="DK124" s="311"/>
      <c r="DL124" s="321"/>
      <c r="DM124" s="321"/>
      <c r="DN124" s="321"/>
      <c r="DO124" s="321"/>
      <c r="DP124" s="321"/>
      <c r="DQ124" s="321"/>
      <c r="DR124" s="321"/>
      <c r="DS124" s="321"/>
    </row>
    <row r="125" spans="1:342" ht="7.4" customHeight="1" x14ac:dyDescent="0.5">
      <c r="A125" s="42"/>
      <c r="B125" s="42"/>
      <c r="C125" s="333"/>
      <c r="D125" s="333"/>
      <c r="E125" s="41"/>
      <c r="F125" s="42"/>
      <c r="G125" s="56"/>
      <c r="H125" s="56"/>
      <c r="I125" s="56"/>
      <c r="J125" s="56"/>
      <c r="K125" s="56"/>
      <c r="L125" s="56"/>
      <c r="M125" s="56"/>
      <c r="N125" s="56"/>
      <c r="O125" s="56"/>
      <c r="P125" s="56"/>
      <c r="Q125" s="56"/>
      <c r="R125" s="126"/>
      <c r="S125" s="42"/>
      <c r="T125" s="116" t="str">
        <f>VLOOKUP(G123,PL!$B$9:$BH$1265,33,FALSE)</f>
        <v>Aluminium + Friction Pads</v>
      </c>
      <c r="AJ125" s="41"/>
      <c r="AK125" s="42"/>
      <c r="AL125" s="311"/>
      <c r="AM125" s="311"/>
      <c r="AN125" s="311"/>
      <c r="AO125" s="311"/>
      <c r="AP125" s="43"/>
      <c r="AQ125" s="42"/>
      <c r="AR125" s="131"/>
      <c r="AS125" s="131"/>
      <c r="AT125" s="131"/>
      <c r="AU125" s="131"/>
      <c r="AV125" s="131"/>
      <c r="AW125" s="131"/>
      <c r="AX125" s="105"/>
      <c r="AZ125" s="131"/>
      <c r="BA125" s="131"/>
      <c r="BB125" s="131"/>
      <c r="BC125" s="131"/>
      <c r="BD125" s="131"/>
      <c r="BE125" s="131"/>
      <c r="BF125" s="131"/>
      <c r="BG125" s="131"/>
      <c r="BH125" s="124"/>
      <c r="BI125" s="124"/>
      <c r="BK125" s="194"/>
      <c r="BL125" s="123"/>
      <c r="BM125" s="195"/>
      <c r="BN125" s="196"/>
      <c r="BO125" s="153"/>
      <c r="BP125" s="197"/>
      <c r="BQ125" s="196"/>
      <c r="BR125" s="153"/>
      <c r="BS125" s="197"/>
      <c r="BT125" s="196"/>
      <c r="BU125" s="153"/>
      <c r="BV125" s="197"/>
      <c r="BW125" s="196"/>
      <c r="BX125" s="153"/>
      <c r="BY125" s="197"/>
      <c r="BZ125" s="196"/>
      <c r="CA125" s="153"/>
      <c r="CB125" s="197"/>
      <c r="CC125" s="196"/>
      <c r="CD125" s="153"/>
      <c r="CE125" s="197"/>
      <c r="CF125" s="196"/>
      <c r="CG125" s="153"/>
      <c r="CH125" s="197"/>
      <c r="CI125" s="196"/>
      <c r="CJ125" s="153"/>
      <c r="CK125" s="197"/>
      <c r="CL125" s="196"/>
      <c r="CM125" s="153"/>
      <c r="CN125" s="197"/>
      <c r="CO125" s="196"/>
      <c r="CP125" s="153"/>
      <c r="CQ125" s="197"/>
      <c r="CR125" s="196"/>
      <c r="CS125" s="153"/>
      <c r="CT125" s="197"/>
      <c r="CU125" s="196"/>
      <c r="CV125" s="153"/>
      <c r="CW125" s="197"/>
      <c r="CX125" s="196"/>
      <c r="CY125" s="153"/>
      <c r="CZ125" s="197"/>
      <c r="DA125" s="196"/>
      <c r="DB125" s="153"/>
      <c r="DC125" s="197"/>
      <c r="DD125" s="196"/>
      <c r="DE125" s="153"/>
      <c r="DF125" s="197"/>
      <c r="DH125" s="311"/>
      <c r="DI125" s="311"/>
      <c r="DJ125" s="311"/>
      <c r="DK125" s="311"/>
      <c r="DL125" s="321"/>
      <c r="DM125" s="321"/>
      <c r="DN125" s="321"/>
      <c r="DO125" s="321"/>
      <c r="DP125" s="321"/>
      <c r="DQ125" s="321"/>
      <c r="DR125" s="321"/>
      <c r="DS125" s="321"/>
    </row>
    <row r="126" spans="1:342" ht="7.4" customHeight="1" x14ac:dyDescent="0.5">
      <c r="A126" s="42"/>
      <c r="B126" s="42"/>
      <c r="C126" s="55"/>
      <c r="D126" s="55"/>
      <c r="E126" s="41"/>
      <c r="F126" s="42"/>
      <c r="G126" s="56"/>
      <c r="H126" s="56"/>
      <c r="I126" s="56"/>
      <c r="J126" s="56"/>
      <c r="K126" s="56"/>
      <c r="L126" s="56"/>
      <c r="M126" s="56"/>
      <c r="N126" s="56"/>
      <c r="O126" s="56"/>
      <c r="P126" s="56"/>
      <c r="Q126" s="56"/>
      <c r="R126" s="126"/>
      <c r="S126" s="42"/>
      <c r="AJ126" s="41"/>
      <c r="AK126" s="42"/>
      <c r="AL126" s="311"/>
      <c r="AM126" s="311"/>
      <c r="AN126" s="311"/>
      <c r="AO126" s="311"/>
      <c r="AP126" s="43"/>
      <c r="AQ126" s="42"/>
      <c r="AR126" s="131"/>
      <c r="AS126" s="131"/>
      <c r="AT126" s="131"/>
      <c r="AU126" s="131"/>
      <c r="AV126" s="131"/>
      <c r="AW126" s="131"/>
      <c r="AX126" s="105"/>
      <c r="AZ126" s="131"/>
      <c r="BA126" s="131"/>
      <c r="BB126" s="131"/>
      <c r="BC126" s="131"/>
      <c r="BD126" s="131"/>
      <c r="BE126" s="131"/>
      <c r="BF126" s="131"/>
      <c r="BG126" s="131"/>
      <c r="BH126" s="124"/>
      <c r="BI126" s="124"/>
      <c r="BK126" s="194"/>
      <c r="BL126" s="123"/>
      <c r="BM126" s="195"/>
      <c r="BN126" s="196"/>
      <c r="BO126" s="153"/>
      <c r="BP126" s="197"/>
      <c r="BQ126" s="196"/>
      <c r="BR126" s="153"/>
      <c r="BS126" s="197"/>
      <c r="BT126" s="196"/>
      <c r="BU126" s="153"/>
      <c r="BV126" s="197"/>
      <c r="BW126" s="196"/>
      <c r="BX126" s="153"/>
      <c r="BY126" s="197"/>
      <c r="BZ126" s="196"/>
      <c r="CA126" s="153"/>
      <c r="CB126" s="197"/>
      <c r="CC126" s="196"/>
      <c r="CD126" s="153"/>
      <c r="CE126" s="197"/>
      <c r="CF126" s="196"/>
      <c r="CG126" s="153"/>
      <c r="CH126" s="197"/>
      <c r="CI126" s="196"/>
      <c r="CJ126" s="153"/>
      <c r="CK126" s="197"/>
      <c r="CL126" s="196"/>
      <c r="CM126" s="153"/>
      <c r="CN126" s="197"/>
      <c r="CO126" s="196"/>
      <c r="CP126" s="153"/>
      <c r="CQ126" s="197"/>
      <c r="CR126" s="196"/>
      <c r="CS126" s="153"/>
      <c r="CT126" s="197"/>
      <c r="CU126" s="196"/>
      <c r="CV126" s="153"/>
      <c r="CW126" s="197"/>
      <c r="CX126" s="196"/>
      <c r="CY126" s="153"/>
      <c r="CZ126" s="197"/>
      <c r="DA126" s="196"/>
      <c r="DB126" s="153"/>
      <c r="DC126" s="197"/>
      <c r="DD126" s="196"/>
      <c r="DE126" s="153"/>
      <c r="DF126" s="197"/>
      <c r="DL126" s="105"/>
      <c r="DM126" s="105"/>
      <c r="DN126" s="105"/>
      <c r="DO126" s="105"/>
      <c r="DP126" s="105"/>
      <c r="DQ126" s="105"/>
      <c r="DR126" s="105"/>
      <c r="DS126" s="105"/>
    </row>
    <row r="127" spans="1:342" ht="7.4" customHeight="1" x14ac:dyDescent="0.5">
      <c r="A127" s="42"/>
      <c r="B127" s="42"/>
      <c r="C127" s="311">
        <f>C123+1</f>
        <v>3</v>
      </c>
      <c r="D127" s="311"/>
      <c r="E127" s="41"/>
      <c r="F127" s="42"/>
      <c r="G127" s="319" t="str">
        <f>IF(AL127=0,"N/A","AXE_EX_25_30_AL")</f>
        <v>AXE_EX_25_30_AL</v>
      </c>
      <c r="H127" s="319"/>
      <c r="I127" s="319"/>
      <c r="J127" s="319"/>
      <c r="K127" s="319"/>
      <c r="L127" s="319"/>
      <c r="M127" s="319"/>
      <c r="N127" s="319"/>
      <c r="O127" s="319"/>
      <c r="P127" s="319"/>
      <c r="Q127" s="319"/>
      <c r="R127" s="320"/>
      <c r="S127" s="42"/>
      <c r="T127" s="405" t="str">
        <f>VLOOKUP(G127,PL!$B$9:$BH$1265,14,FALSE)</f>
        <v xml:space="preserve">Extension </v>
      </c>
      <c r="U127" s="405"/>
      <c r="V127" s="405"/>
      <c r="W127" s="405"/>
      <c r="X127" s="405"/>
      <c r="Y127" s="405"/>
      <c r="Z127" s="405"/>
      <c r="AA127" s="405"/>
      <c r="AB127" s="405"/>
      <c r="AC127" s="405"/>
      <c r="AD127" s="405"/>
      <c r="AE127" s="405"/>
      <c r="AF127" s="405"/>
      <c r="AG127" s="405"/>
      <c r="AH127" s="405"/>
      <c r="AI127" s="405"/>
      <c r="AJ127" s="411"/>
      <c r="AK127" s="42"/>
      <c r="AL127" s="311">
        <f>ROUND(SUM(BK127:DF127)*(1+$BF$72),0)</f>
        <v>42</v>
      </c>
      <c r="AM127" s="311"/>
      <c r="AN127" s="311"/>
      <c r="AO127" s="311"/>
      <c r="AP127" s="43"/>
      <c r="AQ127" s="128"/>
      <c r="AR127" s="308" t="str">
        <f>VLOOKUP(G127,PL!$B$9:$BH$818,52,FALSE)</f>
        <v>SOL-6042</v>
      </c>
      <c r="AS127" s="309"/>
      <c r="AT127" s="309"/>
      <c r="AU127" s="309"/>
      <c r="AV127" s="309"/>
      <c r="AW127" s="309"/>
      <c r="AX127" s="309"/>
      <c r="AY127" s="309"/>
      <c r="AZ127" s="309"/>
      <c r="BA127" s="309"/>
      <c r="BB127" s="309"/>
      <c r="BC127" s="309"/>
      <c r="BD127" s="309"/>
      <c r="BE127" s="309"/>
      <c r="BF127" s="309"/>
      <c r="BG127" s="309"/>
      <c r="BH127" s="124"/>
      <c r="BI127" s="124"/>
      <c r="BK127" s="412">
        <f>IF($N$66="Combination",IF(M54&gt;0,ROUND(HLOOKUP(BK81,$DY$110:$ME$112,2),0)+ROUND(HLOOKUP(BK81,$DY$110:$ME$112,3),0)-IF(M54&gt;0,1,0),0),(ROUNDUP((IF($AV$28="Duo-pitch",M58*($AX$31+$AO$35/2+50/2),M58*$AJ$70))/$N$66,0)-1))*2*M54</f>
        <v>40</v>
      </c>
      <c r="BL127" s="413"/>
      <c r="BM127" s="414"/>
      <c r="BN127" s="412">
        <f>IF($N$66="Combination",IF(P54&gt;0,ROUND(HLOOKUP(BN81,$DY$110:$ME$112,2),0)+ROUND(HLOOKUP(BN81,$DY$110:$ME$112,3),0)-IF(P54&gt;0,1,0),0),(ROUNDUP((IF($AV$28="Duo-pitch",P58*($AX$31+$AO$35/2+50/2),P58*$AJ$70))/$N$66,0)-1))*2*P54</f>
        <v>0</v>
      </c>
      <c r="BO127" s="413"/>
      <c r="BP127" s="414"/>
      <c r="BQ127" s="412">
        <f>IF($N$66="Combination",IF(S54&gt;0,ROUND(HLOOKUP(BQ81,$DY$110:$ME$112,2),0)+ROUND(HLOOKUP(BQ81,$DY$110:$ME$112,3),0)-IF(S54&gt;0,1,0),0),(ROUNDUP((IF($AV$28="Duo-pitch",S58*($AX$31+$AO$35/2+50/2),S58*$AJ$70))/$N$66,0)-1))*2*S54</f>
        <v>0</v>
      </c>
      <c r="BR127" s="413"/>
      <c r="BS127" s="414"/>
      <c r="BT127" s="412">
        <f>IF($N$66="Combination",IF(V54&gt;0,ROUND(HLOOKUP(BT81,$DY$110:$ME$112,2),0)+ROUND(HLOOKUP(BT81,$DY$110:$ME$112,3),0)-IF(V54&gt;0,1,0),0),(ROUNDUP((IF($AV$28="Duo-pitch",V58*($AX$31+$AO$35/2+50/2),V58*$AJ$70))/$N$66,0)-1))*2*V54</f>
        <v>0</v>
      </c>
      <c r="BU127" s="413"/>
      <c r="BV127" s="414"/>
      <c r="BW127" s="412">
        <f>IF($N$66="Combination",IF(Y54&gt;0,ROUND(HLOOKUP(BW81,$DY$110:$ME$112,2),0)+ROUND(HLOOKUP(BW81,$DY$110:$ME$112,3),0)-IF(Y54&gt;0,1,0),0),(ROUNDUP((IF($AV$28="Duo-pitch",Y58*($AX$31+$AO$35/2+50/2),Y58*$AJ$70))/$N$66,0)-1))*2*Y54</f>
        <v>0</v>
      </c>
      <c r="BX127" s="413"/>
      <c r="BY127" s="414"/>
      <c r="BZ127" s="412">
        <f>IF($N$66="Combination",IF(AB54&gt;0,ROUND(HLOOKUP(BZ81,$DY$110:$ME$112,2),0)+ROUND(HLOOKUP(BZ81,$DY$110:$ME$112,3),0)-IF(AB54&gt;0,1,0),0),(ROUNDUP((IF($AV$28="Duo-pitch",AB58*($AX$31+$AO$35/2+50/2),AB58*$AJ$70))/$N$66,0)-1))*2*AB54</f>
        <v>0</v>
      </c>
      <c r="CA127" s="413"/>
      <c r="CB127" s="414"/>
      <c r="CC127" s="412">
        <f>IF($N$66="Combination",IF(AE54&gt;0,ROUND(HLOOKUP(CC81,$DY$110:$ME$112,2),0)+ROUND(HLOOKUP(CC81,$DY$110:$ME$112,3),0)-IF(AE54&gt;0,1,0),0),(ROUNDUP((IF($AV$28="Duo-pitch",AE58*($AX$31+$AO$35/2+50/2),AE58*$AJ$70))/$N$66,0)-1))*2*AE54</f>
        <v>0</v>
      </c>
      <c r="CD127" s="413"/>
      <c r="CE127" s="414"/>
      <c r="CF127" s="412">
        <f>IF($N$66="Combination",IF(AH54&gt;0,ROUND(HLOOKUP(CF81,$DY$110:$ME$112,2),0)+ROUND(HLOOKUP(CF81,$DY$110:$ME$112,3),0)-IF(AH54&gt;0,1,0),0),(ROUNDUP((IF($AV$28="Duo-pitch",AH58*($AX$31+$AO$35/2+50/2),AH58*$AJ$70))/$N$66,0)-1))*2*AH54</f>
        <v>0</v>
      </c>
      <c r="CG127" s="413"/>
      <c r="CH127" s="414"/>
      <c r="CI127" s="412">
        <f>IF($N$66="Combination",IF(AK54&gt;0,ROUND(HLOOKUP(CI81,$DY$110:$ME$112,2),0)+ROUND(HLOOKUP(CI81,$DY$110:$ME$112,3),0)-IF(AK54&gt;0,1,0),0),(ROUNDUP((IF($AV$28="Duo-pitch",AK58*($AX$31+$AO$35/2+50/2),AK58*$AJ$70))/$N$66,0)-1))*2*AK54</f>
        <v>0</v>
      </c>
      <c r="CJ127" s="413"/>
      <c r="CK127" s="414"/>
      <c r="CL127" s="412">
        <f>IF($N$66="Combination",IF(AN54&gt;0,ROUND(HLOOKUP(CL81,$DY$110:$ME$112,2),0)+ROUND(HLOOKUP(CL81,$DY$110:$ME$112,3),0)-IF(AN54&gt;0,1,0),0),(ROUNDUP((IF($AV$28="Duo-pitch",AN58*($AX$31+$AO$35/2+50/2),AN58*$AJ$70))/$N$66,0)-1))*2*AN54</f>
        <v>0</v>
      </c>
      <c r="CM127" s="413"/>
      <c r="CN127" s="414"/>
      <c r="CO127" s="412">
        <f>IF($N$66="Combination",IF(AQ54&gt;0,ROUND(HLOOKUP(CO81,$DY$110:$ME$112,2),0)+ROUND(HLOOKUP(CO81,$DY$110:$ME$112,3),0)-IF(AQ54&gt;0,1,0),0),(ROUNDUP((IF($AV$28="Duo-pitch",AQ58*($AX$31+$AO$35/2+50/2),AQ58*$AJ$70))/$N$66,0)-1))*2*AQ54</f>
        <v>0</v>
      </c>
      <c r="CP127" s="413"/>
      <c r="CQ127" s="414"/>
      <c r="CR127" s="412">
        <f>IF($N$66="Combination",IF(AT54&gt;0,ROUND(HLOOKUP(CR81,$DY$110:$ME$112,2),0)+ROUND(HLOOKUP(CR81,$DY$110:$ME$112,3),0)-IF(AT54&gt;0,1,0),0),(ROUNDUP((IF($AV$28="Duo-pitch",AT58*($AX$31+$AO$35/2+50/2),AT58*$AJ$70))/$N$66,0)-1))*2*AT54</f>
        <v>0</v>
      </c>
      <c r="CS127" s="413"/>
      <c r="CT127" s="414"/>
      <c r="CU127" s="412">
        <f>IF($N$66="Combination",IF(AW54&gt;0,ROUND(HLOOKUP(CU81,$DY$110:$ME$112,2),0)+ROUND(HLOOKUP(CU81,$DY$110:$ME$112,3),0)-IF(AW54&gt;0,1,0),0),(ROUNDUP((IF($AV$28="Duo-pitch",AW58*($AX$31+$AO$35/2+50/2),AW58*$AJ$70))/$N$66,0)-1))*2*AW54</f>
        <v>0</v>
      </c>
      <c r="CV127" s="413"/>
      <c r="CW127" s="414"/>
      <c r="CX127" s="412">
        <f>IF($N$66="Combination",IF(AZ54&gt;0,ROUND(HLOOKUP(CX81,$DY$110:$ME$112,2),0)+ROUND(HLOOKUP(CX81,$DY$110:$ME$112,3),0)-IF(AZ54&gt;0,1,0),0),(ROUNDUP((IF($AV$28="Duo-pitch",AZ58*($AX$31+$AO$35/2+50/2),AZ58*$AJ$70))/$N$66,0)-1))*2*AZ54</f>
        <v>0</v>
      </c>
      <c r="CY127" s="413"/>
      <c r="CZ127" s="414"/>
      <c r="DA127" s="412">
        <f>IF($N$66="Combination",IF(BC54&gt;0,ROUND(HLOOKUP(DA81,$DY$110:$ME$112,2),0)+ROUND(HLOOKUP(DA81,$DY$110:$ME$112,3),0)-IF(BC54&gt;0,1,0),0),(ROUNDUP((IF($AV$28="Duo-pitch",BC58*($AX$31+$AO$35/2+50/2),BC58*$AJ$70))/$N$66,0)-1))*2*BC54</f>
        <v>0</v>
      </c>
      <c r="DB127" s="413"/>
      <c r="DC127" s="414"/>
      <c r="DD127" s="412">
        <f>IF($N$66="Combination",IF(BF54&gt;0,ROUND(HLOOKUP(DD81,$DY$110:$ME$112,2),0)+ROUND(HLOOKUP(DD81,$DY$110:$ME$112,3),0)-IF(BF54&gt;0,1,0),0),(ROUNDUP((IF($AV$28="Duo-pitch",BF58*($AX$31+$AO$35/2+50/2),BF58*$AJ$70))/$N$66,0)-1))*2*BF54</f>
        <v>0</v>
      </c>
      <c r="DE127" s="413"/>
      <c r="DF127" s="414"/>
      <c r="DH127" s="311"/>
      <c r="DI127" s="311"/>
      <c r="DJ127" s="311"/>
      <c r="DK127" s="311"/>
      <c r="DL127" s="321"/>
      <c r="DM127" s="321"/>
      <c r="DN127" s="321"/>
      <c r="DO127" s="321"/>
      <c r="DP127" s="321"/>
      <c r="DQ127" s="321"/>
      <c r="DR127" s="321"/>
      <c r="DS127" s="321"/>
      <c r="EA127" s="201"/>
      <c r="EB127" s="201"/>
      <c r="EC127" s="201"/>
      <c r="ED127" s="201"/>
      <c r="EE127" s="201"/>
      <c r="EF127" s="201"/>
      <c r="EG127" s="201"/>
      <c r="EH127" s="201"/>
      <c r="EI127" s="201"/>
      <c r="EJ127" s="201"/>
      <c r="EK127" s="201"/>
      <c r="EL127" s="201"/>
      <c r="EM127" s="201"/>
      <c r="EN127" s="201"/>
      <c r="EO127" s="201"/>
      <c r="EP127" s="201"/>
      <c r="EQ127" s="201"/>
      <c r="ER127" s="201"/>
      <c r="ES127" s="201"/>
      <c r="ET127" s="201"/>
      <c r="EU127" s="201"/>
      <c r="EV127" s="201"/>
      <c r="EW127" s="201"/>
      <c r="EX127" s="201"/>
      <c r="EY127" s="201"/>
      <c r="EZ127" s="201"/>
      <c r="FA127" s="201"/>
      <c r="FB127" s="201"/>
      <c r="FC127" s="201"/>
      <c r="FD127" s="201"/>
      <c r="FE127" s="201"/>
      <c r="FF127" s="201"/>
      <c r="FG127" s="201"/>
      <c r="FH127" s="201"/>
      <c r="FI127" s="201"/>
      <c r="FJ127" s="201"/>
      <c r="FK127" s="201"/>
      <c r="FL127" s="201"/>
      <c r="FM127" s="201"/>
      <c r="FN127" s="201"/>
      <c r="FO127" s="201"/>
      <c r="FP127" s="201"/>
      <c r="FQ127" s="201"/>
      <c r="FR127" s="201"/>
      <c r="FS127" s="201"/>
      <c r="FT127" s="201"/>
      <c r="FU127" s="201"/>
      <c r="FV127" s="201"/>
      <c r="FW127" s="201"/>
      <c r="FX127" s="201"/>
      <c r="FY127" s="201"/>
      <c r="FZ127" s="201"/>
      <c r="GA127" s="201"/>
      <c r="GB127" s="201"/>
      <c r="GC127" s="201"/>
      <c r="GD127" s="201"/>
      <c r="GE127" s="201"/>
      <c r="GF127" s="201"/>
      <c r="GG127" s="201"/>
      <c r="GH127" s="201"/>
      <c r="GI127" s="201"/>
      <c r="GJ127" s="201"/>
      <c r="GK127" s="201"/>
      <c r="GL127" s="201"/>
      <c r="GM127" s="201"/>
      <c r="GN127" s="201"/>
      <c r="GO127" s="201"/>
      <c r="GP127" s="201"/>
      <c r="GQ127" s="201"/>
      <c r="GR127" s="201"/>
      <c r="GS127" s="201"/>
      <c r="GT127" s="201"/>
      <c r="GU127" s="201"/>
      <c r="GV127" s="201"/>
      <c r="GW127" s="201"/>
      <c r="GX127" s="201"/>
      <c r="GY127" s="201"/>
      <c r="GZ127" s="201"/>
      <c r="HA127" s="201"/>
      <c r="HB127" s="201"/>
      <c r="HC127" s="201"/>
      <c r="HD127" s="201"/>
      <c r="HE127" s="201"/>
      <c r="HF127" s="201"/>
      <c r="HG127" s="201"/>
      <c r="HH127" s="201"/>
      <c r="HI127" s="201"/>
      <c r="HJ127" s="201"/>
      <c r="HK127" s="201"/>
      <c r="HL127" s="201"/>
      <c r="HM127" s="201"/>
      <c r="HN127" s="201"/>
      <c r="HO127" s="201"/>
      <c r="HP127" s="201"/>
      <c r="HQ127" s="201"/>
      <c r="HR127" s="201"/>
      <c r="HS127" s="201"/>
      <c r="HT127" s="201"/>
      <c r="HU127" s="201"/>
      <c r="HV127" s="201"/>
      <c r="HW127" s="201"/>
      <c r="HX127" s="201"/>
      <c r="HY127" s="201"/>
      <c r="HZ127" s="201"/>
      <c r="IA127" s="201"/>
      <c r="IB127" s="201"/>
      <c r="IC127" s="201"/>
      <c r="ID127" s="201"/>
      <c r="IE127" s="201"/>
      <c r="IF127" s="201"/>
      <c r="IG127" s="201"/>
      <c r="IH127" s="201"/>
      <c r="II127" s="201"/>
      <c r="IJ127" s="201"/>
      <c r="IK127" s="201"/>
      <c r="IL127" s="201"/>
      <c r="IM127" s="201"/>
      <c r="IN127" s="201"/>
      <c r="IO127" s="201"/>
      <c r="IP127" s="201"/>
      <c r="IQ127" s="201"/>
      <c r="IR127" s="201"/>
      <c r="IS127" s="201"/>
      <c r="IT127" s="201"/>
      <c r="IU127" s="201"/>
      <c r="IV127" s="201"/>
      <c r="IW127" s="201"/>
      <c r="IX127" s="201"/>
      <c r="IY127" s="201"/>
      <c r="IZ127" s="201"/>
      <c r="JA127" s="201"/>
      <c r="JB127" s="201"/>
      <c r="JC127" s="201"/>
      <c r="JD127" s="201"/>
      <c r="JE127" s="201"/>
      <c r="JF127" s="201"/>
      <c r="JG127" s="201"/>
      <c r="JH127" s="201"/>
      <c r="JI127" s="201"/>
      <c r="JJ127" s="201"/>
      <c r="JK127" s="201"/>
      <c r="JL127" s="201"/>
      <c r="JM127" s="201"/>
      <c r="JN127" s="201"/>
      <c r="JO127" s="201"/>
      <c r="JP127" s="201"/>
      <c r="JQ127" s="201"/>
      <c r="JR127" s="201"/>
      <c r="JS127" s="201"/>
      <c r="JT127" s="201"/>
      <c r="JU127" s="201"/>
      <c r="JV127" s="201"/>
      <c r="JW127" s="201"/>
      <c r="JX127" s="201"/>
      <c r="JY127" s="201"/>
      <c r="JZ127" s="201"/>
      <c r="KA127" s="201"/>
      <c r="KB127" s="201"/>
      <c r="KC127" s="201"/>
      <c r="KD127" s="201"/>
      <c r="KE127" s="201"/>
      <c r="KF127" s="201"/>
      <c r="KG127" s="201"/>
      <c r="KH127" s="201"/>
      <c r="KI127" s="201"/>
      <c r="KJ127" s="201"/>
      <c r="KK127" s="201"/>
      <c r="KL127" s="201"/>
      <c r="KM127" s="201"/>
      <c r="KN127" s="201"/>
      <c r="KO127" s="201"/>
      <c r="KP127" s="201"/>
      <c r="KQ127" s="201"/>
      <c r="KR127" s="201"/>
      <c r="KS127" s="201"/>
      <c r="KT127" s="201"/>
      <c r="KU127" s="201"/>
      <c r="KV127" s="201"/>
      <c r="KW127" s="201"/>
      <c r="KX127" s="201"/>
      <c r="KY127" s="201"/>
      <c r="KZ127" s="201"/>
      <c r="LA127" s="201"/>
      <c r="LB127" s="201"/>
      <c r="LC127" s="201"/>
      <c r="LD127" s="201"/>
      <c r="LE127" s="201"/>
      <c r="LF127" s="201"/>
      <c r="LG127" s="201"/>
      <c r="LH127" s="201"/>
      <c r="LI127" s="201"/>
      <c r="LJ127" s="201"/>
      <c r="LK127" s="201"/>
      <c r="LL127" s="201"/>
      <c r="LM127" s="201"/>
      <c r="LN127" s="201"/>
      <c r="LO127" s="201"/>
      <c r="LP127" s="201"/>
      <c r="LQ127" s="201"/>
      <c r="LR127" s="201"/>
      <c r="LS127" s="201"/>
      <c r="LT127" s="201"/>
      <c r="LU127" s="201"/>
      <c r="LV127" s="201"/>
      <c r="LW127" s="201"/>
      <c r="LX127" s="201"/>
      <c r="LY127" s="201"/>
      <c r="LZ127" s="201"/>
      <c r="MA127" s="201"/>
      <c r="MB127" s="201"/>
    </row>
    <row r="128" spans="1:342" ht="7.4" customHeight="1" x14ac:dyDescent="0.5">
      <c r="A128" s="42"/>
      <c r="B128" s="42"/>
      <c r="C128" s="311"/>
      <c r="D128" s="311"/>
      <c r="E128" s="41"/>
      <c r="F128" s="42"/>
      <c r="G128" s="319"/>
      <c r="H128" s="319"/>
      <c r="I128" s="319"/>
      <c r="J128" s="319"/>
      <c r="K128" s="319"/>
      <c r="L128" s="319"/>
      <c r="M128" s="319"/>
      <c r="N128" s="319"/>
      <c r="O128" s="319"/>
      <c r="P128" s="319"/>
      <c r="Q128" s="319"/>
      <c r="R128" s="320"/>
      <c r="S128" s="42"/>
      <c r="T128" s="405"/>
      <c r="U128" s="405"/>
      <c r="V128" s="405"/>
      <c r="W128" s="405"/>
      <c r="X128" s="405"/>
      <c r="Y128" s="405"/>
      <c r="Z128" s="405"/>
      <c r="AA128" s="405"/>
      <c r="AB128" s="405"/>
      <c r="AC128" s="405"/>
      <c r="AD128" s="405"/>
      <c r="AE128" s="405"/>
      <c r="AF128" s="405"/>
      <c r="AG128" s="405"/>
      <c r="AH128" s="405"/>
      <c r="AI128" s="405"/>
      <c r="AJ128" s="411"/>
      <c r="AK128" s="42"/>
      <c r="AL128" s="311"/>
      <c r="AM128" s="311"/>
      <c r="AN128" s="311"/>
      <c r="AO128" s="311"/>
      <c r="AP128" s="43"/>
      <c r="AQ128" s="128"/>
      <c r="AR128" s="309"/>
      <c r="AS128" s="309"/>
      <c r="AT128" s="309"/>
      <c r="AU128" s="309"/>
      <c r="AV128" s="309"/>
      <c r="AW128" s="309"/>
      <c r="AX128" s="309"/>
      <c r="AY128" s="309"/>
      <c r="AZ128" s="309"/>
      <c r="BA128" s="309"/>
      <c r="BB128" s="309"/>
      <c r="BC128" s="309"/>
      <c r="BD128" s="309"/>
      <c r="BE128" s="309"/>
      <c r="BF128" s="309"/>
      <c r="BG128" s="309"/>
      <c r="BH128" s="124"/>
      <c r="BI128" s="124"/>
      <c r="BK128" s="412"/>
      <c r="BL128" s="413"/>
      <c r="BM128" s="414"/>
      <c r="BN128" s="412"/>
      <c r="BO128" s="413"/>
      <c r="BP128" s="414"/>
      <c r="BQ128" s="412"/>
      <c r="BR128" s="413"/>
      <c r="BS128" s="414"/>
      <c r="BT128" s="412"/>
      <c r="BU128" s="413"/>
      <c r="BV128" s="414"/>
      <c r="BW128" s="412"/>
      <c r="BX128" s="413"/>
      <c r="BY128" s="414"/>
      <c r="BZ128" s="412"/>
      <c r="CA128" s="413"/>
      <c r="CB128" s="414"/>
      <c r="CC128" s="412"/>
      <c r="CD128" s="413"/>
      <c r="CE128" s="414"/>
      <c r="CF128" s="412"/>
      <c r="CG128" s="413"/>
      <c r="CH128" s="414"/>
      <c r="CI128" s="412"/>
      <c r="CJ128" s="413"/>
      <c r="CK128" s="414"/>
      <c r="CL128" s="412"/>
      <c r="CM128" s="413"/>
      <c r="CN128" s="414"/>
      <c r="CO128" s="412"/>
      <c r="CP128" s="413"/>
      <c r="CQ128" s="414"/>
      <c r="CR128" s="412"/>
      <c r="CS128" s="413"/>
      <c r="CT128" s="414"/>
      <c r="CU128" s="412"/>
      <c r="CV128" s="413"/>
      <c r="CW128" s="414"/>
      <c r="CX128" s="412"/>
      <c r="CY128" s="413"/>
      <c r="CZ128" s="414"/>
      <c r="DA128" s="412"/>
      <c r="DB128" s="413"/>
      <c r="DC128" s="414"/>
      <c r="DD128" s="412"/>
      <c r="DE128" s="413"/>
      <c r="DF128" s="414"/>
      <c r="DH128" s="311"/>
      <c r="DI128" s="311"/>
      <c r="DJ128" s="311"/>
      <c r="DK128" s="311"/>
      <c r="DL128" s="321"/>
      <c r="DM128" s="321"/>
      <c r="DN128" s="321"/>
      <c r="DO128" s="321"/>
      <c r="DP128" s="321"/>
      <c r="DQ128" s="321"/>
      <c r="DR128" s="321"/>
      <c r="DS128" s="321"/>
      <c r="EA128" s="201"/>
      <c r="EB128" s="201"/>
      <c r="EC128" s="201"/>
      <c r="ED128" s="201"/>
      <c r="EE128" s="201"/>
      <c r="EF128" s="201"/>
      <c r="EG128" s="201"/>
      <c r="EH128" s="201"/>
      <c r="EI128" s="201"/>
      <c r="EJ128" s="201"/>
      <c r="EK128" s="201"/>
      <c r="EL128" s="201"/>
      <c r="EM128" s="201"/>
      <c r="EN128" s="201"/>
      <c r="EO128" s="201"/>
      <c r="EP128" s="201"/>
      <c r="EQ128" s="201"/>
      <c r="ER128" s="201"/>
      <c r="ES128" s="201"/>
      <c r="ET128" s="201"/>
      <c r="EU128" s="201"/>
      <c r="EV128" s="201"/>
      <c r="EW128" s="201"/>
      <c r="EX128" s="201"/>
      <c r="EY128" s="201"/>
      <c r="EZ128" s="201"/>
      <c r="FA128" s="201"/>
      <c r="FB128" s="201"/>
      <c r="FC128" s="201"/>
      <c r="FD128" s="201"/>
      <c r="FE128" s="201"/>
      <c r="FF128" s="201"/>
      <c r="FG128" s="201"/>
      <c r="FH128" s="201"/>
      <c r="FI128" s="201"/>
      <c r="FJ128" s="201"/>
      <c r="FK128" s="201"/>
      <c r="FL128" s="201"/>
      <c r="FM128" s="201"/>
      <c r="FN128" s="201"/>
      <c r="FO128" s="201"/>
      <c r="FP128" s="201"/>
      <c r="FQ128" s="201"/>
      <c r="FR128" s="201"/>
      <c r="FS128" s="201"/>
      <c r="FT128" s="201"/>
      <c r="FU128" s="201"/>
      <c r="FV128" s="201"/>
      <c r="FW128" s="201"/>
      <c r="FX128" s="201"/>
      <c r="FY128" s="201"/>
      <c r="FZ128" s="201"/>
      <c r="GA128" s="201"/>
      <c r="GB128" s="201"/>
      <c r="GC128" s="201"/>
      <c r="GD128" s="201"/>
      <c r="GE128" s="201"/>
      <c r="GF128" s="201"/>
      <c r="GG128" s="201"/>
      <c r="GH128" s="201"/>
      <c r="GI128" s="201"/>
      <c r="GJ128" s="201"/>
      <c r="GK128" s="201"/>
      <c r="GL128" s="201"/>
      <c r="GM128" s="201"/>
      <c r="GN128" s="201"/>
      <c r="GO128" s="201"/>
      <c r="GP128" s="201"/>
      <c r="GQ128" s="201"/>
      <c r="GR128" s="201"/>
      <c r="GS128" s="201"/>
      <c r="GT128" s="201"/>
      <c r="GU128" s="201"/>
      <c r="GV128" s="201"/>
      <c r="GW128" s="201"/>
      <c r="GX128" s="201"/>
      <c r="GY128" s="201"/>
      <c r="GZ128" s="201"/>
      <c r="HA128" s="201"/>
      <c r="HB128" s="201"/>
      <c r="HC128" s="201"/>
      <c r="HD128" s="201"/>
      <c r="HE128" s="201"/>
      <c r="HF128" s="201"/>
      <c r="HG128" s="201"/>
      <c r="HH128" s="201"/>
      <c r="HI128" s="201"/>
      <c r="HJ128" s="201"/>
      <c r="HK128" s="201"/>
      <c r="HL128" s="201"/>
      <c r="HM128" s="201"/>
      <c r="HN128" s="201"/>
      <c r="HO128" s="201"/>
      <c r="HP128" s="201"/>
      <c r="HQ128" s="201"/>
      <c r="HR128" s="201"/>
      <c r="HS128" s="201"/>
      <c r="HT128" s="201"/>
      <c r="HU128" s="201"/>
      <c r="HV128" s="201"/>
      <c r="HW128" s="201"/>
      <c r="HX128" s="201"/>
      <c r="HY128" s="201"/>
      <c r="HZ128" s="201"/>
      <c r="IA128" s="201"/>
      <c r="IB128" s="201"/>
      <c r="IC128" s="201"/>
      <c r="ID128" s="201"/>
      <c r="IE128" s="201"/>
      <c r="IF128" s="201"/>
      <c r="IG128" s="201"/>
      <c r="IH128" s="201"/>
      <c r="II128" s="201"/>
      <c r="IJ128" s="201"/>
      <c r="IK128" s="201"/>
      <c r="IL128" s="201"/>
      <c r="IM128" s="201"/>
      <c r="IN128" s="201"/>
      <c r="IO128" s="201"/>
      <c r="IP128" s="201"/>
      <c r="IQ128" s="201"/>
      <c r="IR128" s="201"/>
      <c r="IS128" s="201"/>
      <c r="IT128" s="201"/>
      <c r="IU128" s="201"/>
      <c r="IV128" s="201"/>
      <c r="IW128" s="201"/>
      <c r="IX128" s="201"/>
      <c r="IY128" s="201"/>
      <c r="IZ128" s="201"/>
      <c r="JA128" s="201"/>
      <c r="JB128" s="201"/>
      <c r="JC128" s="201"/>
      <c r="JD128" s="201"/>
      <c r="JE128" s="201"/>
      <c r="JF128" s="201"/>
      <c r="JG128" s="201"/>
      <c r="JH128" s="201"/>
      <c r="JI128" s="201"/>
      <c r="JJ128" s="201"/>
      <c r="JK128" s="201"/>
      <c r="JL128" s="201"/>
      <c r="JM128" s="201"/>
      <c r="JN128" s="201"/>
      <c r="JO128" s="201"/>
      <c r="JP128" s="201"/>
      <c r="JQ128" s="201"/>
      <c r="JR128" s="201"/>
      <c r="JS128" s="201"/>
      <c r="JT128" s="201"/>
      <c r="JU128" s="201"/>
      <c r="JV128" s="201"/>
      <c r="JW128" s="201"/>
      <c r="JX128" s="201"/>
      <c r="JY128" s="201"/>
      <c r="JZ128" s="201"/>
      <c r="KA128" s="201"/>
      <c r="KB128" s="201"/>
      <c r="KC128" s="201"/>
      <c r="KD128" s="201"/>
      <c r="KE128" s="201"/>
      <c r="KF128" s="201"/>
      <c r="KG128" s="201"/>
      <c r="KH128" s="201"/>
      <c r="KI128" s="201"/>
      <c r="KJ128" s="201"/>
      <c r="KK128" s="201"/>
      <c r="KL128" s="201"/>
      <c r="KM128" s="201"/>
      <c r="KN128" s="201"/>
      <c r="KO128" s="201"/>
      <c r="KP128" s="201"/>
      <c r="KQ128" s="201"/>
      <c r="KR128" s="201"/>
      <c r="KS128" s="201"/>
      <c r="KT128" s="201"/>
      <c r="KU128" s="201"/>
      <c r="KV128" s="201"/>
      <c r="KW128" s="201"/>
      <c r="KX128" s="201"/>
      <c r="KY128" s="201"/>
      <c r="KZ128" s="201"/>
      <c r="LA128" s="201"/>
      <c r="LB128" s="201"/>
      <c r="LC128" s="201"/>
      <c r="LD128" s="201"/>
      <c r="LE128" s="201"/>
      <c r="LF128" s="201"/>
      <c r="LG128" s="201"/>
      <c r="LH128" s="201"/>
      <c r="LI128" s="201"/>
      <c r="LJ128" s="201"/>
      <c r="LK128" s="201"/>
      <c r="LL128" s="201"/>
      <c r="LM128" s="201"/>
      <c r="LN128" s="201"/>
      <c r="LO128" s="201"/>
      <c r="LP128" s="201"/>
      <c r="LQ128" s="201"/>
      <c r="LR128" s="201"/>
      <c r="LS128" s="201"/>
      <c r="LT128" s="201"/>
      <c r="LU128" s="201"/>
      <c r="LV128" s="201"/>
      <c r="LW128" s="201"/>
      <c r="LX128" s="201"/>
      <c r="LY128" s="201"/>
      <c r="LZ128" s="201"/>
      <c r="MA128" s="201"/>
      <c r="MB128" s="201"/>
    </row>
    <row r="129" spans="1:123" ht="7.4" customHeight="1" x14ac:dyDescent="0.5">
      <c r="A129" s="42"/>
      <c r="B129" s="42"/>
      <c r="C129" s="108"/>
      <c r="D129" s="108"/>
      <c r="E129" s="41"/>
      <c r="F129" s="42"/>
      <c r="G129" s="202"/>
      <c r="H129" s="202"/>
      <c r="I129" s="202"/>
      <c r="J129" s="202"/>
      <c r="K129" s="202"/>
      <c r="L129" s="202"/>
      <c r="M129" s="202"/>
      <c r="N129" s="202"/>
      <c r="O129" s="202"/>
      <c r="P129" s="202"/>
      <c r="Q129" s="202"/>
      <c r="R129" s="203"/>
      <c r="S129" s="42"/>
      <c r="T129" s="116" t="str">
        <f>VLOOKUP(G127,PL!$B$9:$BH$1265,33,FALSE)</f>
        <v>Aluminium, Rail Profile 25x30</v>
      </c>
      <c r="AJ129" s="41"/>
      <c r="AK129" s="42"/>
      <c r="AL129" s="311"/>
      <c r="AM129" s="311"/>
      <c r="AN129" s="311"/>
      <c r="AO129" s="311"/>
      <c r="AP129" s="43"/>
      <c r="AQ129" s="42"/>
      <c r="AR129" s="131"/>
      <c r="AS129" s="131"/>
      <c r="AT129" s="131"/>
      <c r="AU129" s="131"/>
      <c r="AV129" s="131"/>
      <c r="AW129" s="131"/>
      <c r="AX129" s="105"/>
      <c r="AZ129" s="131"/>
      <c r="BA129" s="131"/>
      <c r="BB129" s="131"/>
      <c r="BC129" s="131"/>
      <c r="BD129" s="131"/>
      <c r="BE129" s="131"/>
      <c r="BF129" s="131"/>
      <c r="BG129" s="131"/>
      <c r="BH129" s="124"/>
      <c r="BI129" s="124"/>
      <c r="BK129" s="194"/>
      <c r="BL129" s="123"/>
      <c r="BM129" s="195"/>
      <c r="BN129" s="194"/>
      <c r="BO129" s="123"/>
      <c r="BP129" s="195"/>
      <c r="BQ129" s="194"/>
      <c r="BR129" s="123"/>
      <c r="BS129" s="195"/>
      <c r="BT129" s="194"/>
      <c r="BU129" s="123"/>
      <c r="BV129" s="195"/>
      <c r="BW129" s="194"/>
      <c r="BX129" s="123"/>
      <c r="BY129" s="195"/>
      <c r="BZ129" s="194"/>
      <c r="CA129" s="123"/>
      <c r="CB129" s="195"/>
      <c r="CC129" s="194"/>
      <c r="CD129" s="123"/>
      <c r="CE129" s="195"/>
      <c r="CF129" s="194"/>
      <c r="CG129" s="123"/>
      <c r="CH129" s="195"/>
      <c r="CI129" s="194"/>
      <c r="CJ129" s="123"/>
      <c r="CK129" s="195"/>
      <c r="CL129" s="194"/>
      <c r="CM129" s="123"/>
      <c r="CN129" s="195"/>
      <c r="CO129" s="194"/>
      <c r="CP129" s="123"/>
      <c r="CQ129" s="195"/>
      <c r="CR129" s="194"/>
      <c r="CS129" s="123"/>
      <c r="CT129" s="195"/>
      <c r="CU129" s="194"/>
      <c r="CV129" s="123"/>
      <c r="CW129" s="195"/>
      <c r="CX129" s="194"/>
      <c r="CY129" s="123"/>
      <c r="CZ129" s="195"/>
      <c r="DA129" s="194"/>
      <c r="DB129" s="123"/>
      <c r="DC129" s="195"/>
      <c r="DD129" s="194"/>
      <c r="DE129" s="123"/>
      <c r="DF129" s="195"/>
      <c r="DH129" s="311"/>
      <c r="DI129" s="311"/>
      <c r="DJ129" s="311"/>
      <c r="DK129" s="311"/>
      <c r="DL129" s="321"/>
      <c r="DM129" s="321"/>
      <c r="DN129" s="321"/>
      <c r="DO129" s="321"/>
      <c r="DP129" s="321"/>
      <c r="DQ129" s="321"/>
      <c r="DR129" s="321"/>
      <c r="DS129" s="321"/>
    </row>
    <row r="130" spans="1:123" ht="7.4" customHeight="1" x14ac:dyDescent="0.5">
      <c r="A130" s="42"/>
      <c r="B130" s="42"/>
      <c r="C130" s="55"/>
      <c r="D130" s="55"/>
      <c r="E130" s="41"/>
      <c r="F130" s="42"/>
      <c r="G130" s="56"/>
      <c r="H130" s="56"/>
      <c r="I130" s="56"/>
      <c r="J130" s="56"/>
      <c r="K130" s="56"/>
      <c r="L130" s="56"/>
      <c r="M130" s="56"/>
      <c r="N130" s="56"/>
      <c r="O130" s="56"/>
      <c r="P130" s="56"/>
      <c r="Q130" s="56"/>
      <c r="R130" s="126"/>
      <c r="S130" s="42"/>
      <c r="AJ130" s="41"/>
      <c r="AK130" s="42"/>
      <c r="AL130" s="311"/>
      <c r="AM130" s="311"/>
      <c r="AN130" s="311"/>
      <c r="AO130" s="311"/>
      <c r="AP130" s="43"/>
      <c r="AQ130" s="42"/>
      <c r="AR130" s="131"/>
      <c r="AS130" s="131"/>
      <c r="AT130" s="131"/>
      <c r="AU130" s="131"/>
      <c r="AV130" s="131"/>
      <c r="AW130" s="131"/>
      <c r="AX130" s="105"/>
      <c r="AZ130" s="131"/>
      <c r="BA130" s="131"/>
      <c r="BB130" s="131"/>
      <c r="BC130" s="131"/>
      <c r="BD130" s="131"/>
      <c r="BE130" s="131"/>
      <c r="BF130" s="131"/>
      <c r="BG130" s="131"/>
      <c r="BH130" s="124"/>
      <c r="BI130" s="41"/>
      <c r="BK130" s="194"/>
      <c r="BL130" s="123"/>
      <c r="BM130" s="195"/>
      <c r="BN130" s="196"/>
      <c r="BO130" s="153"/>
      <c r="BP130" s="197"/>
      <c r="BQ130" s="196"/>
      <c r="BR130" s="153"/>
      <c r="BS130" s="197"/>
      <c r="BT130" s="196"/>
      <c r="BU130" s="153"/>
      <c r="BV130" s="197"/>
      <c r="BW130" s="196"/>
      <c r="BX130" s="153"/>
      <c r="BY130" s="197"/>
      <c r="BZ130" s="196"/>
      <c r="CA130" s="153"/>
      <c r="CB130" s="197"/>
      <c r="CC130" s="196"/>
      <c r="CD130" s="153"/>
      <c r="CE130" s="197"/>
      <c r="CF130" s="196"/>
      <c r="CG130" s="153"/>
      <c r="CH130" s="197"/>
      <c r="CI130" s="196"/>
      <c r="CJ130" s="153"/>
      <c r="CK130" s="197"/>
      <c r="CL130" s="196"/>
      <c r="CM130" s="153"/>
      <c r="CN130" s="197"/>
      <c r="CO130" s="196"/>
      <c r="CP130" s="153"/>
      <c r="CQ130" s="197"/>
      <c r="CR130" s="196"/>
      <c r="CS130" s="153"/>
      <c r="CT130" s="197"/>
      <c r="CU130" s="196"/>
      <c r="CV130" s="153"/>
      <c r="CW130" s="197"/>
      <c r="CX130" s="196"/>
      <c r="CY130" s="153"/>
      <c r="CZ130" s="197"/>
      <c r="DA130" s="196"/>
      <c r="DB130" s="153"/>
      <c r="DC130" s="197"/>
      <c r="DD130" s="196"/>
      <c r="DE130" s="153"/>
      <c r="DF130" s="197"/>
      <c r="DL130" s="105"/>
      <c r="DM130" s="105"/>
      <c r="DN130" s="105"/>
      <c r="DO130" s="105"/>
      <c r="DP130" s="105"/>
      <c r="DQ130" s="105"/>
      <c r="DR130" s="105"/>
      <c r="DS130" s="105"/>
    </row>
    <row r="131" spans="1:123" ht="7.4" customHeight="1" x14ac:dyDescent="0.5">
      <c r="A131" s="42"/>
      <c r="B131" s="42"/>
      <c r="C131" s="311">
        <f>C127+1</f>
        <v>4</v>
      </c>
      <c r="D131" s="311"/>
      <c r="E131" s="41"/>
      <c r="F131" s="42"/>
      <c r="G131" s="319" t="str">
        <f>"AXE_F_"&amp;IF($X$78="Frameless","TL_RL",
IF($AE$45&lt;1150,"AN_RL_S","AN_RL_L"))&amp;"_"&amp;AO31&amp;"_AL"</f>
        <v>AXE_F_TL_RL_10_AL</v>
      </c>
      <c r="H131" s="319"/>
      <c r="I131" s="319"/>
      <c r="J131" s="319"/>
      <c r="K131" s="319"/>
      <c r="L131" s="319"/>
      <c r="M131" s="319"/>
      <c r="N131" s="319"/>
      <c r="O131" s="319"/>
      <c r="P131" s="319"/>
      <c r="Q131" s="319"/>
      <c r="R131" s="320"/>
      <c r="S131" s="42"/>
      <c r="T131" s="405" t="str">
        <f>VLOOKUP(G131,PL!$B$9:$BH$1265,14,FALSE)</f>
        <v>Tilted Frame</v>
      </c>
      <c r="U131" s="405"/>
      <c r="V131" s="405"/>
      <c r="W131" s="405"/>
      <c r="X131" s="405"/>
      <c r="Y131" s="405"/>
      <c r="Z131" s="405"/>
      <c r="AA131" s="405"/>
      <c r="AB131" s="405"/>
      <c r="AC131" s="405"/>
      <c r="AD131" s="405"/>
      <c r="AE131" s="405"/>
      <c r="AF131" s="405"/>
      <c r="AG131" s="405"/>
      <c r="AH131" s="405"/>
      <c r="AI131" s="405"/>
      <c r="AJ131" s="411"/>
      <c r="AK131" s="42"/>
      <c r="AL131" s="311">
        <f>SUM(BK131:DF132)</f>
        <v>200</v>
      </c>
      <c r="AM131" s="311"/>
      <c r="AN131" s="311"/>
      <c r="AO131" s="311"/>
      <c r="AP131" s="43"/>
      <c r="AQ131" s="128"/>
      <c r="AR131" s="308">
        <f>VLOOKUP(G131,PL!$B$9:$BH$818,52,FALSE)</f>
        <v>0</v>
      </c>
      <c r="AS131" s="309"/>
      <c r="AT131" s="309"/>
      <c r="AU131" s="309"/>
      <c r="AV131" s="309"/>
      <c r="AW131" s="309"/>
      <c r="AX131" s="309"/>
      <c r="AY131" s="309"/>
      <c r="AZ131" s="309"/>
      <c r="BA131" s="309"/>
      <c r="BB131" s="309"/>
      <c r="BC131" s="309"/>
      <c r="BD131" s="309"/>
      <c r="BE131" s="309"/>
      <c r="BF131" s="309"/>
      <c r="BG131" s="309"/>
      <c r="BH131" s="124"/>
      <c r="BI131" s="41"/>
      <c r="BK131" s="412">
        <f>M58*2*M54</f>
        <v>200</v>
      </c>
      <c r="BL131" s="413"/>
      <c r="BM131" s="414"/>
      <c r="BN131" s="412">
        <f>P58*2*P54</f>
        <v>0</v>
      </c>
      <c r="BO131" s="413"/>
      <c r="BP131" s="414"/>
      <c r="BQ131" s="412">
        <f>S58*2*S54</f>
        <v>0</v>
      </c>
      <c r="BR131" s="413"/>
      <c r="BS131" s="414"/>
      <c r="BT131" s="412">
        <f>V58*2*V54</f>
        <v>0</v>
      </c>
      <c r="BU131" s="413"/>
      <c r="BV131" s="414"/>
      <c r="BW131" s="412">
        <f>Y58*2*Y54</f>
        <v>0</v>
      </c>
      <c r="BX131" s="413"/>
      <c r="BY131" s="414"/>
      <c r="BZ131" s="412">
        <f>AB58*2*AB54</f>
        <v>0</v>
      </c>
      <c r="CA131" s="413"/>
      <c r="CB131" s="414"/>
      <c r="CC131" s="412">
        <f>AE58*2*AE54</f>
        <v>0</v>
      </c>
      <c r="CD131" s="413"/>
      <c r="CE131" s="414"/>
      <c r="CF131" s="412">
        <f>AH58*2*AH54</f>
        <v>0</v>
      </c>
      <c r="CG131" s="413"/>
      <c r="CH131" s="414"/>
      <c r="CI131" s="412">
        <f>AK58*2*AK54</f>
        <v>0</v>
      </c>
      <c r="CJ131" s="413"/>
      <c r="CK131" s="414"/>
      <c r="CL131" s="412">
        <f>AN58*2*AN54</f>
        <v>0</v>
      </c>
      <c r="CM131" s="413"/>
      <c r="CN131" s="414"/>
      <c r="CO131" s="412">
        <f>AQ58*2*AQ54</f>
        <v>0</v>
      </c>
      <c r="CP131" s="413"/>
      <c r="CQ131" s="414"/>
      <c r="CR131" s="412">
        <f>AT58*2*AT54</f>
        <v>0</v>
      </c>
      <c r="CS131" s="413"/>
      <c r="CT131" s="414"/>
      <c r="CU131" s="412">
        <f>AW58*2*AW54</f>
        <v>0</v>
      </c>
      <c r="CV131" s="413"/>
      <c r="CW131" s="414"/>
      <c r="CX131" s="412">
        <f>AZ58*2*AZ54</f>
        <v>0</v>
      </c>
      <c r="CY131" s="413"/>
      <c r="CZ131" s="414"/>
      <c r="DA131" s="412">
        <f>BC58*2*BC54</f>
        <v>0</v>
      </c>
      <c r="DB131" s="413"/>
      <c r="DC131" s="414"/>
      <c r="DD131" s="412">
        <f>BF58*2*BF54</f>
        <v>0</v>
      </c>
      <c r="DE131" s="413"/>
      <c r="DF131" s="414"/>
      <c r="DH131" s="311"/>
      <c r="DI131" s="311"/>
      <c r="DJ131" s="311"/>
      <c r="DK131" s="311"/>
      <c r="DL131" s="321"/>
      <c r="DM131" s="321"/>
      <c r="DN131" s="321"/>
      <c r="DO131" s="321"/>
      <c r="DP131" s="321"/>
      <c r="DQ131" s="321"/>
      <c r="DR131" s="321"/>
      <c r="DS131" s="321"/>
    </row>
    <row r="132" spans="1:123" ht="7.4" customHeight="1" x14ac:dyDescent="0.5">
      <c r="A132" s="42"/>
      <c r="B132" s="42"/>
      <c r="C132" s="311"/>
      <c r="D132" s="311"/>
      <c r="E132" s="41"/>
      <c r="F132" s="42"/>
      <c r="G132" s="319"/>
      <c r="H132" s="319"/>
      <c r="I132" s="319"/>
      <c r="J132" s="319"/>
      <c r="K132" s="319"/>
      <c r="L132" s="319"/>
      <c r="M132" s="319"/>
      <c r="N132" s="319"/>
      <c r="O132" s="319"/>
      <c r="P132" s="319"/>
      <c r="Q132" s="319"/>
      <c r="R132" s="320"/>
      <c r="S132" s="42"/>
      <c r="T132" s="405"/>
      <c r="U132" s="405"/>
      <c r="V132" s="405"/>
      <c r="W132" s="405"/>
      <c r="X132" s="405"/>
      <c r="Y132" s="405"/>
      <c r="Z132" s="405"/>
      <c r="AA132" s="405"/>
      <c r="AB132" s="405"/>
      <c r="AC132" s="405"/>
      <c r="AD132" s="405"/>
      <c r="AE132" s="405"/>
      <c r="AF132" s="405"/>
      <c r="AG132" s="405"/>
      <c r="AH132" s="405"/>
      <c r="AI132" s="405"/>
      <c r="AJ132" s="411"/>
      <c r="AK132" s="42"/>
      <c r="AL132" s="311"/>
      <c r="AM132" s="311"/>
      <c r="AN132" s="311"/>
      <c r="AO132" s="311"/>
      <c r="AP132" s="43"/>
      <c r="AQ132" s="128"/>
      <c r="AR132" s="309"/>
      <c r="AS132" s="309"/>
      <c r="AT132" s="309"/>
      <c r="AU132" s="309"/>
      <c r="AV132" s="309"/>
      <c r="AW132" s="309"/>
      <c r="AX132" s="309"/>
      <c r="AY132" s="309"/>
      <c r="AZ132" s="309"/>
      <c r="BA132" s="309"/>
      <c r="BB132" s="309"/>
      <c r="BC132" s="309"/>
      <c r="BD132" s="309"/>
      <c r="BE132" s="309"/>
      <c r="BF132" s="309"/>
      <c r="BG132" s="309"/>
      <c r="BH132" s="124"/>
      <c r="BI132" s="41"/>
      <c r="BK132" s="412"/>
      <c r="BL132" s="413"/>
      <c r="BM132" s="414"/>
      <c r="BN132" s="412"/>
      <c r="BO132" s="413"/>
      <c r="BP132" s="414"/>
      <c r="BQ132" s="412"/>
      <c r="BR132" s="413"/>
      <c r="BS132" s="414"/>
      <c r="BT132" s="412"/>
      <c r="BU132" s="413"/>
      <c r="BV132" s="414"/>
      <c r="BW132" s="412"/>
      <c r="BX132" s="413"/>
      <c r="BY132" s="414"/>
      <c r="BZ132" s="412"/>
      <c r="CA132" s="413"/>
      <c r="CB132" s="414"/>
      <c r="CC132" s="412"/>
      <c r="CD132" s="413"/>
      <c r="CE132" s="414"/>
      <c r="CF132" s="412"/>
      <c r="CG132" s="413"/>
      <c r="CH132" s="414"/>
      <c r="CI132" s="412"/>
      <c r="CJ132" s="413"/>
      <c r="CK132" s="414"/>
      <c r="CL132" s="412"/>
      <c r="CM132" s="413"/>
      <c r="CN132" s="414"/>
      <c r="CO132" s="412"/>
      <c r="CP132" s="413"/>
      <c r="CQ132" s="414"/>
      <c r="CR132" s="412"/>
      <c r="CS132" s="413"/>
      <c r="CT132" s="414"/>
      <c r="CU132" s="412"/>
      <c r="CV132" s="413"/>
      <c r="CW132" s="414"/>
      <c r="CX132" s="412"/>
      <c r="CY132" s="413"/>
      <c r="CZ132" s="414"/>
      <c r="DA132" s="412"/>
      <c r="DB132" s="413"/>
      <c r="DC132" s="414"/>
      <c r="DD132" s="412"/>
      <c r="DE132" s="413"/>
      <c r="DF132" s="414"/>
      <c r="DH132" s="311"/>
      <c r="DI132" s="311"/>
      <c r="DJ132" s="311"/>
      <c r="DK132" s="311"/>
      <c r="DL132" s="321"/>
      <c r="DM132" s="321"/>
      <c r="DN132" s="321"/>
      <c r="DO132" s="321"/>
      <c r="DP132" s="321"/>
      <c r="DQ132" s="321"/>
      <c r="DR132" s="321"/>
      <c r="DS132" s="321"/>
    </row>
    <row r="133" spans="1:123" ht="7.4" customHeight="1" x14ac:dyDescent="0.5">
      <c r="A133" s="42"/>
      <c r="B133" s="42"/>
      <c r="C133" s="333"/>
      <c r="D133" s="333"/>
      <c r="E133" s="41"/>
      <c r="F133" s="42"/>
      <c r="G133" s="56"/>
      <c r="H133" s="56"/>
      <c r="I133" s="56"/>
      <c r="J133" s="56"/>
      <c r="K133" s="56"/>
      <c r="L133" s="56"/>
      <c r="M133" s="56"/>
      <c r="N133" s="56"/>
      <c r="O133" s="56"/>
      <c r="P133" s="56"/>
      <c r="Q133" s="56"/>
      <c r="R133" s="126"/>
      <c r="S133" s="42"/>
      <c r="T133" s="116" t="str">
        <f>VLOOKUP(G131,PL!$B$9:$BH$1265,33,FALSE)</f>
        <v>Aluminium, Railless, 10deg</v>
      </c>
      <c r="AB133" s="117"/>
      <c r="AJ133" s="41"/>
      <c r="AK133" s="42"/>
      <c r="AL133" s="311"/>
      <c r="AM133" s="311"/>
      <c r="AN133" s="311"/>
      <c r="AO133" s="311"/>
      <c r="AP133" s="43"/>
      <c r="AQ133" s="42"/>
      <c r="AR133" s="131"/>
      <c r="AS133" s="131"/>
      <c r="AT133" s="131"/>
      <c r="AU133" s="131"/>
      <c r="AV133" s="131"/>
      <c r="AW133" s="131"/>
      <c r="AX133" s="105"/>
      <c r="AZ133" s="131"/>
      <c r="BA133" s="131"/>
      <c r="BB133" s="131"/>
      <c r="BC133" s="131"/>
      <c r="BD133" s="131"/>
      <c r="BE133" s="131"/>
      <c r="BF133" s="131"/>
      <c r="BG133" s="131"/>
      <c r="BH133" s="124"/>
      <c r="BI133" s="41"/>
      <c r="BK133" s="194"/>
      <c r="BL133" s="123"/>
      <c r="BM133" s="195"/>
      <c r="BN133" s="194"/>
      <c r="BO133" s="123"/>
      <c r="BP133" s="195"/>
      <c r="BQ133" s="194"/>
      <c r="BR133" s="123"/>
      <c r="BS133" s="195"/>
      <c r="BT133" s="194"/>
      <c r="BU133" s="123"/>
      <c r="BV133" s="195"/>
      <c r="BW133" s="194"/>
      <c r="BX133" s="123"/>
      <c r="BY133" s="195"/>
      <c r="BZ133" s="194"/>
      <c r="CA133" s="123"/>
      <c r="CB133" s="195"/>
      <c r="CC133" s="194"/>
      <c r="CD133" s="123"/>
      <c r="CE133" s="195"/>
      <c r="CF133" s="194"/>
      <c r="CG133" s="123"/>
      <c r="CH133" s="195"/>
      <c r="CI133" s="194"/>
      <c r="CJ133" s="123"/>
      <c r="CK133" s="195"/>
      <c r="CL133" s="194"/>
      <c r="CM133" s="123"/>
      <c r="CN133" s="195"/>
      <c r="CO133" s="194"/>
      <c r="CP133" s="123"/>
      <c r="CQ133" s="195"/>
      <c r="CR133" s="194"/>
      <c r="CS133" s="123"/>
      <c r="CT133" s="195"/>
      <c r="CU133" s="194"/>
      <c r="CV133" s="123"/>
      <c r="CW133" s="195"/>
      <c r="CX133" s="194"/>
      <c r="CY133" s="123"/>
      <c r="CZ133" s="195"/>
      <c r="DA133" s="194"/>
      <c r="DB133" s="123"/>
      <c r="DC133" s="195"/>
      <c r="DD133" s="194"/>
      <c r="DE133" s="123"/>
      <c r="DF133" s="195"/>
      <c r="DH133" s="311"/>
      <c r="DI133" s="311"/>
      <c r="DJ133" s="311"/>
      <c r="DK133" s="311"/>
      <c r="DL133" s="321"/>
      <c r="DM133" s="321"/>
      <c r="DN133" s="321"/>
      <c r="DO133" s="321"/>
      <c r="DP133" s="321"/>
      <c r="DQ133" s="321"/>
      <c r="DR133" s="321"/>
      <c r="DS133" s="321"/>
    </row>
    <row r="134" spans="1:123" ht="7.4" customHeight="1" x14ac:dyDescent="0.5">
      <c r="A134" s="42"/>
      <c r="B134" s="42"/>
      <c r="C134" s="55"/>
      <c r="D134" s="55"/>
      <c r="E134" s="41"/>
      <c r="F134" s="42"/>
      <c r="G134" s="56"/>
      <c r="H134" s="56"/>
      <c r="I134" s="56"/>
      <c r="J134" s="56"/>
      <c r="K134" s="56"/>
      <c r="L134" s="56"/>
      <c r="M134" s="56"/>
      <c r="N134" s="56"/>
      <c r="O134" s="56"/>
      <c r="P134" s="56"/>
      <c r="Q134" s="56"/>
      <c r="R134" s="126"/>
      <c r="S134" s="42"/>
      <c r="AJ134" s="41"/>
      <c r="AK134" s="42"/>
      <c r="AL134" s="311"/>
      <c r="AM134" s="311"/>
      <c r="AN134" s="311"/>
      <c r="AO134" s="311"/>
      <c r="AP134" s="43"/>
      <c r="AQ134" s="42"/>
      <c r="AR134" s="131"/>
      <c r="AS134" s="131"/>
      <c r="AT134" s="131"/>
      <c r="AU134" s="131"/>
      <c r="AV134" s="131"/>
      <c r="AW134" s="131"/>
      <c r="AX134" s="105"/>
      <c r="AZ134" s="131"/>
      <c r="BA134" s="131"/>
      <c r="BB134" s="131"/>
      <c r="BC134" s="131"/>
      <c r="BD134" s="131"/>
      <c r="BE134" s="131"/>
      <c r="BF134" s="131"/>
      <c r="BG134" s="131"/>
      <c r="BH134" s="124"/>
      <c r="BI134" s="41"/>
      <c r="BK134" s="194"/>
      <c r="BL134" s="123"/>
      <c r="BM134" s="195"/>
      <c r="BN134" s="194"/>
      <c r="BO134" s="123"/>
      <c r="BP134" s="195"/>
      <c r="BQ134" s="194"/>
      <c r="BR134" s="123"/>
      <c r="BS134" s="195"/>
      <c r="BT134" s="194"/>
      <c r="BU134" s="123"/>
      <c r="BV134" s="195"/>
      <c r="BW134" s="194"/>
      <c r="BX134" s="123"/>
      <c r="BY134" s="195"/>
      <c r="BZ134" s="194"/>
      <c r="CA134" s="123"/>
      <c r="CB134" s="195"/>
      <c r="CC134" s="194"/>
      <c r="CD134" s="123"/>
      <c r="CE134" s="195"/>
      <c r="CF134" s="194"/>
      <c r="CG134" s="123"/>
      <c r="CH134" s="195"/>
      <c r="CI134" s="194"/>
      <c r="CJ134" s="123"/>
      <c r="CK134" s="195"/>
      <c r="CL134" s="194"/>
      <c r="CM134" s="123"/>
      <c r="CN134" s="195"/>
      <c r="CO134" s="194"/>
      <c r="CP134" s="123"/>
      <c r="CQ134" s="195"/>
      <c r="CR134" s="194"/>
      <c r="CS134" s="123"/>
      <c r="CT134" s="195"/>
      <c r="CU134" s="194"/>
      <c r="CV134" s="123"/>
      <c r="CW134" s="195"/>
      <c r="CX134" s="194"/>
      <c r="CY134" s="123"/>
      <c r="CZ134" s="195"/>
      <c r="DA134" s="194"/>
      <c r="DB134" s="123"/>
      <c r="DC134" s="195"/>
      <c r="DD134" s="194"/>
      <c r="DE134" s="123"/>
      <c r="DF134" s="195"/>
      <c r="DL134" s="105"/>
      <c r="DM134" s="105"/>
      <c r="DN134" s="105"/>
      <c r="DO134" s="105"/>
      <c r="DP134" s="105"/>
      <c r="DQ134" s="105"/>
      <c r="DR134" s="105"/>
      <c r="DS134" s="105"/>
    </row>
    <row r="135" spans="1:123" ht="7.4" customHeight="1" x14ac:dyDescent="0.5">
      <c r="A135" s="42"/>
      <c r="B135" s="42"/>
      <c r="C135" s="311">
        <f>C131+1</f>
        <v>5</v>
      </c>
      <c r="D135" s="311"/>
      <c r="E135" s="41"/>
      <c r="F135" s="42"/>
      <c r="G135" s="319" t="str">
        <f>IF($X$78="Frameless","AXE_BR_SW_RL","AXE_BR_L_F")&amp;"_AL"</f>
        <v>AXE_BR_SW_RL_AL</v>
      </c>
      <c r="H135" s="319"/>
      <c r="I135" s="319"/>
      <c r="J135" s="319"/>
      <c r="K135" s="319"/>
      <c r="L135" s="319"/>
      <c r="M135" s="319"/>
      <c r="N135" s="319"/>
      <c r="O135" s="319"/>
      <c r="P135" s="319"/>
      <c r="Q135" s="319"/>
      <c r="R135" s="320"/>
      <c r="S135" s="42"/>
      <c r="T135" s="405" t="str">
        <f>VLOOKUP(G135,PL!$B$9:$BH$1265,14,FALSE)</f>
        <v xml:space="preserve">Swivel Bracket </v>
      </c>
      <c r="U135" s="405"/>
      <c r="V135" s="405"/>
      <c r="W135" s="405"/>
      <c r="X135" s="405"/>
      <c r="Y135" s="405"/>
      <c r="Z135" s="405"/>
      <c r="AA135" s="405"/>
      <c r="AB135" s="405"/>
      <c r="AC135" s="405"/>
      <c r="AD135" s="405"/>
      <c r="AE135" s="405"/>
      <c r="AF135" s="405"/>
      <c r="AG135" s="405"/>
      <c r="AH135" s="405"/>
      <c r="AI135" s="405"/>
      <c r="AJ135" s="411"/>
      <c r="AK135" s="42"/>
      <c r="AL135" s="311">
        <f>ROUND(SUM(BK135:DF135)*(1+$BF$66),0)</f>
        <v>204</v>
      </c>
      <c r="AM135" s="311"/>
      <c r="AN135" s="311"/>
      <c r="AO135" s="311"/>
      <c r="AP135" s="43"/>
      <c r="AQ135" s="128"/>
      <c r="AR135" s="308" t="str">
        <f>VLOOKUP(G135,PL!$B$9:$BH$818,52,FALSE)</f>
        <v>SOL-580703</v>
      </c>
      <c r="AS135" s="309"/>
      <c r="AT135" s="309"/>
      <c r="AU135" s="309"/>
      <c r="AV135" s="309"/>
      <c r="AW135" s="309"/>
      <c r="AX135" s="309"/>
      <c r="AY135" s="309"/>
      <c r="AZ135" s="309"/>
      <c r="BA135" s="309"/>
      <c r="BB135" s="309"/>
      <c r="BC135" s="309"/>
      <c r="BD135" s="309"/>
      <c r="BE135" s="309"/>
      <c r="BF135" s="309"/>
      <c r="BG135" s="309"/>
      <c r="BH135" s="124"/>
      <c r="BI135" s="41"/>
      <c r="BK135" s="412">
        <f>BK131*IF($X$78="Frameless",1,2)</f>
        <v>200</v>
      </c>
      <c r="BL135" s="413"/>
      <c r="BM135" s="414"/>
      <c r="BN135" s="412">
        <f t="shared" ref="BN135" si="8">BN131*IF($X$78="Frameless",1,2)</f>
        <v>0</v>
      </c>
      <c r="BO135" s="413"/>
      <c r="BP135" s="414"/>
      <c r="BQ135" s="412">
        <f t="shared" ref="BQ135" si="9">BQ131*IF($X$78="Frameless",1,2)</f>
        <v>0</v>
      </c>
      <c r="BR135" s="413"/>
      <c r="BS135" s="414"/>
      <c r="BT135" s="412">
        <f t="shared" ref="BT135" si="10">BT131*IF($X$78="Frameless",1,2)</f>
        <v>0</v>
      </c>
      <c r="BU135" s="413"/>
      <c r="BV135" s="414"/>
      <c r="BW135" s="412">
        <f t="shared" ref="BW135" si="11">BW131*IF($X$78="Frameless",1,2)</f>
        <v>0</v>
      </c>
      <c r="BX135" s="413"/>
      <c r="BY135" s="414"/>
      <c r="BZ135" s="412">
        <f t="shared" ref="BZ135" si="12">BZ131*IF($X$78="Frameless",1,2)</f>
        <v>0</v>
      </c>
      <c r="CA135" s="413"/>
      <c r="CB135" s="414"/>
      <c r="CC135" s="412">
        <f t="shared" ref="CC135" si="13">CC131*IF($X$78="Frameless",1,2)</f>
        <v>0</v>
      </c>
      <c r="CD135" s="413"/>
      <c r="CE135" s="414"/>
      <c r="CF135" s="412">
        <f t="shared" ref="CF135" si="14">CF131*IF($X$78="Frameless",1,2)</f>
        <v>0</v>
      </c>
      <c r="CG135" s="413"/>
      <c r="CH135" s="414"/>
      <c r="CI135" s="412">
        <f t="shared" ref="CI135" si="15">CI131*IF($X$78="Frameless",1,2)</f>
        <v>0</v>
      </c>
      <c r="CJ135" s="413"/>
      <c r="CK135" s="414"/>
      <c r="CL135" s="412">
        <f t="shared" ref="CL135" si="16">CL131*IF($X$78="Frameless",1,2)</f>
        <v>0</v>
      </c>
      <c r="CM135" s="413"/>
      <c r="CN135" s="414"/>
      <c r="CO135" s="412">
        <f t="shared" ref="CO135" si="17">CO131*IF($X$78="Frameless",1,2)</f>
        <v>0</v>
      </c>
      <c r="CP135" s="413"/>
      <c r="CQ135" s="414"/>
      <c r="CR135" s="412">
        <f t="shared" ref="CR135" si="18">CR131*IF($X$78="Frameless",1,2)</f>
        <v>0</v>
      </c>
      <c r="CS135" s="413"/>
      <c r="CT135" s="414"/>
      <c r="CU135" s="412">
        <f t="shared" ref="CU135" si="19">CU131*IF($X$78="Frameless",1,2)</f>
        <v>0</v>
      </c>
      <c r="CV135" s="413"/>
      <c r="CW135" s="414"/>
      <c r="CX135" s="412">
        <f t="shared" ref="CX135" si="20">CX131*IF($X$78="Frameless",1,2)</f>
        <v>0</v>
      </c>
      <c r="CY135" s="413"/>
      <c r="CZ135" s="414"/>
      <c r="DA135" s="412">
        <f t="shared" ref="DA135" si="21">DA131*IF($X$78="Frameless",1,2)</f>
        <v>0</v>
      </c>
      <c r="DB135" s="413"/>
      <c r="DC135" s="414"/>
      <c r="DD135" s="412">
        <f t="shared" ref="DD135" si="22">DD131*IF($X$78="Frameless",1,2)</f>
        <v>0</v>
      </c>
      <c r="DE135" s="413"/>
      <c r="DF135" s="414"/>
      <c r="DH135" s="311"/>
      <c r="DI135" s="311"/>
      <c r="DJ135" s="311"/>
      <c r="DK135" s="311"/>
      <c r="DL135" s="321"/>
      <c r="DM135" s="321"/>
      <c r="DN135" s="321"/>
      <c r="DO135" s="321"/>
      <c r="DP135" s="321"/>
      <c r="DQ135" s="321"/>
      <c r="DR135" s="321"/>
      <c r="DS135" s="321"/>
    </row>
    <row r="136" spans="1:123" ht="7.4" customHeight="1" x14ac:dyDescent="0.5">
      <c r="A136" s="42"/>
      <c r="B136" s="42"/>
      <c r="C136" s="311"/>
      <c r="D136" s="311"/>
      <c r="E136" s="41"/>
      <c r="F136" s="42"/>
      <c r="G136" s="319"/>
      <c r="H136" s="319"/>
      <c r="I136" s="319"/>
      <c r="J136" s="319"/>
      <c r="K136" s="319"/>
      <c r="L136" s="319"/>
      <c r="M136" s="319"/>
      <c r="N136" s="319"/>
      <c r="O136" s="319"/>
      <c r="P136" s="319"/>
      <c r="Q136" s="319"/>
      <c r="R136" s="320"/>
      <c r="S136" s="42"/>
      <c r="T136" s="405"/>
      <c r="U136" s="405"/>
      <c r="V136" s="405"/>
      <c r="W136" s="405"/>
      <c r="X136" s="405"/>
      <c r="Y136" s="405"/>
      <c r="Z136" s="405"/>
      <c r="AA136" s="405"/>
      <c r="AB136" s="405"/>
      <c r="AC136" s="405"/>
      <c r="AD136" s="405"/>
      <c r="AE136" s="405"/>
      <c r="AF136" s="405"/>
      <c r="AG136" s="405"/>
      <c r="AH136" s="405"/>
      <c r="AI136" s="405"/>
      <c r="AJ136" s="411"/>
      <c r="AK136" s="42"/>
      <c r="AL136" s="311"/>
      <c r="AM136" s="311"/>
      <c r="AN136" s="311"/>
      <c r="AO136" s="311"/>
      <c r="AP136" s="43"/>
      <c r="AQ136" s="128"/>
      <c r="AR136" s="309"/>
      <c r="AS136" s="309"/>
      <c r="AT136" s="309"/>
      <c r="AU136" s="309"/>
      <c r="AV136" s="309"/>
      <c r="AW136" s="309"/>
      <c r="AX136" s="309"/>
      <c r="AY136" s="309"/>
      <c r="AZ136" s="309"/>
      <c r="BA136" s="309"/>
      <c r="BB136" s="309"/>
      <c r="BC136" s="309"/>
      <c r="BD136" s="309"/>
      <c r="BE136" s="309"/>
      <c r="BF136" s="309"/>
      <c r="BG136" s="309"/>
      <c r="BH136" s="124"/>
      <c r="BI136" s="41"/>
      <c r="BK136" s="412"/>
      <c r="BL136" s="413"/>
      <c r="BM136" s="414"/>
      <c r="BN136" s="412"/>
      <c r="BO136" s="413"/>
      <c r="BP136" s="414"/>
      <c r="BQ136" s="412"/>
      <c r="BR136" s="413"/>
      <c r="BS136" s="414"/>
      <c r="BT136" s="412"/>
      <c r="BU136" s="413"/>
      <c r="BV136" s="414"/>
      <c r="BW136" s="412"/>
      <c r="BX136" s="413"/>
      <c r="BY136" s="414"/>
      <c r="BZ136" s="412"/>
      <c r="CA136" s="413"/>
      <c r="CB136" s="414"/>
      <c r="CC136" s="412"/>
      <c r="CD136" s="413"/>
      <c r="CE136" s="414"/>
      <c r="CF136" s="412"/>
      <c r="CG136" s="413"/>
      <c r="CH136" s="414"/>
      <c r="CI136" s="412"/>
      <c r="CJ136" s="413"/>
      <c r="CK136" s="414"/>
      <c r="CL136" s="412"/>
      <c r="CM136" s="413"/>
      <c r="CN136" s="414"/>
      <c r="CO136" s="412"/>
      <c r="CP136" s="413"/>
      <c r="CQ136" s="414"/>
      <c r="CR136" s="412"/>
      <c r="CS136" s="413"/>
      <c r="CT136" s="414"/>
      <c r="CU136" s="412"/>
      <c r="CV136" s="413"/>
      <c r="CW136" s="414"/>
      <c r="CX136" s="412"/>
      <c r="CY136" s="413"/>
      <c r="CZ136" s="414"/>
      <c r="DA136" s="412"/>
      <c r="DB136" s="413"/>
      <c r="DC136" s="414"/>
      <c r="DD136" s="412"/>
      <c r="DE136" s="413"/>
      <c r="DF136" s="414"/>
      <c r="DH136" s="311"/>
      <c r="DI136" s="311"/>
      <c r="DJ136" s="311"/>
      <c r="DK136" s="311"/>
      <c r="DL136" s="321"/>
      <c r="DM136" s="321"/>
      <c r="DN136" s="321"/>
      <c r="DO136" s="321"/>
      <c r="DP136" s="321"/>
      <c r="DQ136" s="321"/>
      <c r="DR136" s="321"/>
      <c r="DS136" s="321"/>
    </row>
    <row r="137" spans="1:123" ht="7.4" customHeight="1" x14ac:dyDescent="0.5">
      <c r="A137" s="42"/>
      <c r="B137" s="42"/>
      <c r="C137" s="333"/>
      <c r="D137" s="333"/>
      <c r="E137" s="41"/>
      <c r="F137" s="42"/>
      <c r="G137" s="56"/>
      <c r="H137" s="56"/>
      <c r="I137" s="56"/>
      <c r="J137" s="56"/>
      <c r="K137" s="56"/>
      <c r="L137" s="56"/>
      <c r="M137" s="56"/>
      <c r="N137" s="56"/>
      <c r="O137" s="56"/>
      <c r="P137" s="56"/>
      <c r="Q137" s="56"/>
      <c r="R137" s="126"/>
      <c r="S137" s="42"/>
      <c r="T137" s="116" t="str">
        <f>VLOOKUP(G135,PL!$B$9:$BH$1265,33,FALSE)</f>
        <v>Aluminium, Railless</v>
      </c>
      <c r="AJ137" s="41"/>
      <c r="AK137" s="42"/>
      <c r="AL137" s="311"/>
      <c r="AM137" s="311"/>
      <c r="AN137" s="311"/>
      <c r="AO137" s="311"/>
      <c r="AP137" s="43"/>
      <c r="AQ137" s="42"/>
      <c r="AR137" s="131"/>
      <c r="AS137" s="131"/>
      <c r="AT137" s="131"/>
      <c r="AU137" s="131"/>
      <c r="AV137" s="131"/>
      <c r="AW137" s="131"/>
      <c r="AX137" s="105"/>
      <c r="AZ137" s="131"/>
      <c r="BA137" s="131"/>
      <c r="BB137" s="131"/>
      <c r="BC137" s="131"/>
      <c r="BD137" s="131"/>
      <c r="BE137" s="131"/>
      <c r="BF137" s="131"/>
      <c r="BG137" s="131"/>
      <c r="BH137" s="124"/>
      <c r="BI137" s="41"/>
      <c r="BK137" s="194"/>
      <c r="BL137" s="123"/>
      <c r="BM137" s="195"/>
      <c r="BN137" s="194"/>
      <c r="BO137" s="123"/>
      <c r="BP137" s="195"/>
      <c r="BQ137" s="194"/>
      <c r="BR137" s="123"/>
      <c r="BS137" s="195"/>
      <c r="BT137" s="194"/>
      <c r="BU137" s="123"/>
      <c r="BV137" s="195"/>
      <c r="BW137" s="194"/>
      <c r="BX137" s="123"/>
      <c r="BY137" s="195"/>
      <c r="BZ137" s="194"/>
      <c r="CA137" s="123"/>
      <c r="CB137" s="195"/>
      <c r="CC137" s="194"/>
      <c r="CD137" s="123"/>
      <c r="CE137" s="195"/>
      <c r="CF137" s="194"/>
      <c r="CG137" s="123"/>
      <c r="CH137" s="195"/>
      <c r="CI137" s="194"/>
      <c r="CJ137" s="123"/>
      <c r="CK137" s="195"/>
      <c r="CL137" s="194"/>
      <c r="CM137" s="123"/>
      <c r="CN137" s="195"/>
      <c r="CO137" s="194"/>
      <c r="CP137" s="123"/>
      <c r="CQ137" s="195"/>
      <c r="CR137" s="194"/>
      <c r="CS137" s="123"/>
      <c r="CT137" s="195"/>
      <c r="CU137" s="194"/>
      <c r="CV137" s="123"/>
      <c r="CW137" s="195"/>
      <c r="CX137" s="194"/>
      <c r="CY137" s="123"/>
      <c r="CZ137" s="195"/>
      <c r="DA137" s="194"/>
      <c r="DB137" s="123"/>
      <c r="DC137" s="195"/>
      <c r="DD137" s="194"/>
      <c r="DE137" s="123"/>
      <c r="DF137" s="195"/>
      <c r="DH137" s="311"/>
      <c r="DI137" s="311"/>
      <c r="DJ137" s="311"/>
      <c r="DK137" s="311"/>
      <c r="DL137" s="321"/>
      <c r="DM137" s="321"/>
      <c r="DN137" s="321"/>
      <c r="DO137" s="321"/>
      <c r="DP137" s="321"/>
      <c r="DQ137" s="321"/>
      <c r="DR137" s="321"/>
      <c r="DS137" s="321"/>
    </row>
    <row r="138" spans="1:123" ht="7.4" customHeight="1" x14ac:dyDescent="0.5">
      <c r="A138" s="42"/>
      <c r="B138" s="42"/>
      <c r="C138" s="55"/>
      <c r="D138" s="55"/>
      <c r="E138" s="41"/>
      <c r="F138" s="42"/>
      <c r="G138" s="56"/>
      <c r="H138" s="56"/>
      <c r="I138" s="56"/>
      <c r="J138" s="56"/>
      <c r="K138" s="56"/>
      <c r="L138" s="56"/>
      <c r="M138" s="56"/>
      <c r="N138" s="56"/>
      <c r="O138" s="56"/>
      <c r="P138" s="56"/>
      <c r="Q138" s="56"/>
      <c r="R138" s="126"/>
      <c r="S138" s="42"/>
      <c r="AC138" s="117"/>
      <c r="AJ138" s="41"/>
      <c r="AK138" s="42"/>
      <c r="AL138" s="311"/>
      <c r="AM138" s="311"/>
      <c r="AN138" s="311"/>
      <c r="AO138" s="311"/>
      <c r="AP138" s="43"/>
      <c r="AQ138" s="42"/>
      <c r="AR138" s="131"/>
      <c r="AS138" s="131"/>
      <c r="AT138" s="131"/>
      <c r="AU138" s="131"/>
      <c r="AV138" s="131"/>
      <c r="AW138" s="131"/>
      <c r="AX138" s="105"/>
      <c r="AZ138" s="131"/>
      <c r="BA138" s="131"/>
      <c r="BB138" s="131"/>
      <c r="BC138" s="131"/>
      <c r="BD138" s="131"/>
      <c r="BE138" s="131"/>
      <c r="BF138" s="131"/>
      <c r="BG138" s="131"/>
      <c r="BH138" s="124"/>
      <c r="BI138" s="41"/>
      <c r="BK138" s="194"/>
      <c r="BL138" s="123"/>
      <c r="BM138" s="195"/>
      <c r="BN138" s="196"/>
      <c r="BO138" s="153"/>
      <c r="BP138" s="197"/>
      <c r="BQ138" s="196"/>
      <c r="BR138" s="153"/>
      <c r="BS138" s="197"/>
      <c r="BT138" s="196"/>
      <c r="BU138" s="153"/>
      <c r="BV138" s="197"/>
      <c r="BW138" s="196"/>
      <c r="BX138" s="153"/>
      <c r="BY138" s="197"/>
      <c r="BZ138" s="196"/>
      <c r="CA138" s="153"/>
      <c r="CB138" s="197"/>
      <c r="CC138" s="196"/>
      <c r="CD138" s="153"/>
      <c r="CE138" s="197"/>
      <c r="CF138" s="196"/>
      <c r="CG138" s="153"/>
      <c r="CH138" s="197"/>
      <c r="CI138" s="196"/>
      <c r="CJ138" s="153"/>
      <c r="CK138" s="197"/>
      <c r="CL138" s="196"/>
      <c r="CM138" s="153"/>
      <c r="CN138" s="197"/>
      <c r="CO138" s="196"/>
      <c r="CP138" s="153"/>
      <c r="CQ138" s="197"/>
      <c r="CR138" s="196"/>
      <c r="CS138" s="153"/>
      <c r="CT138" s="197"/>
      <c r="CU138" s="196"/>
      <c r="CV138" s="153"/>
      <c r="CW138" s="197"/>
      <c r="CX138" s="196"/>
      <c r="CY138" s="153"/>
      <c r="CZ138" s="197"/>
      <c r="DA138" s="196"/>
      <c r="DB138" s="153"/>
      <c r="DC138" s="197"/>
      <c r="DD138" s="196"/>
      <c r="DE138" s="153"/>
      <c r="DF138" s="197"/>
      <c r="DL138" s="105"/>
      <c r="DM138" s="105"/>
      <c r="DN138" s="105"/>
      <c r="DO138" s="105"/>
      <c r="DP138" s="105"/>
      <c r="DQ138" s="105"/>
      <c r="DR138" s="105"/>
      <c r="DS138" s="105"/>
    </row>
    <row r="139" spans="1:123" ht="7.4" customHeight="1" x14ac:dyDescent="0.5">
      <c r="A139" s="42"/>
      <c r="B139" s="42"/>
      <c r="C139" s="311">
        <f>C135+1</f>
        <v>6</v>
      </c>
      <c r="D139" s="311"/>
      <c r="E139" s="41"/>
      <c r="F139" s="42"/>
      <c r="G139" s="319" t="str">
        <f>IF($N$74="Included","AXE_CE_CF_"&amp;$AM$45,"AXE_CE_AP_"&amp;$AM$45)&amp;"_AL"</f>
        <v>AXE_CE_AP_30_AL</v>
      </c>
      <c r="H139" s="319"/>
      <c r="I139" s="319"/>
      <c r="J139" s="319"/>
      <c r="K139" s="319"/>
      <c r="L139" s="319"/>
      <c r="M139" s="319"/>
      <c r="N139" s="319"/>
      <c r="O139" s="319"/>
      <c r="P139" s="319"/>
      <c r="Q139" s="319"/>
      <c r="R139" s="320"/>
      <c r="S139" s="42"/>
      <c r="T139" s="405" t="str">
        <f>VLOOKUP(G139,PL!$B$9:$BH$1265,14,FALSE)</f>
        <v>End Clamp</v>
      </c>
      <c r="U139" s="405"/>
      <c r="V139" s="405"/>
      <c r="W139" s="405"/>
      <c r="X139" s="405"/>
      <c r="Y139" s="405"/>
      <c r="Z139" s="405"/>
      <c r="AA139" s="405"/>
      <c r="AB139" s="405"/>
      <c r="AC139" s="405"/>
      <c r="AD139" s="405"/>
      <c r="AE139" s="405"/>
      <c r="AF139" s="405"/>
      <c r="AG139" s="405"/>
      <c r="AH139" s="405"/>
      <c r="AI139" s="405"/>
      <c r="AJ139" s="411"/>
      <c r="AK139" s="42"/>
      <c r="AL139" s="311">
        <f>ROUND(SUM(BK139:DF139)*(1+$BF$76),0)</f>
        <v>412</v>
      </c>
      <c r="AM139" s="311"/>
      <c r="AN139" s="311"/>
      <c r="AO139" s="311"/>
      <c r="AP139" s="43"/>
      <c r="AQ139" s="128"/>
      <c r="AR139" s="308" t="str">
        <f>VLOOKUP(G139,PL!$B$9:$BH$818,52,FALSE)</f>
        <v>SOL-58011</v>
      </c>
      <c r="AS139" s="309"/>
      <c r="AT139" s="309"/>
      <c r="AU139" s="309"/>
      <c r="AV139" s="309"/>
      <c r="AW139" s="309"/>
      <c r="AX139" s="309"/>
      <c r="AY139" s="309"/>
      <c r="AZ139" s="309"/>
      <c r="BA139" s="309"/>
      <c r="BB139" s="309"/>
      <c r="BC139" s="309"/>
      <c r="BD139" s="309"/>
      <c r="BE139" s="309"/>
      <c r="BF139" s="309"/>
      <c r="BG139" s="309"/>
      <c r="BH139" s="124"/>
      <c r="BI139" s="41"/>
      <c r="BK139" s="412">
        <f>M58*4*M54</f>
        <v>400</v>
      </c>
      <c r="BL139" s="413"/>
      <c r="BM139" s="414"/>
      <c r="BN139" s="412">
        <f>P58*4*P54</f>
        <v>0</v>
      </c>
      <c r="BO139" s="413"/>
      <c r="BP139" s="414"/>
      <c r="BQ139" s="412">
        <f>S58*4*S54</f>
        <v>0</v>
      </c>
      <c r="BR139" s="413"/>
      <c r="BS139" s="414"/>
      <c r="BT139" s="412">
        <f>V58*4*V54</f>
        <v>0</v>
      </c>
      <c r="BU139" s="413"/>
      <c r="BV139" s="414"/>
      <c r="BW139" s="412">
        <f>Y58*4*Y54</f>
        <v>0</v>
      </c>
      <c r="BX139" s="413"/>
      <c r="BY139" s="414"/>
      <c r="BZ139" s="412">
        <f>AB58*4*AB54</f>
        <v>0</v>
      </c>
      <c r="CA139" s="413"/>
      <c r="CB139" s="414"/>
      <c r="CC139" s="412">
        <f>AE58*4*AE54</f>
        <v>0</v>
      </c>
      <c r="CD139" s="413"/>
      <c r="CE139" s="414"/>
      <c r="CF139" s="412">
        <f>AH58*4*AH54</f>
        <v>0</v>
      </c>
      <c r="CG139" s="413"/>
      <c r="CH139" s="414"/>
      <c r="CI139" s="412">
        <f>AK58*4*AK54</f>
        <v>0</v>
      </c>
      <c r="CJ139" s="413"/>
      <c r="CK139" s="414"/>
      <c r="CL139" s="412">
        <f>AN58*4*AN54</f>
        <v>0</v>
      </c>
      <c r="CM139" s="413"/>
      <c r="CN139" s="414"/>
      <c r="CO139" s="412">
        <f>AQ58*4*AQ54</f>
        <v>0</v>
      </c>
      <c r="CP139" s="413"/>
      <c r="CQ139" s="414"/>
      <c r="CR139" s="412">
        <f>AT58*4*AT54</f>
        <v>0</v>
      </c>
      <c r="CS139" s="413"/>
      <c r="CT139" s="414"/>
      <c r="CU139" s="412">
        <f>AW58*4*AW54</f>
        <v>0</v>
      </c>
      <c r="CV139" s="413"/>
      <c r="CW139" s="414"/>
      <c r="CX139" s="412">
        <f>AZ58*4*AZ54</f>
        <v>0</v>
      </c>
      <c r="CY139" s="413"/>
      <c r="CZ139" s="414"/>
      <c r="DA139" s="412">
        <f>BC58*4*BC54</f>
        <v>0</v>
      </c>
      <c r="DB139" s="413"/>
      <c r="DC139" s="414"/>
      <c r="DD139" s="412">
        <f>BF58*4*BF54</f>
        <v>0</v>
      </c>
      <c r="DE139" s="413"/>
      <c r="DF139" s="414"/>
      <c r="DH139" s="311"/>
      <c r="DI139" s="311"/>
      <c r="DJ139" s="311"/>
      <c r="DK139" s="311"/>
      <c r="DL139" s="321"/>
      <c r="DM139" s="321"/>
      <c r="DN139" s="321"/>
      <c r="DO139" s="321"/>
      <c r="DP139" s="321"/>
      <c r="DQ139" s="321"/>
      <c r="DR139" s="321"/>
      <c r="DS139" s="321"/>
    </row>
    <row r="140" spans="1:123" ht="7.4" customHeight="1" x14ac:dyDescent="0.5">
      <c r="A140" s="42"/>
      <c r="B140" s="42"/>
      <c r="C140" s="311"/>
      <c r="D140" s="311"/>
      <c r="E140" s="41"/>
      <c r="F140" s="42"/>
      <c r="G140" s="319"/>
      <c r="H140" s="319"/>
      <c r="I140" s="319"/>
      <c r="J140" s="319"/>
      <c r="K140" s="319"/>
      <c r="L140" s="319"/>
      <c r="M140" s="319"/>
      <c r="N140" s="319"/>
      <c r="O140" s="319"/>
      <c r="P140" s="319"/>
      <c r="Q140" s="319"/>
      <c r="R140" s="320"/>
      <c r="S140" s="42"/>
      <c r="T140" s="405"/>
      <c r="U140" s="405"/>
      <c r="V140" s="405"/>
      <c r="W140" s="405"/>
      <c r="X140" s="405"/>
      <c r="Y140" s="405"/>
      <c r="Z140" s="405"/>
      <c r="AA140" s="405"/>
      <c r="AB140" s="405"/>
      <c r="AC140" s="405"/>
      <c r="AD140" s="405"/>
      <c r="AE140" s="405"/>
      <c r="AF140" s="405"/>
      <c r="AG140" s="405"/>
      <c r="AH140" s="405"/>
      <c r="AI140" s="405"/>
      <c r="AJ140" s="411"/>
      <c r="AK140" s="42"/>
      <c r="AL140" s="311"/>
      <c r="AM140" s="311"/>
      <c r="AN140" s="311"/>
      <c r="AO140" s="311"/>
      <c r="AP140" s="43"/>
      <c r="AQ140" s="128"/>
      <c r="AR140" s="309"/>
      <c r="AS140" s="309"/>
      <c r="AT140" s="309"/>
      <c r="AU140" s="309"/>
      <c r="AV140" s="309"/>
      <c r="AW140" s="309"/>
      <c r="AX140" s="309"/>
      <c r="AY140" s="309"/>
      <c r="AZ140" s="309"/>
      <c r="BA140" s="309"/>
      <c r="BB140" s="309"/>
      <c r="BC140" s="309"/>
      <c r="BD140" s="309"/>
      <c r="BE140" s="309"/>
      <c r="BF140" s="309"/>
      <c r="BG140" s="309"/>
      <c r="BH140" s="124"/>
      <c r="BI140" s="41"/>
      <c r="BK140" s="412"/>
      <c r="BL140" s="413"/>
      <c r="BM140" s="414"/>
      <c r="BN140" s="412"/>
      <c r="BO140" s="413"/>
      <c r="BP140" s="414"/>
      <c r="BQ140" s="412"/>
      <c r="BR140" s="413"/>
      <c r="BS140" s="414"/>
      <c r="BT140" s="412"/>
      <c r="BU140" s="413"/>
      <c r="BV140" s="414"/>
      <c r="BW140" s="412"/>
      <c r="BX140" s="413"/>
      <c r="BY140" s="414"/>
      <c r="BZ140" s="412"/>
      <c r="CA140" s="413"/>
      <c r="CB140" s="414"/>
      <c r="CC140" s="412"/>
      <c r="CD140" s="413"/>
      <c r="CE140" s="414"/>
      <c r="CF140" s="412"/>
      <c r="CG140" s="413"/>
      <c r="CH140" s="414"/>
      <c r="CI140" s="412"/>
      <c r="CJ140" s="413"/>
      <c r="CK140" s="414"/>
      <c r="CL140" s="412"/>
      <c r="CM140" s="413"/>
      <c r="CN140" s="414"/>
      <c r="CO140" s="412"/>
      <c r="CP140" s="413"/>
      <c r="CQ140" s="414"/>
      <c r="CR140" s="412"/>
      <c r="CS140" s="413"/>
      <c r="CT140" s="414"/>
      <c r="CU140" s="412"/>
      <c r="CV140" s="413"/>
      <c r="CW140" s="414"/>
      <c r="CX140" s="412"/>
      <c r="CY140" s="413"/>
      <c r="CZ140" s="414"/>
      <c r="DA140" s="412"/>
      <c r="DB140" s="413"/>
      <c r="DC140" s="414"/>
      <c r="DD140" s="412"/>
      <c r="DE140" s="413"/>
      <c r="DF140" s="414"/>
      <c r="DH140" s="311"/>
      <c r="DI140" s="311"/>
      <c r="DJ140" s="311"/>
      <c r="DK140" s="311"/>
      <c r="DL140" s="321"/>
      <c r="DM140" s="321"/>
      <c r="DN140" s="321"/>
      <c r="DO140" s="321"/>
      <c r="DP140" s="321"/>
      <c r="DQ140" s="321"/>
      <c r="DR140" s="321"/>
      <c r="DS140" s="321"/>
    </row>
    <row r="141" spans="1:123" ht="7.4" customHeight="1" x14ac:dyDescent="0.5">
      <c r="A141" s="42"/>
      <c r="B141" s="42"/>
      <c r="C141" s="55"/>
      <c r="D141" s="55"/>
      <c r="E141" s="41"/>
      <c r="F141" s="42"/>
      <c r="G141" s="56"/>
      <c r="H141" s="56"/>
      <c r="I141" s="56"/>
      <c r="J141" s="56"/>
      <c r="K141" s="56"/>
      <c r="L141" s="56"/>
      <c r="M141" s="56"/>
      <c r="N141" s="56"/>
      <c r="O141" s="56"/>
      <c r="P141" s="56"/>
      <c r="Q141" s="56"/>
      <c r="R141" s="126"/>
      <c r="S141" s="42"/>
      <c r="T141" s="116" t="str">
        <f>VLOOKUP(G139,PL!$B$9:$BH$1265,33,FALSE)</f>
        <v>Aluminium, All purpose, 30mm high</v>
      </c>
      <c r="AJ141" s="41"/>
      <c r="AK141" s="42"/>
      <c r="AL141" s="311"/>
      <c r="AM141" s="311"/>
      <c r="AN141" s="311"/>
      <c r="AO141" s="311"/>
      <c r="AP141" s="43"/>
      <c r="AQ141" s="42"/>
      <c r="AR141" s="131"/>
      <c r="AS141" s="131"/>
      <c r="AT141" s="131"/>
      <c r="AU141" s="131"/>
      <c r="AV141" s="131"/>
      <c r="AW141" s="131"/>
      <c r="AX141" s="105"/>
      <c r="AZ141" s="131"/>
      <c r="BA141" s="131"/>
      <c r="BB141" s="131"/>
      <c r="BC141" s="131"/>
      <c r="BD141" s="131"/>
      <c r="BE141" s="131"/>
      <c r="BF141" s="131"/>
      <c r="BG141" s="131"/>
      <c r="BH141" s="124"/>
      <c r="BI141" s="41"/>
      <c r="BK141" s="194"/>
      <c r="BL141" s="123"/>
      <c r="BM141" s="195"/>
      <c r="BN141" s="194"/>
      <c r="BO141" s="123"/>
      <c r="BP141" s="195"/>
      <c r="BQ141" s="194"/>
      <c r="BR141" s="123"/>
      <c r="BS141" s="195"/>
      <c r="BT141" s="194"/>
      <c r="BU141" s="123"/>
      <c r="BV141" s="195"/>
      <c r="BW141" s="194"/>
      <c r="BX141" s="123"/>
      <c r="BY141" s="195"/>
      <c r="BZ141" s="194"/>
      <c r="CA141" s="123"/>
      <c r="CB141" s="195"/>
      <c r="CC141" s="194"/>
      <c r="CD141" s="123"/>
      <c r="CE141" s="195"/>
      <c r="CF141" s="194"/>
      <c r="CG141" s="123"/>
      <c r="CH141" s="195"/>
      <c r="CI141" s="194"/>
      <c r="CJ141" s="123"/>
      <c r="CK141" s="195"/>
      <c r="CL141" s="194"/>
      <c r="CM141" s="123"/>
      <c r="CN141" s="195"/>
      <c r="CO141" s="194"/>
      <c r="CP141" s="123"/>
      <c r="CQ141" s="195"/>
      <c r="CR141" s="194"/>
      <c r="CS141" s="123"/>
      <c r="CT141" s="195"/>
      <c r="CU141" s="194"/>
      <c r="CV141" s="123"/>
      <c r="CW141" s="195"/>
      <c r="CX141" s="194"/>
      <c r="CY141" s="123"/>
      <c r="CZ141" s="195"/>
      <c r="DA141" s="194"/>
      <c r="DB141" s="123"/>
      <c r="DC141" s="195"/>
      <c r="DD141" s="194"/>
      <c r="DE141" s="123"/>
      <c r="DF141" s="195"/>
      <c r="DH141" s="311"/>
      <c r="DI141" s="311"/>
      <c r="DJ141" s="311"/>
      <c r="DK141" s="311"/>
      <c r="DL141" s="321"/>
      <c r="DM141" s="321"/>
      <c r="DN141" s="321"/>
      <c r="DO141" s="321"/>
      <c r="DP141" s="321"/>
      <c r="DQ141" s="321"/>
      <c r="DR141" s="321"/>
      <c r="DS141" s="321"/>
    </row>
    <row r="142" spans="1:123" ht="7.4" customHeight="1" x14ac:dyDescent="0.5">
      <c r="A142" s="42"/>
      <c r="B142" s="42"/>
      <c r="C142" s="55"/>
      <c r="D142" s="55"/>
      <c r="E142" s="41"/>
      <c r="F142" s="42"/>
      <c r="G142" s="56"/>
      <c r="H142" s="56"/>
      <c r="I142" s="56"/>
      <c r="J142" s="56"/>
      <c r="K142" s="56"/>
      <c r="L142" s="56"/>
      <c r="M142" s="56"/>
      <c r="N142" s="56"/>
      <c r="O142" s="56"/>
      <c r="P142" s="56"/>
      <c r="Q142" s="56"/>
      <c r="R142" s="126"/>
      <c r="S142" s="42"/>
      <c r="AJ142" s="41"/>
      <c r="AK142" s="42"/>
      <c r="AL142" s="311"/>
      <c r="AM142" s="311"/>
      <c r="AN142" s="311"/>
      <c r="AO142" s="311"/>
      <c r="AP142" s="43"/>
      <c r="AQ142" s="42"/>
      <c r="AR142" s="131"/>
      <c r="AS142" s="131"/>
      <c r="AT142" s="131"/>
      <c r="AU142" s="131"/>
      <c r="AV142" s="131"/>
      <c r="AW142" s="131"/>
      <c r="AX142" s="105"/>
      <c r="AZ142" s="131"/>
      <c r="BA142" s="131"/>
      <c r="BB142" s="131"/>
      <c r="BC142" s="131"/>
      <c r="BD142" s="131"/>
      <c r="BE142" s="131"/>
      <c r="BF142" s="131"/>
      <c r="BG142" s="131"/>
      <c r="BH142" s="124"/>
      <c r="BI142" s="41"/>
      <c r="BK142" s="194"/>
      <c r="BL142" s="123"/>
      <c r="BM142" s="195"/>
      <c r="BN142" s="194"/>
      <c r="BO142" s="123"/>
      <c r="BP142" s="195"/>
      <c r="BQ142" s="194"/>
      <c r="BR142" s="123"/>
      <c r="BS142" s="195"/>
      <c r="BT142" s="194"/>
      <c r="BU142" s="123"/>
      <c r="BV142" s="195"/>
      <c r="BW142" s="194"/>
      <c r="BX142" s="123"/>
      <c r="BY142" s="195"/>
      <c r="BZ142" s="194"/>
      <c r="CA142" s="123"/>
      <c r="CB142" s="195"/>
      <c r="CC142" s="194"/>
      <c r="CD142" s="123"/>
      <c r="CE142" s="195"/>
      <c r="CF142" s="194"/>
      <c r="CG142" s="123"/>
      <c r="CH142" s="195"/>
      <c r="CI142" s="194"/>
      <c r="CJ142" s="123"/>
      <c r="CK142" s="195"/>
      <c r="CL142" s="194"/>
      <c r="CM142" s="123"/>
      <c r="CN142" s="195"/>
      <c r="CO142" s="194"/>
      <c r="CP142" s="123"/>
      <c r="CQ142" s="195"/>
      <c r="CR142" s="194"/>
      <c r="CS142" s="123"/>
      <c r="CT142" s="195"/>
      <c r="CU142" s="194"/>
      <c r="CV142" s="123"/>
      <c r="CW142" s="195"/>
      <c r="CX142" s="194"/>
      <c r="CY142" s="123"/>
      <c r="CZ142" s="195"/>
      <c r="DA142" s="194"/>
      <c r="DB142" s="123"/>
      <c r="DC142" s="195"/>
      <c r="DD142" s="194"/>
      <c r="DE142" s="123"/>
      <c r="DF142" s="195"/>
      <c r="DL142" s="105"/>
      <c r="DM142" s="105"/>
      <c r="DN142" s="105"/>
      <c r="DO142" s="105"/>
      <c r="DP142" s="105"/>
      <c r="DQ142" s="105"/>
      <c r="DR142" s="105"/>
      <c r="DS142" s="105"/>
    </row>
    <row r="143" spans="1:123" ht="7.4" customHeight="1" x14ac:dyDescent="0.5">
      <c r="A143" s="42"/>
      <c r="B143" s="42"/>
      <c r="C143" s="311">
        <f>C139+1</f>
        <v>7</v>
      </c>
      <c r="D143" s="311"/>
      <c r="E143" s="41"/>
      <c r="F143" s="42"/>
      <c r="G143" s="319" t="str">
        <f>IF(AL143=0,"N/A","AXE_DP_"
&amp;IF($X$78="Frameless","FL","FD")&amp;"_"&amp;$AO$31&amp;"_"
&amp;IF(ROUNDUP($W$45/100,0)*100&lt;=2000,2000,
IF(ROUNDUP($W$45/100,0)*100&lt;=2100,2100,
IF(ROUNDUP($W$45/100,0)*100&lt;=2200,2200,
IF(ROUNDUP($W$45/100,0)*100&lt;=2300,2300,2400))))
&amp;IF(N78="Chromadek","_SC","_AL"))</f>
        <v>N/A</v>
      </c>
      <c r="H143" s="319"/>
      <c r="I143" s="319"/>
      <c r="J143" s="319"/>
      <c r="K143" s="319"/>
      <c r="L143" s="319"/>
      <c r="M143" s="319"/>
      <c r="N143" s="319"/>
      <c r="O143" s="319"/>
      <c r="P143" s="319"/>
      <c r="Q143" s="319"/>
      <c r="R143" s="320"/>
      <c r="S143" s="42"/>
      <c r="T143" s="405" t="str">
        <f>VLOOKUP(G143,PL!$B$9:$BH$1265,14,FALSE)</f>
        <v>No Item</v>
      </c>
      <c r="U143" s="405"/>
      <c r="V143" s="405"/>
      <c r="W143" s="405"/>
      <c r="X143" s="405"/>
      <c r="Y143" s="405"/>
      <c r="Z143" s="405"/>
      <c r="AA143" s="405"/>
      <c r="AB143" s="405"/>
      <c r="AC143" s="405"/>
      <c r="AD143" s="405"/>
      <c r="AE143" s="405"/>
      <c r="AF143" s="405"/>
      <c r="AG143" s="405"/>
      <c r="AH143" s="405"/>
      <c r="AI143" s="405"/>
      <c r="AJ143" s="411"/>
      <c r="AK143" s="42"/>
      <c r="AL143" s="311">
        <f>SUM(BK143:DF144)</f>
        <v>0</v>
      </c>
      <c r="AM143" s="311"/>
      <c r="AN143" s="311"/>
      <c r="AO143" s="311"/>
      <c r="AP143" s="43"/>
      <c r="AQ143" s="128"/>
      <c r="AR143" s="308" t="str">
        <f>VLOOKUP(G143,PL!$B$9:$BH$818,52,FALSE)</f>
        <v>-</v>
      </c>
      <c r="AS143" s="309"/>
      <c r="AT143" s="309"/>
      <c r="AU143" s="309"/>
      <c r="AV143" s="309"/>
      <c r="AW143" s="309"/>
      <c r="AX143" s="309"/>
      <c r="AY143" s="309"/>
      <c r="AZ143" s="309"/>
      <c r="BA143" s="309"/>
      <c r="BB143" s="309"/>
      <c r="BC143" s="309"/>
      <c r="BD143" s="309"/>
      <c r="BE143" s="309"/>
      <c r="BF143" s="309"/>
      <c r="BG143" s="309"/>
      <c r="BH143" s="124"/>
      <c r="BI143" s="41"/>
      <c r="BK143" s="412">
        <f>IF($N$78="Not Included",0,1)*IF($AV$28="Mono-pitch",M54*M58,0)</f>
        <v>0</v>
      </c>
      <c r="BL143" s="413"/>
      <c r="BM143" s="414"/>
      <c r="BN143" s="412">
        <f>IF($N$78="Not Included",0,1)*IF($AV$28="Mono-pitch",P54*P58,0)</f>
        <v>0</v>
      </c>
      <c r="BO143" s="413"/>
      <c r="BP143" s="414"/>
      <c r="BQ143" s="412">
        <f>IF($N$78="Not Included",0,1)*IF($AV$28="Mono-pitch",S54*S58,0)</f>
        <v>0</v>
      </c>
      <c r="BR143" s="413"/>
      <c r="BS143" s="414"/>
      <c r="BT143" s="412">
        <f>IF($N$78="Not Included",0,1)*IF($AV$28="Mono-pitch",V54*V58,0)</f>
        <v>0</v>
      </c>
      <c r="BU143" s="413"/>
      <c r="BV143" s="414"/>
      <c r="BW143" s="412">
        <f>IF($N$78="Not Included",0,1)*IF($AV$28="Mono-pitch",Y54*Y58,0)</f>
        <v>0</v>
      </c>
      <c r="BX143" s="413"/>
      <c r="BY143" s="414"/>
      <c r="BZ143" s="412">
        <f>IF($N$78="Not Included",0,1)*IF($AV$28="Mono-pitch",AB54*AB58,0)</f>
        <v>0</v>
      </c>
      <c r="CA143" s="413"/>
      <c r="CB143" s="414"/>
      <c r="CC143" s="412">
        <f>IF($N$78="Not Included",0,1)*IF($AV$28="Mono-pitch",AE54*AE58,0)</f>
        <v>0</v>
      </c>
      <c r="CD143" s="413"/>
      <c r="CE143" s="414"/>
      <c r="CF143" s="412">
        <f>IF($N$78="Not Included",0,1)*IF($AV$28="Mono-pitch",AH54*AH58,0)</f>
        <v>0</v>
      </c>
      <c r="CG143" s="413"/>
      <c r="CH143" s="414"/>
      <c r="CI143" s="412">
        <f>IF($N$78="Not Included",0,1)*IF($AV$28="Mono-pitch",AK54*AK58,0)</f>
        <v>0</v>
      </c>
      <c r="CJ143" s="413"/>
      <c r="CK143" s="414"/>
      <c r="CL143" s="412">
        <f>IF($N$78="Not Included",0,1)*IF($AV$28="Mono-pitch",AN54*AN58,0)</f>
        <v>0</v>
      </c>
      <c r="CM143" s="413"/>
      <c r="CN143" s="414"/>
      <c r="CO143" s="412">
        <f>IF($N$78="Not Included",0,1)*IF($AV$28="Mono-pitch",AQ54*AQ58,0)</f>
        <v>0</v>
      </c>
      <c r="CP143" s="413"/>
      <c r="CQ143" s="414"/>
      <c r="CR143" s="412">
        <f>IF($N$78="Not Included",0,1)*IF($AV$28="Mono-pitch",AT54*AT58,0)</f>
        <v>0</v>
      </c>
      <c r="CS143" s="413"/>
      <c r="CT143" s="414"/>
      <c r="CU143" s="412">
        <f>IF($N$78="Not Included",0,1)*IF($AV$28="Mono-pitch",AW54*AW58,0)</f>
        <v>0</v>
      </c>
      <c r="CV143" s="413"/>
      <c r="CW143" s="414"/>
      <c r="CX143" s="412">
        <f>IF($N$78="Not Included",0,1)*IF($AV$28="Mono-pitch",AZ54*AZ58,0)</f>
        <v>0</v>
      </c>
      <c r="CY143" s="413"/>
      <c r="CZ143" s="414"/>
      <c r="DA143" s="412">
        <f>IF($N$78="Not Included",0,1)*IF($AV$28="Mono-pitch",BC54*BC58,0)</f>
        <v>0</v>
      </c>
      <c r="DB143" s="413"/>
      <c r="DC143" s="414"/>
      <c r="DD143" s="412">
        <f>IF($N$78="Not Included",0,1)*IF($AV$28="Mono-pitch",BF54*BF58,0)</f>
        <v>0</v>
      </c>
      <c r="DE143" s="413"/>
      <c r="DF143" s="414"/>
      <c r="DH143" s="311"/>
      <c r="DI143" s="311"/>
      <c r="DJ143" s="311"/>
      <c r="DK143" s="311"/>
      <c r="DL143" s="321"/>
      <c r="DM143" s="321"/>
      <c r="DN143" s="321"/>
      <c r="DO143" s="321"/>
      <c r="DP143" s="321"/>
      <c r="DQ143" s="321"/>
      <c r="DR143" s="321"/>
      <c r="DS143" s="321"/>
    </row>
    <row r="144" spans="1:123" ht="7.4" customHeight="1" x14ac:dyDescent="0.5">
      <c r="A144" s="42"/>
      <c r="B144" s="42"/>
      <c r="C144" s="311"/>
      <c r="D144" s="311"/>
      <c r="E144" s="41"/>
      <c r="F144" s="42"/>
      <c r="G144" s="319"/>
      <c r="H144" s="319"/>
      <c r="I144" s="319"/>
      <c r="J144" s="319"/>
      <c r="K144" s="319"/>
      <c r="L144" s="319"/>
      <c r="M144" s="319"/>
      <c r="N144" s="319"/>
      <c r="O144" s="319"/>
      <c r="P144" s="319"/>
      <c r="Q144" s="319"/>
      <c r="R144" s="320"/>
      <c r="S144" s="42"/>
      <c r="T144" s="405"/>
      <c r="U144" s="405"/>
      <c r="V144" s="405"/>
      <c r="W144" s="405"/>
      <c r="X144" s="405"/>
      <c r="Y144" s="405"/>
      <c r="Z144" s="405"/>
      <c r="AA144" s="405"/>
      <c r="AB144" s="405"/>
      <c r="AC144" s="405"/>
      <c r="AD144" s="405"/>
      <c r="AE144" s="405"/>
      <c r="AF144" s="405"/>
      <c r="AG144" s="405"/>
      <c r="AH144" s="405"/>
      <c r="AI144" s="405"/>
      <c r="AJ144" s="411"/>
      <c r="AK144" s="42"/>
      <c r="AL144" s="311"/>
      <c r="AM144" s="311"/>
      <c r="AN144" s="311"/>
      <c r="AO144" s="311"/>
      <c r="AP144" s="43"/>
      <c r="AQ144" s="128"/>
      <c r="AR144" s="309"/>
      <c r="AS144" s="309"/>
      <c r="AT144" s="309"/>
      <c r="AU144" s="309"/>
      <c r="AV144" s="309"/>
      <c r="AW144" s="309"/>
      <c r="AX144" s="309"/>
      <c r="AY144" s="309"/>
      <c r="AZ144" s="309"/>
      <c r="BA144" s="309"/>
      <c r="BB144" s="309"/>
      <c r="BC144" s="309"/>
      <c r="BD144" s="309"/>
      <c r="BE144" s="309"/>
      <c r="BF144" s="309"/>
      <c r="BG144" s="309"/>
      <c r="BH144" s="124"/>
      <c r="BI144" s="41"/>
      <c r="BK144" s="412"/>
      <c r="BL144" s="413"/>
      <c r="BM144" s="414"/>
      <c r="BN144" s="412"/>
      <c r="BO144" s="413"/>
      <c r="BP144" s="414"/>
      <c r="BQ144" s="412"/>
      <c r="BR144" s="413"/>
      <c r="BS144" s="414"/>
      <c r="BT144" s="412"/>
      <c r="BU144" s="413"/>
      <c r="BV144" s="414"/>
      <c r="BW144" s="412"/>
      <c r="BX144" s="413"/>
      <c r="BY144" s="414"/>
      <c r="BZ144" s="412"/>
      <c r="CA144" s="413"/>
      <c r="CB144" s="414"/>
      <c r="CC144" s="412"/>
      <c r="CD144" s="413"/>
      <c r="CE144" s="414"/>
      <c r="CF144" s="412"/>
      <c r="CG144" s="413"/>
      <c r="CH144" s="414"/>
      <c r="CI144" s="412"/>
      <c r="CJ144" s="413"/>
      <c r="CK144" s="414"/>
      <c r="CL144" s="412"/>
      <c r="CM144" s="413"/>
      <c r="CN144" s="414"/>
      <c r="CO144" s="412"/>
      <c r="CP144" s="413"/>
      <c r="CQ144" s="414"/>
      <c r="CR144" s="412"/>
      <c r="CS144" s="413"/>
      <c r="CT144" s="414"/>
      <c r="CU144" s="412"/>
      <c r="CV144" s="413"/>
      <c r="CW144" s="414"/>
      <c r="CX144" s="412"/>
      <c r="CY144" s="413"/>
      <c r="CZ144" s="414"/>
      <c r="DA144" s="412"/>
      <c r="DB144" s="413"/>
      <c r="DC144" s="414"/>
      <c r="DD144" s="412"/>
      <c r="DE144" s="413"/>
      <c r="DF144" s="414"/>
      <c r="DH144" s="311"/>
      <c r="DI144" s="311"/>
      <c r="DJ144" s="311"/>
      <c r="DK144" s="311"/>
      <c r="DL144" s="321"/>
      <c r="DM144" s="321"/>
      <c r="DN144" s="321"/>
      <c r="DO144" s="321"/>
      <c r="DP144" s="321"/>
      <c r="DQ144" s="321"/>
      <c r="DR144" s="321"/>
      <c r="DS144" s="321"/>
    </row>
    <row r="145" spans="1:123" ht="7.4" customHeight="1" x14ac:dyDescent="0.5">
      <c r="A145" s="42"/>
      <c r="B145" s="42"/>
      <c r="C145" s="333"/>
      <c r="D145" s="333"/>
      <c r="E145" s="41"/>
      <c r="F145" s="42"/>
      <c r="G145" s="56"/>
      <c r="H145" s="56"/>
      <c r="I145" s="56"/>
      <c r="J145" s="56"/>
      <c r="K145" s="56"/>
      <c r="L145" s="56"/>
      <c r="M145" s="56"/>
      <c r="N145" s="56"/>
      <c r="O145" s="56"/>
      <c r="P145" s="56"/>
      <c r="Q145" s="56"/>
      <c r="R145" s="126"/>
      <c r="S145" s="42"/>
      <c r="T145" s="116" t="str">
        <f>VLOOKUP(G143,PL!$B$9:$BH$1265,33,FALSE)</f>
        <v>.</v>
      </c>
      <c r="AJ145" s="41"/>
      <c r="AK145" s="42"/>
      <c r="AL145" s="311"/>
      <c r="AM145" s="311"/>
      <c r="AN145" s="311"/>
      <c r="AO145" s="311"/>
      <c r="AP145" s="43"/>
      <c r="AQ145" s="42"/>
      <c r="AR145" s="131"/>
      <c r="AS145" s="131"/>
      <c r="AT145" s="131"/>
      <c r="AU145" s="131"/>
      <c r="AV145" s="131"/>
      <c r="AW145" s="131"/>
      <c r="AX145" s="105"/>
      <c r="AZ145" s="131"/>
      <c r="BA145" s="131"/>
      <c r="BB145" s="131"/>
      <c r="BC145" s="131"/>
      <c r="BD145" s="131"/>
      <c r="BE145" s="131"/>
      <c r="BF145" s="131"/>
      <c r="BG145" s="131"/>
      <c r="BH145" s="124"/>
      <c r="BI145" s="41"/>
      <c r="BK145" s="194"/>
      <c r="BL145" s="123"/>
      <c r="BM145" s="195"/>
      <c r="BN145" s="194"/>
      <c r="BO145" s="123"/>
      <c r="BP145" s="195"/>
      <c r="BQ145" s="194"/>
      <c r="BR145" s="123"/>
      <c r="BS145" s="195"/>
      <c r="BT145" s="194"/>
      <c r="BU145" s="123"/>
      <c r="BV145" s="195"/>
      <c r="BW145" s="194"/>
      <c r="BX145" s="123"/>
      <c r="BY145" s="195"/>
      <c r="BZ145" s="194"/>
      <c r="CA145" s="123"/>
      <c r="CB145" s="195"/>
      <c r="CC145" s="194"/>
      <c r="CD145" s="123"/>
      <c r="CE145" s="195"/>
      <c r="CF145" s="194"/>
      <c r="CG145" s="123"/>
      <c r="CH145" s="195"/>
      <c r="CI145" s="194"/>
      <c r="CJ145" s="123"/>
      <c r="CK145" s="195"/>
      <c r="CL145" s="194"/>
      <c r="CM145" s="123"/>
      <c r="CN145" s="195"/>
      <c r="CO145" s="194"/>
      <c r="CP145" s="123"/>
      <c r="CQ145" s="195"/>
      <c r="CR145" s="194"/>
      <c r="CS145" s="123"/>
      <c r="CT145" s="195"/>
      <c r="CU145" s="194"/>
      <c r="CV145" s="123"/>
      <c r="CW145" s="195"/>
      <c r="CX145" s="194"/>
      <c r="CY145" s="123"/>
      <c r="CZ145" s="195"/>
      <c r="DA145" s="194"/>
      <c r="DB145" s="123"/>
      <c r="DC145" s="195"/>
      <c r="DD145" s="194"/>
      <c r="DE145" s="123"/>
      <c r="DF145" s="195"/>
      <c r="DH145" s="311"/>
      <c r="DI145" s="311"/>
      <c r="DJ145" s="311"/>
      <c r="DK145" s="311"/>
      <c r="DL145" s="321"/>
      <c r="DM145" s="321"/>
      <c r="DN145" s="321"/>
      <c r="DO145" s="321"/>
      <c r="DP145" s="321"/>
      <c r="DQ145" s="321"/>
      <c r="DR145" s="321"/>
      <c r="DS145" s="321"/>
    </row>
    <row r="146" spans="1:123" ht="7.4" customHeight="1" x14ac:dyDescent="0.5">
      <c r="A146" s="42"/>
      <c r="B146" s="42"/>
      <c r="C146" s="55"/>
      <c r="D146" s="55"/>
      <c r="E146" s="41"/>
      <c r="F146" s="42"/>
      <c r="G146" s="56"/>
      <c r="H146" s="56"/>
      <c r="I146" s="56"/>
      <c r="J146" s="56"/>
      <c r="K146" s="56"/>
      <c r="L146" s="56"/>
      <c r="M146" s="56"/>
      <c r="N146" s="56"/>
      <c r="O146" s="56"/>
      <c r="P146" s="56"/>
      <c r="Q146" s="56"/>
      <c r="R146" s="126"/>
      <c r="S146" s="42"/>
      <c r="AJ146" s="41"/>
      <c r="AK146" s="42"/>
      <c r="AL146" s="311"/>
      <c r="AM146" s="311"/>
      <c r="AN146" s="311"/>
      <c r="AO146" s="311"/>
      <c r="AP146" s="43"/>
      <c r="AQ146" s="42"/>
      <c r="AR146" s="131"/>
      <c r="AS146" s="131"/>
      <c r="AT146" s="131"/>
      <c r="AU146" s="131"/>
      <c r="AV146" s="131"/>
      <c r="AW146" s="131"/>
      <c r="AX146" s="105"/>
      <c r="AZ146" s="131"/>
      <c r="BA146" s="131"/>
      <c r="BB146" s="131"/>
      <c r="BC146" s="131"/>
      <c r="BD146" s="131"/>
      <c r="BE146" s="131"/>
      <c r="BF146" s="131"/>
      <c r="BG146" s="131"/>
      <c r="BH146" s="124"/>
      <c r="BI146" s="41"/>
      <c r="BK146" s="194"/>
      <c r="BL146" s="123"/>
      <c r="BM146" s="195"/>
      <c r="BN146" s="194"/>
      <c r="BO146" s="123"/>
      <c r="BP146" s="195"/>
      <c r="BQ146" s="194"/>
      <c r="BR146" s="123"/>
      <c r="BS146" s="195"/>
      <c r="BT146" s="194"/>
      <c r="BU146" s="123"/>
      <c r="BV146" s="195"/>
      <c r="BW146" s="194"/>
      <c r="BX146" s="123"/>
      <c r="BY146" s="195"/>
      <c r="BZ146" s="194"/>
      <c r="CA146" s="123"/>
      <c r="CB146" s="195"/>
      <c r="CC146" s="194"/>
      <c r="CD146" s="123"/>
      <c r="CE146" s="195"/>
      <c r="CF146" s="194"/>
      <c r="CG146" s="123"/>
      <c r="CH146" s="195"/>
      <c r="CI146" s="194"/>
      <c r="CJ146" s="123"/>
      <c r="CK146" s="195"/>
      <c r="CL146" s="194"/>
      <c r="CM146" s="123"/>
      <c r="CN146" s="195"/>
      <c r="CO146" s="194"/>
      <c r="CP146" s="123"/>
      <c r="CQ146" s="195"/>
      <c r="CR146" s="194"/>
      <c r="CS146" s="123"/>
      <c r="CT146" s="195"/>
      <c r="CU146" s="194"/>
      <c r="CV146" s="123"/>
      <c r="CW146" s="195"/>
      <c r="CX146" s="194"/>
      <c r="CY146" s="123"/>
      <c r="CZ146" s="195"/>
      <c r="DA146" s="194"/>
      <c r="DB146" s="123"/>
      <c r="DC146" s="195"/>
      <c r="DD146" s="194"/>
      <c r="DE146" s="123"/>
      <c r="DF146" s="195"/>
      <c r="DL146" s="105"/>
      <c r="DM146" s="105"/>
      <c r="DN146" s="105"/>
      <c r="DO146" s="105"/>
      <c r="DP146" s="105"/>
      <c r="DQ146" s="105"/>
      <c r="DR146" s="105"/>
      <c r="DS146" s="105"/>
    </row>
    <row r="147" spans="1:123" ht="7.4" customHeight="1" x14ac:dyDescent="0.5">
      <c r="A147" s="42"/>
      <c r="B147" s="42"/>
      <c r="C147" s="311">
        <f>C143+1</f>
        <v>8</v>
      </c>
      <c r="D147" s="311"/>
      <c r="E147" s="41"/>
      <c r="F147" s="42"/>
      <c r="G147" s="319" t="str">
        <f>IF(AL147=0,"N/A","AXE_CC_SS")</f>
        <v>N/A</v>
      </c>
      <c r="H147" s="319"/>
      <c r="I147" s="319"/>
      <c r="J147" s="319"/>
      <c r="K147" s="319"/>
      <c r="L147" s="319"/>
      <c r="M147" s="319"/>
      <c r="N147" s="319"/>
      <c r="O147" s="319"/>
      <c r="P147" s="319"/>
      <c r="Q147" s="319"/>
      <c r="R147" s="320"/>
      <c r="S147" s="42"/>
      <c r="T147" s="405" t="str">
        <f>VLOOKUP(G147,PL!$B$9:$BH$1265,14,FALSE)</f>
        <v>No Item</v>
      </c>
      <c r="U147" s="405"/>
      <c r="V147" s="405"/>
      <c r="W147" s="405"/>
      <c r="X147" s="405"/>
      <c r="Y147" s="405"/>
      <c r="Z147" s="405"/>
      <c r="AA147" s="405"/>
      <c r="AB147" s="405"/>
      <c r="AC147" s="405"/>
      <c r="AD147" s="405"/>
      <c r="AE147" s="405"/>
      <c r="AF147" s="405"/>
      <c r="AG147" s="405"/>
      <c r="AH147" s="405"/>
      <c r="AI147" s="405"/>
      <c r="AJ147" s="411"/>
      <c r="AK147" s="42"/>
      <c r="AL147" s="311">
        <f>ROUND(SUM(BK147:DF147)*(1+$BF$66),0)</f>
        <v>0</v>
      </c>
      <c r="AM147" s="311"/>
      <c r="AN147" s="311"/>
      <c r="AO147" s="311"/>
      <c r="AP147" s="43"/>
      <c r="AQ147" s="128"/>
      <c r="AR147" s="308" t="str">
        <f>VLOOKUP(G147,PL!$B$9:$BH$818,52,FALSE)</f>
        <v>-</v>
      </c>
      <c r="AS147" s="309"/>
      <c r="AT147" s="309"/>
      <c r="AU147" s="309"/>
      <c r="AV147" s="309"/>
      <c r="AW147" s="309"/>
      <c r="AX147" s="309"/>
      <c r="AY147" s="309"/>
      <c r="AZ147" s="309"/>
      <c r="BA147" s="309"/>
      <c r="BB147" s="309"/>
      <c r="BC147" s="309"/>
      <c r="BD147" s="309"/>
      <c r="BE147" s="309"/>
      <c r="BF147" s="309"/>
      <c r="BG147" s="309"/>
      <c r="BH147" s="124"/>
      <c r="BI147" s="41"/>
      <c r="BK147" s="412">
        <f>IF($N$70="Included",1,0)*M58*M54</f>
        <v>0</v>
      </c>
      <c r="BL147" s="413"/>
      <c r="BM147" s="414"/>
      <c r="BN147" s="412">
        <f>IF($N$70="Included",1,0)*P58*P54</f>
        <v>0</v>
      </c>
      <c r="BO147" s="413"/>
      <c r="BP147" s="414"/>
      <c r="BQ147" s="412">
        <f>IF($N$70="Included",1,0)*S58*S54</f>
        <v>0</v>
      </c>
      <c r="BR147" s="413"/>
      <c r="BS147" s="414"/>
      <c r="BT147" s="412">
        <f>IF($N$70="Included",1,0)*V58*V54</f>
        <v>0</v>
      </c>
      <c r="BU147" s="413"/>
      <c r="BV147" s="414"/>
      <c r="BW147" s="412">
        <f>IF($N$70="Included",1,0)*Y58*Y54</f>
        <v>0</v>
      </c>
      <c r="BX147" s="413"/>
      <c r="BY147" s="414"/>
      <c r="BZ147" s="412">
        <f>IF($N$70="Included",1,0)*AB58*AB54</f>
        <v>0</v>
      </c>
      <c r="CA147" s="413"/>
      <c r="CB147" s="414"/>
      <c r="CC147" s="412">
        <f>IF($N$70="Included",1,0)*AE58*AE54</f>
        <v>0</v>
      </c>
      <c r="CD147" s="413"/>
      <c r="CE147" s="414"/>
      <c r="CF147" s="412">
        <f>IF($N$70="Included",1,0)*AH58*AH54</f>
        <v>0</v>
      </c>
      <c r="CG147" s="413"/>
      <c r="CH147" s="414"/>
      <c r="CI147" s="412">
        <f>IF($N$70="Included",1,0)*AK58*AK54</f>
        <v>0</v>
      </c>
      <c r="CJ147" s="413"/>
      <c r="CK147" s="414"/>
      <c r="CL147" s="412">
        <f>IF($N$70="Included",1,0)*AN58*AN54</f>
        <v>0</v>
      </c>
      <c r="CM147" s="413"/>
      <c r="CN147" s="414"/>
      <c r="CO147" s="412">
        <f>IF($N$70="Included",1,0)*AQ58*AQ54</f>
        <v>0</v>
      </c>
      <c r="CP147" s="413"/>
      <c r="CQ147" s="414"/>
      <c r="CR147" s="412">
        <f>IF($N$70="Included",1,0)*AT58*AT54</f>
        <v>0</v>
      </c>
      <c r="CS147" s="413"/>
      <c r="CT147" s="414"/>
      <c r="CU147" s="412">
        <f>IF($N$70="Included",1,0)*AW58*AW54</f>
        <v>0</v>
      </c>
      <c r="CV147" s="413"/>
      <c r="CW147" s="414"/>
      <c r="CX147" s="412">
        <f>IF($N$70="Included",1,0)*AZ58*AZ54</f>
        <v>0</v>
      </c>
      <c r="CY147" s="413"/>
      <c r="CZ147" s="414"/>
      <c r="DA147" s="412">
        <f>IF($N$70="Included",1,0)*BC58*BC54</f>
        <v>0</v>
      </c>
      <c r="DB147" s="413"/>
      <c r="DC147" s="414"/>
      <c r="DD147" s="412">
        <f>IF($N$70="Included",1,0)*BF58*BF54</f>
        <v>0</v>
      </c>
      <c r="DE147" s="413"/>
      <c r="DF147" s="414"/>
      <c r="DH147" s="311"/>
      <c r="DI147" s="311"/>
      <c r="DJ147" s="311"/>
      <c r="DK147" s="311"/>
      <c r="DL147" s="321"/>
      <c r="DM147" s="321"/>
      <c r="DN147" s="321"/>
      <c r="DO147" s="321"/>
      <c r="DP147" s="321"/>
      <c r="DQ147" s="321"/>
      <c r="DR147" s="321"/>
      <c r="DS147" s="321"/>
    </row>
    <row r="148" spans="1:123" ht="7.4" customHeight="1" x14ac:dyDescent="0.5">
      <c r="A148" s="42"/>
      <c r="B148" s="42"/>
      <c r="C148" s="311"/>
      <c r="D148" s="311"/>
      <c r="E148" s="41"/>
      <c r="F148" s="42"/>
      <c r="G148" s="319"/>
      <c r="H148" s="319"/>
      <c r="I148" s="319"/>
      <c r="J148" s="319"/>
      <c r="K148" s="319"/>
      <c r="L148" s="319"/>
      <c r="M148" s="319"/>
      <c r="N148" s="319"/>
      <c r="O148" s="319"/>
      <c r="P148" s="319"/>
      <c r="Q148" s="319"/>
      <c r="R148" s="320"/>
      <c r="S148" s="42"/>
      <c r="T148" s="405"/>
      <c r="U148" s="405"/>
      <c r="V148" s="405"/>
      <c r="W148" s="405"/>
      <c r="X148" s="405"/>
      <c r="Y148" s="405"/>
      <c r="Z148" s="405"/>
      <c r="AA148" s="405"/>
      <c r="AB148" s="405"/>
      <c r="AC148" s="405"/>
      <c r="AD148" s="405"/>
      <c r="AE148" s="405"/>
      <c r="AF148" s="405"/>
      <c r="AG148" s="405"/>
      <c r="AH148" s="405"/>
      <c r="AI148" s="405"/>
      <c r="AJ148" s="411"/>
      <c r="AK148" s="42"/>
      <c r="AL148" s="311"/>
      <c r="AM148" s="311"/>
      <c r="AN148" s="311"/>
      <c r="AO148" s="311"/>
      <c r="AP148" s="43"/>
      <c r="AQ148" s="128"/>
      <c r="AR148" s="309"/>
      <c r="AS148" s="309"/>
      <c r="AT148" s="309"/>
      <c r="AU148" s="309"/>
      <c r="AV148" s="309"/>
      <c r="AW148" s="309"/>
      <c r="AX148" s="309"/>
      <c r="AY148" s="309"/>
      <c r="AZ148" s="309"/>
      <c r="BA148" s="309"/>
      <c r="BB148" s="309"/>
      <c r="BC148" s="309"/>
      <c r="BD148" s="309"/>
      <c r="BE148" s="309"/>
      <c r="BF148" s="309"/>
      <c r="BG148" s="309"/>
      <c r="BH148" s="124"/>
      <c r="BI148" s="41"/>
      <c r="BK148" s="412"/>
      <c r="BL148" s="413"/>
      <c r="BM148" s="414"/>
      <c r="BN148" s="412"/>
      <c r="BO148" s="413"/>
      <c r="BP148" s="414"/>
      <c r="BQ148" s="412"/>
      <c r="BR148" s="413"/>
      <c r="BS148" s="414"/>
      <c r="BT148" s="412"/>
      <c r="BU148" s="413"/>
      <c r="BV148" s="414"/>
      <c r="BW148" s="412"/>
      <c r="BX148" s="413"/>
      <c r="BY148" s="414"/>
      <c r="BZ148" s="412"/>
      <c r="CA148" s="413"/>
      <c r="CB148" s="414"/>
      <c r="CC148" s="412"/>
      <c r="CD148" s="413"/>
      <c r="CE148" s="414"/>
      <c r="CF148" s="412"/>
      <c r="CG148" s="413"/>
      <c r="CH148" s="414"/>
      <c r="CI148" s="412"/>
      <c r="CJ148" s="413"/>
      <c r="CK148" s="414"/>
      <c r="CL148" s="412"/>
      <c r="CM148" s="413"/>
      <c r="CN148" s="414"/>
      <c r="CO148" s="412"/>
      <c r="CP148" s="413"/>
      <c r="CQ148" s="414"/>
      <c r="CR148" s="412"/>
      <c r="CS148" s="413"/>
      <c r="CT148" s="414"/>
      <c r="CU148" s="412"/>
      <c r="CV148" s="413"/>
      <c r="CW148" s="414"/>
      <c r="CX148" s="412"/>
      <c r="CY148" s="413"/>
      <c r="CZ148" s="414"/>
      <c r="DA148" s="412"/>
      <c r="DB148" s="413"/>
      <c r="DC148" s="414"/>
      <c r="DD148" s="412"/>
      <c r="DE148" s="413"/>
      <c r="DF148" s="414"/>
      <c r="DH148" s="311"/>
      <c r="DI148" s="311"/>
      <c r="DJ148" s="311"/>
      <c r="DK148" s="311"/>
      <c r="DL148" s="321"/>
      <c r="DM148" s="321"/>
      <c r="DN148" s="321"/>
      <c r="DO148" s="321"/>
      <c r="DP148" s="321"/>
      <c r="DQ148" s="321"/>
      <c r="DR148" s="321"/>
      <c r="DS148" s="321"/>
    </row>
    <row r="149" spans="1:123" ht="7.4" customHeight="1" x14ac:dyDescent="0.5">
      <c r="A149" s="42"/>
      <c r="B149" s="42"/>
      <c r="C149" s="333"/>
      <c r="D149" s="333"/>
      <c r="E149" s="41"/>
      <c r="F149" s="42"/>
      <c r="G149" s="56"/>
      <c r="H149" s="56"/>
      <c r="I149" s="56"/>
      <c r="J149" s="56"/>
      <c r="K149" s="56"/>
      <c r="L149" s="56"/>
      <c r="M149" s="56"/>
      <c r="N149" s="56"/>
      <c r="O149" s="56"/>
      <c r="P149" s="56"/>
      <c r="Q149" s="56"/>
      <c r="R149" s="126"/>
      <c r="S149" s="42"/>
      <c r="T149" s="116" t="str">
        <f>VLOOKUP(G147,PL!$B$9:$BH$1265,33,FALSE)</f>
        <v>.</v>
      </c>
      <c r="AJ149" s="41"/>
      <c r="AK149" s="42"/>
      <c r="AL149" s="311"/>
      <c r="AM149" s="311"/>
      <c r="AN149" s="311"/>
      <c r="AO149" s="311"/>
      <c r="AP149" s="43"/>
      <c r="AQ149" s="42"/>
      <c r="AR149" s="131"/>
      <c r="AS149" s="131"/>
      <c r="AT149" s="131"/>
      <c r="AU149" s="131"/>
      <c r="AV149" s="131"/>
      <c r="AW149" s="131"/>
      <c r="AX149" s="105"/>
      <c r="AZ149" s="131"/>
      <c r="BA149" s="131"/>
      <c r="BB149" s="131"/>
      <c r="BC149" s="131"/>
      <c r="BD149" s="131"/>
      <c r="BE149" s="131"/>
      <c r="BF149" s="131"/>
      <c r="BG149" s="131"/>
      <c r="BH149" s="124"/>
      <c r="BI149" s="41"/>
      <c r="BK149" s="194"/>
      <c r="BL149" s="123"/>
      <c r="BM149" s="195"/>
      <c r="BN149" s="194"/>
      <c r="BO149" s="123"/>
      <c r="BP149" s="195"/>
      <c r="BQ149" s="194"/>
      <c r="BR149" s="123"/>
      <c r="BS149" s="195"/>
      <c r="BT149" s="194"/>
      <c r="BU149" s="123"/>
      <c r="BV149" s="195"/>
      <c r="BW149" s="194"/>
      <c r="BX149" s="123"/>
      <c r="BY149" s="195"/>
      <c r="BZ149" s="194"/>
      <c r="CA149" s="123"/>
      <c r="CB149" s="195"/>
      <c r="CC149" s="194"/>
      <c r="CD149" s="123"/>
      <c r="CE149" s="195"/>
      <c r="CF149" s="194"/>
      <c r="CG149" s="123"/>
      <c r="CH149" s="195"/>
      <c r="CI149" s="194"/>
      <c r="CJ149" s="123"/>
      <c r="CK149" s="195"/>
      <c r="CL149" s="194"/>
      <c r="CM149" s="123"/>
      <c r="CN149" s="195"/>
      <c r="CO149" s="194"/>
      <c r="CP149" s="123"/>
      <c r="CQ149" s="195"/>
      <c r="CR149" s="194"/>
      <c r="CS149" s="123"/>
      <c r="CT149" s="195"/>
      <c r="CU149" s="194"/>
      <c r="CV149" s="123"/>
      <c r="CW149" s="195"/>
      <c r="CX149" s="194"/>
      <c r="CY149" s="123"/>
      <c r="CZ149" s="195"/>
      <c r="DA149" s="194"/>
      <c r="DB149" s="123"/>
      <c r="DC149" s="195"/>
      <c r="DD149" s="194"/>
      <c r="DE149" s="123"/>
      <c r="DF149" s="195"/>
      <c r="DH149" s="311"/>
      <c r="DI149" s="311"/>
      <c r="DJ149" s="311"/>
      <c r="DK149" s="311"/>
      <c r="DL149" s="321"/>
      <c r="DM149" s="321"/>
      <c r="DN149" s="321"/>
      <c r="DO149" s="321"/>
      <c r="DP149" s="321"/>
      <c r="DQ149" s="321"/>
      <c r="DR149" s="321"/>
      <c r="DS149" s="321"/>
    </row>
    <row r="150" spans="1:123" ht="7.4" customHeight="1" x14ac:dyDescent="0.5">
      <c r="A150" s="42"/>
      <c r="B150" s="42"/>
      <c r="C150" s="55"/>
      <c r="D150" s="55"/>
      <c r="E150" s="41"/>
      <c r="F150" s="42"/>
      <c r="G150" s="56"/>
      <c r="H150" s="56"/>
      <c r="I150" s="56"/>
      <c r="J150" s="56"/>
      <c r="K150" s="56"/>
      <c r="L150" s="56"/>
      <c r="M150" s="56"/>
      <c r="N150" s="56"/>
      <c r="O150" s="56"/>
      <c r="P150" s="56"/>
      <c r="Q150" s="56"/>
      <c r="R150" s="126"/>
      <c r="S150" s="42"/>
      <c r="AJ150" s="41"/>
      <c r="AK150" s="42"/>
      <c r="AL150" s="311"/>
      <c r="AM150" s="311"/>
      <c r="AN150" s="311"/>
      <c r="AO150" s="311"/>
      <c r="AP150" s="43"/>
      <c r="AQ150" s="42"/>
      <c r="AR150" s="131"/>
      <c r="AS150" s="131"/>
      <c r="AT150" s="131"/>
      <c r="AU150" s="131"/>
      <c r="AV150" s="131"/>
      <c r="AW150" s="131"/>
      <c r="AX150" s="105"/>
      <c r="AZ150" s="131"/>
      <c r="BA150" s="131"/>
      <c r="BB150" s="131"/>
      <c r="BC150" s="131"/>
      <c r="BD150" s="131"/>
      <c r="BE150" s="131"/>
      <c r="BF150" s="131"/>
      <c r="BG150" s="131"/>
      <c r="BH150" s="124"/>
      <c r="BI150" s="41"/>
      <c r="BK150" s="194"/>
      <c r="BL150" s="123"/>
      <c r="BM150" s="195"/>
      <c r="BN150" s="194"/>
      <c r="BO150" s="123"/>
      <c r="BP150" s="195"/>
      <c r="BQ150" s="194"/>
      <c r="BR150" s="123"/>
      <c r="BS150" s="195"/>
      <c r="BT150" s="194"/>
      <c r="BU150" s="123"/>
      <c r="BV150" s="195"/>
      <c r="BW150" s="194"/>
      <c r="BX150" s="123"/>
      <c r="BY150" s="195"/>
      <c r="BZ150" s="194"/>
      <c r="CA150" s="123"/>
      <c r="CB150" s="195"/>
      <c r="CC150" s="194"/>
      <c r="CD150" s="123"/>
      <c r="CE150" s="195"/>
      <c r="CF150" s="194"/>
      <c r="CG150" s="123"/>
      <c r="CH150" s="195"/>
      <c r="CI150" s="194"/>
      <c r="CJ150" s="123"/>
      <c r="CK150" s="195"/>
      <c r="CL150" s="194"/>
      <c r="CM150" s="123"/>
      <c r="CN150" s="195"/>
      <c r="CO150" s="194"/>
      <c r="CP150" s="123"/>
      <c r="CQ150" s="195"/>
      <c r="CR150" s="194"/>
      <c r="CS150" s="123"/>
      <c r="CT150" s="195"/>
      <c r="CU150" s="194"/>
      <c r="CV150" s="123"/>
      <c r="CW150" s="195"/>
      <c r="CX150" s="194"/>
      <c r="CY150" s="123"/>
      <c r="CZ150" s="195"/>
      <c r="DA150" s="194"/>
      <c r="DB150" s="123"/>
      <c r="DC150" s="195"/>
      <c r="DD150" s="194"/>
      <c r="DE150" s="123"/>
      <c r="DF150" s="195"/>
      <c r="DL150" s="105"/>
      <c r="DM150" s="105"/>
      <c r="DN150" s="105"/>
      <c r="DO150" s="105"/>
      <c r="DP150" s="105"/>
      <c r="DQ150" s="105"/>
      <c r="DR150" s="105"/>
      <c r="DS150" s="105"/>
    </row>
    <row r="151" spans="1:123" ht="7.4" customHeight="1" x14ac:dyDescent="0.5">
      <c r="A151" s="42"/>
      <c r="B151" s="42"/>
      <c r="C151" s="311">
        <f>C147+1</f>
        <v>9</v>
      </c>
      <c r="D151" s="311"/>
      <c r="E151" s="41"/>
      <c r="F151" s="42"/>
      <c r="G151" s="319" t="str">
        <f>IF(AL151=0,"N/A","AXE_CS_8_20"&amp;"_SS")</f>
        <v>AXE_CS_8_20_SS</v>
      </c>
      <c r="H151" s="319"/>
      <c r="I151" s="319"/>
      <c r="J151" s="319"/>
      <c r="K151" s="319"/>
      <c r="L151" s="319"/>
      <c r="M151" s="319"/>
      <c r="N151" s="319"/>
      <c r="O151" s="319"/>
      <c r="P151" s="319"/>
      <c r="Q151" s="319"/>
      <c r="R151" s="320"/>
      <c r="S151" s="42"/>
      <c r="T151" s="405" t="str">
        <f>VLOOKUP(G151,PL!$B$9:$BH$1265,14,FALSE)</f>
        <v>Cap Screws Hexagon</v>
      </c>
      <c r="U151" s="405"/>
      <c r="V151" s="405"/>
      <c r="W151" s="405"/>
      <c r="X151" s="405"/>
      <c r="Y151" s="405"/>
      <c r="Z151" s="405"/>
      <c r="AA151" s="405"/>
      <c r="AB151" s="405"/>
      <c r="AC151" s="405"/>
      <c r="AD151" s="405"/>
      <c r="AE151" s="405"/>
      <c r="AF151" s="405"/>
      <c r="AG151" s="405"/>
      <c r="AH151" s="405"/>
      <c r="AI151" s="405"/>
      <c r="AJ151" s="411"/>
      <c r="AK151" s="42"/>
      <c r="AL151" s="311">
        <f>ROUND(SUM(BK151:DF152)*(1+$BF$72),0)</f>
        <v>420</v>
      </c>
      <c r="AM151" s="311"/>
      <c r="AN151" s="311"/>
      <c r="AO151" s="311"/>
      <c r="AP151" s="43"/>
      <c r="AQ151" s="128"/>
      <c r="AR151" s="308" t="str">
        <f>VLOOKUP(G151,PL!$B$9:$BH$818,52,FALSE)</f>
        <v>SOL-59506</v>
      </c>
      <c r="AS151" s="309"/>
      <c r="AT151" s="309"/>
      <c r="AU151" s="309"/>
      <c r="AV151" s="309"/>
      <c r="AW151" s="309"/>
      <c r="AX151" s="309"/>
      <c r="AY151" s="309"/>
      <c r="AZ151" s="309"/>
      <c r="BA151" s="309"/>
      <c r="BB151" s="309"/>
      <c r="BC151" s="309"/>
      <c r="BD151" s="309"/>
      <c r="BE151" s="309"/>
      <c r="BF151" s="309"/>
      <c r="BG151" s="309"/>
      <c r="BH151" s="124"/>
      <c r="BI151" s="41"/>
      <c r="BK151" s="412">
        <f>BK135*IF($X$78="Frameless",2,1)</f>
        <v>400</v>
      </c>
      <c r="BL151" s="413"/>
      <c r="BM151" s="414"/>
      <c r="BN151" s="412">
        <f t="shared" ref="BN151" si="23">BN135*IF($X$78="Frameless",2,1)</f>
        <v>0</v>
      </c>
      <c r="BO151" s="413"/>
      <c r="BP151" s="414"/>
      <c r="BQ151" s="412">
        <f t="shared" ref="BQ151" si="24">BQ135*IF($X$78="Frameless",2,1)</f>
        <v>0</v>
      </c>
      <c r="BR151" s="413"/>
      <c r="BS151" s="414"/>
      <c r="BT151" s="412">
        <f t="shared" ref="BT151" si="25">BT135*IF($X$78="Frameless",2,1)</f>
        <v>0</v>
      </c>
      <c r="BU151" s="413"/>
      <c r="BV151" s="414"/>
      <c r="BW151" s="412">
        <f t="shared" ref="BW151" si="26">BW135*IF($X$78="Frameless",2,1)</f>
        <v>0</v>
      </c>
      <c r="BX151" s="413"/>
      <c r="BY151" s="414"/>
      <c r="BZ151" s="412">
        <f t="shared" ref="BZ151" si="27">BZ135*IF($X$78="Frameless",2,1)</f>
        <v>0</v>
      </c>
      <c r="CA151" s="413"/>
      <c r="CB151" s="414"/>
      <c r="CC151" s="412">
        <f t="shared" ref="CC151" si="28">CC135*IF($X$78="Frameless",2,1)</f>
        <v>0</v>
      </c>
      <c r="CD151" s="413"/>
      <c r="CE151" s="414"/>
      <c r="CF151" s="412">
        <f t="shared" ref="CF151" si="29">CF135*IF($X$78="Frameless",2,1)</f>
        <v>0</v>
      </c>
      <c r="CG151" s="413"/>
      <c r="CH151" s="414"/>
      <c r="CI151" s="412">
        <f t="shared" ref="CI151" si="30">CI135*IF($X$78="Frameless",2,1)</f>
        <v>0</v>
      </c>
      <c r="CJ151" s="413"/>
      <c r="CK151" s="414"/>
      <c r="CL151" s="412">
        <f t="shared" ref="CL151" si="31">CL135*IF($X$78="Frameless",2,1)</f>
        <v>0</v>
      </c>
      <c r="CM151" s="413"/>
      <c r="CN151" s="414"/>
      <c r="CO151" s="412">
        <f t="shared" ref="CO151" si="32">CO135*IF($X$78="Frameless",2,1)</f>
        <v>0</v>
      </c>
      <c r="CP151" s="413"/>
      <c r="CQ151" s="414"/>
      <c r="CR151" s="412">
        <f t="shared" ref="CR151" si="33">CR135*IF($X$78="Frameless",2,1)</f>
        <v>0</v>
      </c>
      <c r="CS151" s="413"/>
      <c r="CT151" s="414"/>
      <c r="CU151" s="412">
        <f t="shared" ref="CU151" si="34">CU135*IF($X$78="Frameless",2,1)</f>
        <v>0</v>
      </c>
      <c r="CV151" s="413"/>
      <c r="CW151" s="414"/>
      <c r="CX151" s="412">
        <f t="shared" ref="CX151" si="35">CX135*IF($X$78="Frameless",2,1)</f>
        <v>0</v>
      </c>
      <c r="CY151" s="413"/>
      <c r="CZ151" s="414"/>
      <c r="DA151" s="412">
        <f t="shared" ref="DA151" si="36">DA135*IF($X$78="Frameless",2,1)</f>
        <v>0</v>
      </c>
      <c r="DB151" s="413"/>
      <c r="DC151" s="414"/>
      <c r="DD151" s="412">
        <f t="shared" ref="DD151" si="37">DD135*IF($X$78="Frameless",2,1)</f>
        <v>0</v>
      </c>
      <c r="DE151" s="413"/>
      <c r="DF151" s="414"/>
      <c r="DH151" s="311"/>
      <c r="DI151" s="311"/>
      <c r="DJ151" s="311"/>
      <c r="DK151" s="311"/>
      <c r="DL151" s="321"/>
      <c r="DM151" s="321"/>
      <c r="DN151" s="321"/>
      <c r="DO151" s="321"/>
      <c r="DP151" s="321"/>
      <c r="DQ151" s="321"/>
      <c r="DR151" s="321"/>
      <c r="DS151" s="321"/>
    </row>
    <row r="152" spans="1:123" ht="7.4" customHeight="1" x14ac:dyDescent="0.5">
      <c r="A152" s="42"/>
      <c r="B152" s="42"/>
      <c r="C152" s="311"/>
      <c r="D152" s="311"/>
      <c r="E152" s="41"/>
      <c r="F152" s="42"/>
      <c r="G152" s="319"/>
      <c r="H152" s="319"/>
      <c r="I152" s="319"/>
      <c r="J152" s="319"/>
      <c r="K152" s="319"/>
      <c r="L152" s="319"/>
      <c r="M152" s="319"/>
      <c r="N152" s="319"/>
      <c r="O152" s="319"/>
      <c r="P152" s="319"/>
      <c r="Q152" s="319"/>
      <c r="R152" s="320"/>
      <c r="S152" s="42"/>
      <c r="T152" s="405"/>
      <c r="U152" s="405"/>
      <c r="V152" s="405"/>
      <c r="W152" s="405"/>
      <c r="X152" s="405"/>
      <c r="Y152" s="405"/>
      <c r="Z152" s="405"/>
      <c r="AA152" s="405"/>
      <c r="AB152" s="405"/>
      <c r="AC152" s="405"/>
      <c r="AD152" s="405"/>
      <c r="AE152" s="405"/>
      <c r="AF152" s="405"/>
      <c r="AG152" s="405"/>
      <c r="AH152" s="405"/>
      <c r="AI152" s="405"/>
      <c r="AJ152" s="411"/>
      <c r="AK152" s="42"/>
      <c r="AL152" s="311"/>
      <c r="AM152" s="311"/>
      <c r="AN152" s="311"/>
      <c r="AO152" s="311"/>
      <c r="AP152" s="43"/>
      <c r="AQ152" s="128"/>
      <c r="AR152" s="309"/>
      <c r="AS152" s="309"/>
      <c r="AT152" s="309"/>
      <c r="AU152" s="309"/>
      <c r="AV152" s="309"/>
      <c r="AW152" s="309"/>
      <c r="AX152" s="309"/>
      <c r="AY152" s="309"/>
      <c r="AZ152" s="309"/>
      <c r="BA152" s="309"/>
      <c r="BB152" s="309"/>
      <c r="BC152" s="309"/>
      <c r="BD152" s="309"/>
      <c r="BE152" s="309"/>
      <c r="BF152" s="309"/>
      <c r="BG152" s="309"/>
      <c r="BH152" s="124"/>
      <c r="BI152" s="41"/>
      <c r="BK152" s="412"/>
      <c r="BL152" s="413"/>
      <c r="BM152" s="414"/>
      <c r="BN152" s="412"/>
      <c r="BO152" s="413"/>
      <c r="BP152" s="414"/>
      <c r="BQ152" s="412"/>
      <c r="BR152" s="413"/>
      <c r="BS152" s="414"/>
      <c r="BT152" s="412"/>
      <c r="BU152" s="413"/>
      <c r="BV152" s="414"/>
      <c r="BW152" s="412"/>
      <c r="BX152" s="413"/>
      <c r="BY152" s="414"/>
      <c r="BZ152" s="412"/>
      <c r="CA152" s="413"/>
      <c r="CB152" s="414"/>
      <c r="CC152" s="412"/>
      <c r="CD152" s="413"/>
      <c r="CE152" s="414"/>
      <c r="CF152" s="412"/>
      <c r="CG152" s="413"/>
      <c r="CH152" s="414"/>
      <c r="CI152" s="412"/>
      <c r="CJ152" s="413"/>
      <c r="CK152" s="414"/>
      <c r="CL152" s="412"/>
      <c r="CM152" s="413"/>
      <c r="CN152" s="414"/>
      <c r="CO152" s="412"/>
      <c r="CP152" s="413"/>
      <c r="CQ152" s="414"/>
      <c r="CR152" s="412"/>
      <c r="CS152" s="413"/>
      <c r="CT152" s="414"/>
      <c r="CU152" s="412"/>
      <c r="CV152" s="413"/>
      <c r="CW152" s="414"/>
      <c r="CX152" s="412"/>
      <c r="CY152" s="413"/>
      <c r="CZ152" s="414"/>
      <c r="DA152" s="412"/>
      <c r="DB152" s="413"/>
      <c r="DC152" s="414"/>
      <c r="DD152" s="412"/>
      <c r="DE152" s="413"/>
      <c r="DF152" s="414"/>
      <c r="DH152" s="311"/>
      <c r="DI152" s="311"/>
      <c r="DJ152" s="311"/>
      <c r="DK152" s="311"/>
      <c r="DL152" s="321"/>
      <c r="DM152" s="321"/>
      <c r="DN152" s="321"/>
      <c r="DO152" s="321"/>
      <c r="DP152" s="321"/>
      <c r="DQ152" s="321"/>
      <c r="DR152" s="321"/>
      <c r="DS152" s="321"/>
    </row>
    <row r="153" spans="1:123" ht="7.4" customHeight="1" x14ac:dyDescent="0.5">
      <c r="A153" s="42"/>
      <c r="B153" s="42"/>
      <c r="C153" s="333"/>
      <c r="D153" s="333"/>
      <c r="E153" s="41"/>
      <c r="F153" s="42"/>
      <c r="G153" s="56"/>
      <c r="H153" s="56"/>
      <c r="I153" s="56"/>
      <c r="J153" s="56"/>
      <c r="K153" s="56"/>
      <c r="L153" s="56"/>
      <c r="M153" s="56"/>
      <c r="N153" s="56"/>
      <c r="O153" s="56"/>
      <c r="P153" s="56"/>
      <c r="Q153" s="56"/>
      <c r="R153" s="126"/>
      <c r="S153" s="42"/>
      <c r="T153" s="116" t="str">
        <f>VLOOKUP(G151,PL!$B$9:$BH$1265,33,FALSE)</f>
        <v>Stainless Steel, M8x20</v>
      </c>
      <c r="AJ153" s="41"/>
      <c r="AK153" s="42"/>
      <c r="AL153" s="311"/>
      <c r="AM153" s="311"/>
      <c r="AN153" s="311"/>
      <c r="AO153" s="311"/>
      <c r="AP153" s="43"/>
      <c r="AQ153" s="42"/>
      <c r="AR153" s="131"/>
      <c r="AS153" s="131"/>
      <c r="AT153" s="131"/>
      <c r="AU153" s="131"/>
      <c r="AV153" s="131"/>
      <c r="AW153" s="131"/>
      <c r="AX153" s="105"/>
      <c r="AZ153" s="131"/>
      <c r="BA153" s="131"/>
      <c r="BB153" s="131"/>
      <c r="BC153" s="131"/>
      <c r="BD153" s="131"/>
      <c r="BE153" s="131"/>
      <c r="BF153" s="131"/>
      <c r="BG153" s="131"/>
      <c r="BH153" s="124"/>
      <c r="BI153" s="41"/>
      <c r="BK153" s="194"/>
      <c r="BL153" s="123"/>
      <c r="BM153" s="195"/>
      <c r="BN153" s="194"/>
      <c r="BO153" s="123"/>
      <c r="BP153" s="195"/>
      <c r="BQ153" s="194"/>
      <c r="BR153" s="123"/>
      <c r="BS153" s="195"/>
      <c r="BT153" s="194"/>
      <c r="BU153" s="123"/>
      <c r="BV153" s="195"/>
      <c r="BW153" s="194"/>
      <c r="BX153" s="123"/>
      <c r="BY153" s="195"/>
      <c r="BZ153" s="194"/>
      <c r="CA153" s="123"/>
      <c r="CB153" s="195"/>
      <c r="CC153" s="194"/>
      <c r="CD153" s="123"/>
      <c r="CE153" s="195"/>
      <c r="CF153" s="194"/>
      <c r="CG153" s="123"/>
      <c r="CH153" s="195"/>
      <c r="CI153" s="194"/>
      <c r="CJ153" s="123"/>
      <c r="CK153" s="195"/>
      <c r="CL153" s="194"/>
      <c r="CM153" s="123"/>
      <c r="CN153" s="195"/>
      <c r="CO153" s="194"/>
      <c r="CP153" s="123"/>
      <c r="CQ153" s="195"/>
      <c r="CR153" s="194"/>
      <c r="CS153" s="123"/>
      <c r="CT153" s="195"/>
      <c r="CU153" s="194"/>
      <c r="CV153" s="123"/>
      <c r="CW153" s="195"/>
      <c r="CX153" s="194"/>
      <c r="CY153" s="123"/>
      <c r="CZ153" s="195"/>
      <c r="DA153" s="194"/>
      <c r="DB153" s="123"/>
      <c r="DC153" s="195"/>
      <c r="DD153" s="194"/>
      <c r="DE153" s="123"/>
      <c r="DF153" s="195"/>
      <c r="DH153" s="311"/>
      <c r="DI153" s="311"/>
      <c r="DJ153" s="311"/>
      <c r="DK153" s="311"/>
      <c r="DL153" s="321"/>
      <c r="DM153" s="321"/>
      <c r="DN153" s="321"/>
      <c r="DO153" s="321"/>
      <c r="DP153" s="321"/>
      <c r="DQ153" s="321"/>
      <c r="DR153" s="321"/>
      <c r="DS153" s="321"/>
    </row>
    <row r="154" spans="1:123" ht="7.4" customHeight="1" x14ac:dyDescent="0.5">
      <c r="A154" s="42"/>
      <c r="B154" s="42"/>
      <c r="C154" s="333"/>
      <c r="D154" s="333"/>
      <c r="E154" s="41"/>
      <c r="F154" s="42"/>
      <c r="G154" s="56"/>
      <c r="H154" s="56"/>
      <c r="I154" s="56"/>
      <c r="J154" s="56"/>
      <c r="K154" s="56"/>
      <c r="L154" s="56"/>
      <c r="M154" s="56"/>
      <c r="N154" s="56"/>
      <c r="O154" s="56"/>
      <c r="P154" s="56"/>
      <c r="Q154" s="56"/>
      <c r="R154" s="126"/>
      <c r="S154" s="42"/>
      <c r="AJ154" s="41"/>
      <c r="AK154" s="42"/>
      <c r="AL154" s="311"/>
      <c r="AM154" s="311"/>
      <c r="AN154" s="311"/>
      <c r="AO154" s="311"/>
      <c r="AP154" s="43"/>
      <c r="AQ154" s="42"/>
      <c r="AR154" s="131"/>
      <c r="AS154" s="131"/>
      <c r="AT154" s="131"/>
      <c r="AU154" s="131"/>
      <c r="AV154" s="131"/>
      <c r="AW154" s="131"/>
      <c r="AX154" s="105"/>
      <c r="AZ154" s="131"/>
      <c r="BA154" s="131"/>
      <c r="BB154" s="131"/>
      <c r="BC154" s="131"/>
      <c r="BD154" s="131"/>
      <c r="BE154" s="131"/>
      <c r="BF154" s="131"/>
      <c r="BG154" s="131"/>
      <c r="BH154" s="124"/>
      <c r="BI154" s="41"/>
      <c r="BK154" s="194"/>
      <c r="BL154" s="123"/>
      <c r="BM154" s="195"/>
      <c r="BN154" s="194"/>
      <c r="BO154" s="123"/>
      <c r="BP154" s="195"/>
      <c r="BQ154" s="194"/>
      <c r="BR154" s="123"/>
      <c r="BS154" s="195"/>
      <c r="BT154" s="194"/>
      <c r="BU154" s="123"/>
      <c r="BV154" s="195"/>
      <c r="BW154" s="194"/>
      <c r="BX154" s="123"/>
      <c r="BY154" s="195"/>
      <c r="BZ154" s="194"/>
      <c r="CA154" s="123"/>
      <c r="CB154" s="195"/>
      <c r="CC154" s="194"/>
      <c r="CD154" s="123"/>
      <c r="CE154" s="195"/>
      <c r="CF154" s="194"/>
      <c r="CG154" s="123"/>
      <c r="CH154" s="195"/>
      <c r="CI154" s="194"/>
      <c r="CJ154" s="123"/>
      <c r="CK154" s="195"/>
      <c r="CL154" s="194"/>
      <c r="CM154" s="123"/>
      <c r="CN154" s="195"/>
      <c r="CO154" s="194"/>
      <c r="CP154" s="123"/>
      <c r="CQ154" s="195"/>
      <c r="CR154" s="194"/>
      <c r="CS154" s="123"/>
      <c r="CT154" s="195"/>
      <c r="CU154" s="194"/>
      <c r="CV154" s="123"/>
      <c r="CW154" s="195"/>
      <c r="CX154" s="194"/>
      <c r="CY154" s="123"/>
      <c r="CZ154" s="195"/>
      <c r="DA154" s="194"/>
      <c r="DB154" s="123"/>
      <c r="DC154" s="195"/>
      <c r="DD154" s="194"/>
      <c r="DE154" s="123"/>
      <c r="DF154" s="195"/>
      <c r="DH154" s="311"/>
      <c r="DI154" s="311"/>
      <c r="DJ154" s="311"/>
      <c r="DK154" s="311"/>
      <c r="DL154" s="321"/>
      <c r="DM154" s="321"/>
      <c r="DN154" s="321"/>
      <c r="DO154" s="321"/>
      <c r="DP154" s="321"/>
      <c r="DQ154" s="321"/>
      <c r="DR154" s="321"/>
      <c r="DS154" s="321"/>
    </row>
    <row r="155" spans="1:123" ht="7.4" customHeight="1" x14ac:dyDescent="0.5">
      <c r="A155" s="42"/>
      <c r="B155" s="42"/>
      <c r="C155" s="311">
        <f>C151+1</f>
        <v>10</v>
      </c>
      <c r="D155" s="311"/>
      <c r="E155" s="41"/>
      <c r="F155" s="42"/>
      <c r="G155" s="319" t="str">
        <f>IF(AL155=0,"N/A","AXE_CS_8_25"&amp;"_SS")</f>
        <v>N/A</v>
      </c>
      <c r="H155" s="319"/>
      <c r="I155" s="319"/>
      <c r="J155" s="319"/>
      <c r="K155" s="319"/>
      <c r="L155" s="319"/>
      <c r="M155" s="319"/>
      <c r="N155" s="319"/>
      <c r="O155" s="319"/>
      <c r="P155" s="319"/>
      <c r="Q155" s="319"/>
      <c r="R155" s="320"/>
      <c r="S155" s="42"/>
      <c r="T155" s="405" t="str">
        <f>VLOOKUP(G155,PL!$B$9:$BH$1265,14,FALSE)</f>
        <v>No Item</v>
      </c>
      <c r="U155" s="405"/>
      <c r="V155" s="405"/>
      <c r="W155" s="405"/>
      <c r="X155" s="405"/>
      <c r="Y155" s="405"/>
      <c r="Z155" s="405"/>
      <c r="AA155" s="405"/>
      <c r="AB155" s="405"/>
      <c r="AC155" s="405"/>
      <c r="AD155" s="405"/>
      <c r="AE155" s="405"/>
      <c r="AF155" s="405"/>
      <c r="AG155" s="405"/>
      <c r="AH155" s="405"/>
      <c r="AI155" s="405"/>
      <c r="AJ155" s="411"/>
      <c r="AK155" s="42"/>
      <c r="AL155" s="311">
        <f>ROUND(SUM(BK155:DF156)*(1+$BF$72),0)</f>
        <v>0</v>
      </c>
      <c r="AM155" s="311"/>
      <c r="AN155" s="311"/>
      <c r="AO155" s="311"/>
      <c r="AP155" s="43"/>
      <c r="AQ155" s="128"/>
      <c r="AR155" s="308" t="str">
        <f>VLOOKUP(G155,PL!$B$9:$BH$818,52,FALSE)</f>
        <v>-</v>
      </c>
      <c r="AS155" s="309"/>
      <c r="AT155" s="309"/>
      <c r="AU155" s="309"/>
      <c r="AV155" s="309"/>
      <c r="AW155" s="309"/>
      <c r="AX155" s="309"/>
      <c r="AY155" s="309"/>
      <c r="AZ155" s="309"/>
      <c r="BA155" s="309"/>
      <c r="BB155" s="309"/>
      <c r="BC155" s="309"/>
      <c r="BD155" s="309"/>
      <c r="BE155" s="309"/>
      <c r="BF155" s="309"/>
      <c r="BG155" s="309"/>
      <c r="BH155" s="124"/>
      <c r="BI155" s="41"/>
      <c r="BK155" s="412">
        <f>BK131*IF($X$78="Frameless",0,2)</f>
        <v>0</v>
      </c>
      <c r="BL155" s="413"/>
      <c r="BM155" s="414"/>
      <c r="BN155" s="412">
        <f t="shared" ref="BN155" si="38">BN131*IF($X$78="Frameless",0,2)</f>
        <v>0</v>
      </c>
      <c r="BO155" s="413"/>
      <c r="BP155" s="414"/>
      <c r="BQ155" s="412">
        <f t="shared" ref="BQ155" si="39">BQ131*IF($X$78="Frameless",0,2)</f>
        <v>0</v>
      </c>
      <c r="BR155" s="413"/>
      <c r="BS155" s="414"/>
      <c r="BT155" s="412">
        <f t="shared" ref="BT155" si="40">BT131*IF($X$78="Frameless",0,2)</f>
        <v>0</v>
      </c>
      <c r="BU155" s="413"/>
      <c r="BV155" s="414"/>
      <c r="BW155" s="412">
        <f t="shared" ref="BW155" si="41">BW131*IF($X$78="Frameless",0,2)</f>
        <v>0</v>
      </c>
      <c r="BX155" s="413"/>
      <c r="BY155" s="414"/>
      <c r="BZ155" s="412">
        <f t="shared" ref="BZ155" si="42">BZ131*IF($X$78="Frameless",0,2)</f>
        <v>0</v>
      </c>
      <c r="CA155" s="413"/>
      <c r="CB155" s="414"/>
      <c r="CC155" s="412">
        <f t="shared" ref="CC155" si="43">CC131*IF($X$78="Frameless",0,2)</f>
        <v>0</v>
      </c>
      <c r="CD155" s="413"/>
      <c r="CE155" s="414"/>
      <c r="CF155" s="412">
        <f t="shared" ref="CF155" si="44">CF131*IF($X$78="Frameless",0,2)</f>
        <v>0</v>
      </c>
      <c r="CG155" s="413"/>
      <c r="CH155" s="414"/>
      <c r="CI155" s="412">
        <f t="shared" ref="CI155" si="45">CI131*IF($X$78="Frameless",0,2)</f>
        <v>0</v>
      </c>
      <c r="CJ155" s="413"/>
      <c r="CK155" s="414"/>
      <c r="CL155" s="412">
        <f t="shared" ref="CL155" si="46">CL131*IF($X$78="Frameless",0,2)</f>
        <v>0</v>
      </c>
      <c r="CM155" s="413"/>
      <c r="CN155" s="414"/>
      <c r="CO155" s="412">
        <f t="shared" ref="CO155" si="47">CO131*IF($X$78="Frameless",0,2)</f>
        <v>0</v>
      </c>
      <c r="CP155" s="413"/>
      <c r="CQ155" s="414"/>
      <c r="CR155" s="412">
        <f t="shared" ref="CR155" si="48">CR131*IF($X$78="Frameless",0,2)</f>
        <v>0</v>
      </c>
      <c r="CS155" s="413"/>
      <c r="CT155" s="414"/>
      <c r="CU155" s="412">
        <f t="shared" ref="CU155" si="49">CU131*IF($X$78="Frameless",0,2)</f>
        <v>0</v>
      </c>
      <c r="CV155" s="413"/>
      <c r="CW155" s="414"/>
      <c r="CX155" s="412">
        <f t="shared" ref="CX155" si="50">CX131*IF($X$78="Frameless",0,2)</f>
        <v>0</v>
      </c>
      <c r="CY155" s="413"/>
      <c r="CZ155" s="414"/>
      <c r="DA155" s="412">
        <f t="shared" ref="DA155" si="51">DA131*IF($X$78="Frameless",0,2)</f>
        <v>0</v>
      </c>
      <c r="DB155" s="413"/>
      <c r="DC155" s="414"/>
      <c r="DD155" s="412">
        <f t="shared" ref="DD155" si="52">DD131*IF($X$78="Frameless",0,2)</f>
        <v>0</v>
      </c>
      <c r="DE155" s="413"/>
      <c r="DF155" s="414"/>
      <c r="DH155" s="311"/>
      <c r="DI155" s="311"/>
      <c r="DJ155" s="311"/>
      <c r="DK155" s="311"/>
      <c r="DL155" s="321"/>
      <c r="DM155" s="321"/>
      <c r="DN155" s="321"/>
      <c r="DO155" s="321"/>
      <c r="DP155" s="321"/>
      <c r="DQ155" s="321"/>
      <c r="DR155" s="321"/>
      <c r="DS155" s="321"/>
    </row>
    <row r="156" spans="1:123" ht="7.4" customHeight="1" x14ac:dyDescent="0.5">
      <c r="A156" s="42"/>
      <c r="B156" s="42"/>
      <c r="C156" s="311"/>
      <c r="D156" s="311"/>
      <c r="E156" s="41"/>
      <c r="F156" s="42"/>
      <c r="G156" s="319"/>
      <c r="H156" s="319"/>
      <c r="I156" s="319"/>
      <c r="J156" s="319"/>
      <c r="K156" s="319"/>
      <c r="L156" s="319"/>
      <c r="M156" s="319"/>
      <c r="N156" s="319"/>
      <c r="O156" s="319"/>
      <c r="P156" s="319"/>
      <c r="Q156" s="319"/>
      <c r="R156" s="320"/>
      <c r="S156" s="42"/>
      <c r="T156" s="405"/>
      <c r="U156" s="405"/>
      <c r="V156" s="405"/>
      <c r="W156" s="405"/>
      <c r="X156" s="405"/>
      <c r="Y156" s="405"/>
      <c r="Z156" s="405"/>
      <c r="AA156" s="405"/>
      <c r="AB156" s="405"/>
      <c r="AC156" s="405"/>
      <c r="AD156" s="405"/>
      <c r="AE156" s="405"/>
      <c r="AF156" s="405"/>
      <c r="AG156" s="405"/>
      <c r="AH156" s="405"/>
      <c r="AI156" s="405"/>
      <c r="AJ156" s="411"/>
      <c r="AK156" s="42"/>
      <c r="AL156" s="311"/>
      <c r="AM156" s="311"/>
      <c r="AN156" s="311"/>
      <c r="AO156" s="311"/>
      <c r="AP156" s="43"/>
      <c r="AQ156" s="128"/>
      <c r="AR156" s="309"/>
      <c r="AS156" s="309"/>
      <c r="AT156" s="309"/>
      <c r="AU156" s="309"/>
      <c r="AV156" s="309"/>
      <c r="AW156" s="309"/>
      <c r="AX156" s="309"/>
      <c r="AY156" s="309"/>
      <c r="AZ156" s="309"/>
      <c r="BA156" s="309"/>
      <c r="BB156" s="309"/>
      <c r="BC156" s="309"/>
      <c r="BD156" s="309"/>
      <c r="BE156" s="309"/>
      <c r="BF156" s="309"/>
      <c r="BG156" s="309"/>
      <c r="BH156" s="124"/>
      <c r="BI156" s="41"/>
      <c r="BK156" s="412"/>
      <c r="BL156" s="413"/>
      <c r="BM156" s="414"/>
      <c r="BN156" s="412"/>
      <c r="BO156" s="413"/>
      <c r="BP156" s="414"/>
      <c r="BQ156" s="412"/>
      <c r="BR156" s="413"/>
      <c r="BS156" s="414"/>
      <c r="BT156" s="412"/>
      <c r="BU156" s="413"/>
      <c r="BV156" s="414"/>
      <c r="BW156" s="412"/>
      <c r="BX156" s="413"/>
      <c r="BY156" s="414"/>
      <c r="BZ156" s="412"/>
      <c r="CA156" s="413"/>
      <c r="CB156" s="414"/>
      <c r="CC156" s="412"/>
      <c r="CD156" s="413"/>
      <c r="CE156" s="414"/>
      <c r="CF156" s="412"/>
      <c r="CG156" s="413"/>
      <c r="CH156" s="414"/>
      <c r="CI156" s="412"/>
      <c r="CJ156" s="413"/>
      <c r="CK156" s="414"/>
      <c r="CL156" s="412"/>
      <c r="CM156" s="413"/>
      <c r="CN156" s="414"/>
      <c r="CO156" s="412"/>
      <c r="CP156" s="413"/>
      <c r="CQ156" s="414"/>
      <c r="CR156" s="412"/>
      <c r="CS156" s="413"/>
      <c r="CT156" s="414"/>
      <c r="CU156" s="412"/>
      <c r="CV156" s="413"/>
      <c r="CW156" s="414"/>
      <c r="CX156" s="412"/>
      <c r="CY156" s="413"/>
      <c r="CZ156" s="414"/>
      <c r="DA156" s="412"/>
      <c r="DB156" s="413"/>
      <c r="DC156" s="414"/>
      <c r="DD156" s="412"/>
      <c r="DE156" s="413"/>
      <c r="DF156" s="414"/>
      <c r="DH156" s="311"/>
      <c r="DI156" s="311"/>
      <c r="DJ156" s="311"/>
      <c r="DK156" s="311"/>
      <c r="DL156" s="321"/>
      <c r="DM156" s="321"/>
      <c r="DN156" s="321"/>
      <c r="DO156" s="321"/>
      <c r="DP156" s="321"/>
      <c r="DQ156" s="321"/>
      <c r="DR156" s="321"/>
      <c r="DS156" s="321"/>
    </row>
    <row r="157" spans="1:123" ht="7.4" customHeight="1" x14ac:dyDescent="0.5">
      <c r="A157" s="42"/>
      <c r="B157" s="42"/>
      <c r="C157" s="333"/>
      <c r="D157" s="333"/>
      <c r="E157" s="41"/>
      <c r="F157" s="42"/>
      <c r="G157" s="56"/>
      <c r="H157" s="56"/>
      <c r="I157" s="56"/>
      <c r="J157" s="56"/>
      <c r="K157" s="56"/>
      <c r="L157" s="56"/>
      <c r="M157" s="56"/>
      <c r="N157" s="56"/>
      <c r="O157" s="56"/>
      <c r="P157" s="56"/>
      <c r="Q157" s="56"/>
      <c r="R157" s="126"/>
      <c r="S157" s="42"/>
      <c r="T157" s="116" t="str">
        <f>VLOOKUP(G155,PL!$B$9:$BH$1265,33,FALSE)</f>
        <v>.</v>
      </c>
      <c r="AJ157" s="41"/>
      <c r="AK157" s="42"/>
      <c r="AL157" s="311"/>
      <c r="AM157" s="311"/>
      <c r="AN157" s="311"/>
      <c r="AO157" s="311"/>
      <c r="AP157" s="43"/>
      <c r="AQ157" s="42"/>
      <c r="AR157" s="131"/>
      <c r="AS157" s="131"/>
      <c r="AT157" s="131"/>
      <c r="AU157" s="131"/>
      <c r="AV157" s="131"/>
      <c r="AW157" s="131"/>
      <c r="AX157" s="105"/>
      <c r="AZ157" s="131"/>
      <c r="BA157" s="131"/>
      <c r="BB157" s="131"/>
      <c r="BC157" s="131"/>
      <c r="BD157" s="131"/>
      <c r="BE157" s="131"/>
      <c r="BF157" s="131"/>
      <c r="BG157" s="131"/>
      <c r="BH157" s="124"/>
      <c r="BI157" s="41"/>
      <c r="BK157" s="194"/>
      <c r="BL157" s="123"/>
      <c r="BM157" s="195"/>
      <c r="BN157" s="194"/>
      <c r="BO157" s="123"/>
      <c r="BP157" s="195"/>
      <c r="BQ157" s="194"/>
      <c r="BR157" s="123"/>
      <c r="BS157" s="195"/>
      <c r="BT157" s="194"/>
      <c r="BU157" s="123"/>
      <c r="BV157" s="195"/>
      <c r="BW157" s="194"/>
      <c r="BX157" s="123"/>
      <c r="BY157" s="195"/>
      <c r="BZ157" s="194"/>
      <c r="CA157" s="123"/>
      <c r="CB157" s="195"/>
      <c r="CC157" s="194"/>
      <c r="CD157" s="123"/>
      <c r="CE157" s="195"/>
      <c r="CF157" s="194"/>
      <c r="CG157" s="123"/>
      <c r="CH157" s="195"/>
      <c r="CI157" s="194"/>
      <c r="CJ157" s="123"/>
      <c r="CK157" s="195"/>
      <c r="CL157" s="194"/>
      <c r="CM157" s="123"/>
      <c r="CN157" s="195"/>
      <c r="CO157" s="194"/>
      <c r="CP157" s="123"/>
      <c r="CQ157" s="195"/>
      <c r="CR157" s="194"/>
      <c r="CS157" s="123"/>
      <c r="CT157" s="195"/>
      <c r="CU157" s="194"/>
      <c r="CV157" s="123"/>
      <c r="CW157" s="195"/>
      <c r="CX157" s="194"/>
      <c r="CY157" s="123"/>
      <c r="CZ157" s="195"/>
      <c r="DA157" s="194"/>
      <c r="DB157" s="123"/>
      <c r="DC157" s="195"/>
      <c r="DD157" s="194"/>
      <c r="DE157" s="123"/>
      <c r="DF157" s="195"/>
      <c r="DH157" s="311"/>
      <c r="DI157" s="311"/>
      <c r="DJ157" s="311"/>
      <c r="DK157" s="311"/>
      <c r="DL157" s="321"/>
      <c r="DM157" s="321"/>
      <c r="DN157" s="321"/>
      <c r="DO157" s="321"/>
      <c r="DP157" s="321"/>
      <c r="DQ157" s="321"/>
      <c r="DR157" s="321"/>
      <c r="DS157" s="321"/>
    </row>
    <row r="158" spans="1:123" ht="7.4" customHeight="1" x14ac:dyDescent="0.5">
      <c r="A158" s="42"/>
      <c r="B158" s="42"/>
      <c r="C158" s="333"/>
      <c r="D158" s="333"/>
      <c r="E158" s="41"/>
      <c r="F158" s="42"/>
      <c r="G158" s="56"/>
      <c r="H158" s="56"/>
      <c r="I158" s="56"/>
      <c r="J158" s="56"/>
      <c r="K158" s="56"/>
      <c r="L158" s="56"/>
      <c r="M158" s="56"/>
      <c r="N158" s="56"/>
      <c r="O158" s="56"/>
      <c r="P158" s="56"/>
      <c r="Q158" s="56"/>
      <c r="R158" s="126"/>
      <c r="S158" s="42"/>
      <c r="AJ158" s="41"/>
      <c r="AK158" s="42"/>
      <c r="AL158" s="311"/>
      <c r="AM158" s="311"/>
      <c r="AN158" s="311"/>
      <c r="AO158" s="311"/>
      <c r="AP158" s="43"/>
      <c r="AQ158" s="42"/>
      <c r="AR158" s="131"/>
      <c r="AS158" s="131"/>
      <c r="AT158" s="131"/>
      <c r="AU158" s="131"/>
      <c r="AV158" s="131"/>
      <c r="AW158" s="131"/>
      <c r="AX158" s="105"/>
      <c r="AZ158" s="131"/>
      <c r="BA158" s="131"/>
      <c r="BB158" s="131"/>
      <c r="BC158" s="131"/>
      <c r="BD158" s="131"/>
      <c r="BE158" s="131"/>
      <c r="BF158" s="131"/>
      <c r="BG158" s="131"/>
      <c r="BH158" s="124"/>
      <c r="BI158" s="41"/>
      <c r="BK158" s="194"/>
      <c r="BL158" s="123"/>
      <c r="BM158" s="195"/>
      <c r="BN158" s="194"/>
      <c r="BO158" s="123"/>
      <c r="BP158" s="195"/>
      <c r="BQ158" s="194"/>
      <c r="BR158" s="123"/>
      <c r="BS158" s="195"/>
      <c r="BT158" s="194"/>
      <c r="BU158" s="123"/>
      <c r="BV158" s="195"/>
      <c r="BW158" s="194"/>
      <c r="BX158" s="123"/>
      <c r="BY158" s="195"/>
      <c r="BZ158" s="194"/>
      <c r="CA158" s="123"/>
      <c r="CB158" s="195"/>
      <c r="CC158" s="194"/>
      <c r="CD158" s="123"/>
      <c r="CE158" s="195"/>
      <c r="CF158" s="194"/>
      <c r="CG158" s="123"/>
      <c r="CH158" s="195"/>
      <c r="CI158" s="194"/>
      <c r="CJ158" s="123"/>
      <c r="CK158" s="195"/>
      <c r="CL158" s="194"/>
      <c r="CM158" s="123"/>
      <c r="CN158" s="195"/>
      <c r="CO158" s="194"/>
      <c r="CP158" s="123"/>
      <c r="CQ158" s="195"/>
      <c r="CR158" s="194"/>
      <c r="CS158" s="123"/>
      <c r="CT158" s="195"/>
      <c r="CU158" s="194"/>
      <c r="CV158" s="123"/>
      <c r="CW158" s="195"/>
      <c r="CX158" s="194"/>
      <c r="CY158" s="123"/>
      <c r="CZ158" s="195"/>
      <c r="DA158" s="194"/>
      <c r="DB158" s="123"/>
      <c r="DC158" s="195"/>
      <c r="DD158" s="194"/>
      <c r="DE158" s="123"/>
      <c r="DF158" s="195"/>
      <c r="DH158" s="311"/>
      <c r="DI158" s="311"/>
      <c r="DJ158" s="311"/>
      <c r="DK158" s="311"/>
      <c r="DL158" s="321"/>
      <c r="DM158" s="321"/>
      <c r="DN158" s="321"/>
      <c r="DO158" s="321"/>
      <c r="DP158" s="321"/>
      <c r="DQ158" s="321"/>
      <c r="DR158" s="321"/>
      <c r="DS158" s="321"/>
    </row>
    <row r="159" spans="1:123" ht="7.4" customHeight="1" x14ac:dyDescent="0.5">
      <c r="A159" s="42"/>
      <c r="B159" s="42"/>
      <c r="C159" s="311">
        <f>C155+1</f>
        <v>11</v>
      </c>
      <c r="D159" s="311"/>
      <c r="E159" s="41"/>
      <c r="F159" s="42"/>
      <c r="G159" s="319" t="str">
        <f>IF(AL159=0,"N/A","AXE_CS_8_"&amp;$AM$45-IF($X$78="Frameless",0,5)&amp;"_SS")</f>
        <v>AXE_CS_8_30_SS</v>
      </c>
      <c r="H159" s="319"/>
      <c r="I159" s="319"/>
      <c r="J159" s="319"/>
      <c r="K159" s="319"/>
      <c r="L159" s="319"/>
      <c r="M159" s="319"/>
      <c r="N159" s="319"/>
      <c r="O159" s="319"/>
      <c r="P159" s="319"/>
      <c r="Q159" s="319"/>
      <c r="R159" s="320"/>
      <c r="S159" s="42"/>
      <c r="T159" s="405" t="str">
        <f>VLOOKUP(G159,PL!$B$9:$BH$1265,14,FALSE)</f>
        <v>Cap Screws Hexagon</v>
      </c>
      <c r="U159" s="405"/>
      <c r="V159" s="405"/>
      <c r="W159" s="405"/>
      <c r="X159" s="405"/>
      <c r="Y159" s="405"/>
      <c r="Z159" s="405"/>
      <c r="AA159" s="405"/>
      <c r="AB159" s="405"/>
      <c r="AC159" s="405"/>
      <c r="AD159" s="405"/>
      <c r="AE159" s="405"/>
      <c r="AF159" s="405"/>
      <c r="AG159" s="405"/>
      <c r="AH159" s="405"/>
      <c r="AI159" s="405"/>
      <c r="AJ159" s="411"/>
      <c r="AK159" s="42"/>
      <c r="AL159" s="311">
        <f>ROUND(SUM(BK159:DF159)*(1+$BF$72),0)</f>
        <v>420</v>
      </c>
      <c r="AM159" s="311"/>
      <c r="AN159" s="311"/>
      <c r="AO159" s="311"/>
      <c r="AP159" s="43"/>
      <c r="AQ159" s="128"/>
      <c r="AR159" s="308" t="str">
        <f>VLOOKUP(G159,PL!$B$9:$BH$818,52,FALSE)</f>
        <v>SOL-5950</v>
      </c>
      <c r="AS159" s="309"/>
      <c r="AT159" s="309"/>
      <c r="AU159" s="309"/>
      <c r="AV159" s="309"/>
      <c r="AW159" s="309"/>
      <c r="AX159" s="309"/>
      <c r="AY159" s="309"/>
      <c r="AZ159" s="309"/>
      <c r="BA159" s="309"/>
      <c r="BB159" s="309"/>
      <c r="BC159" s="309"/>
      <c r="BD159" s="309"/>
      <c r="BE159" s="309"/>
      <c r="BF159" s="309"/>
      <c r="BG159" s="309"/>
      <c r="BH159" s="124"/>
      <c r="BI159" s="41"/>
      <c r="BK159" s="412">
        <f>IF($N$74="Included",0,BK139)</f>
        <v>400</v>
      </c>
      <c r="BL159" s="413"/>
      <c r="BM159" s="414"/>
      <c r="BN159" s="412">
        <f>IF($N$74="Included",0,BN139)</f>
        <v>0</v>
      </c>
      <c r="BO159" s="413"/>
      <c r="BP159" s="414"/>
      <c r="BQ159" s="412">
        <f>IF($N$74="Included",0,BQ139)</f>
        <v>0</v>
      </c>
      <c r="BR159" s="413"/>
      <c r="BS159" s="414"/>
      <c r="BT159" s="412">
        <f>IF($N$74="Included",0,BT139)</f>
        <v>0</v>
      </c>
      <c r="BU159" s="413"/>
      <c r="BV159" s="414"/>
      <c r="BW159" s="412">
        <f>IF($N$74="Included",0,BW139)</f>
        <v>0</v>
      </c>
      <c r="BX159" s="413"/>
      <c r="BY159" s="414"/>
      <c r="BZ159" s="412">
        <f>IF($N$74="Included",0,BZ139)</f>
        <v>0</v>
      </c>
      <c r="CA159" s="413"/>
      <c r="CB159" s="414"/>
      <c r="CC159" s="412">
        <f>IF($N$74="Included",0,CC139)</f>
        <v>0</v>
      </c>
      <c r="CD159" s="413"/>
      <c r="CE159" s="414"/>
      <c r="CF159" s="412">
        <f>IF($N$74="Included",0,CF139)</f>
        <v>0</v>
      </c>
      <c r="CG159" s="413"/>
      <c r="CH159" s="414"/>
      <c r="CI159" s="412">
        <f>IF($N$74="Included",0,CI139)</f>
        <v>0</v>
      </c>
      <c r="CJ159" s="413"/>
      <c r="CK159" s="414"/>
      <c r="CL159" s="412">
        <f>IF($N$74="Included",0,CL139)</f>
        <v>0</v>
      </c>
      <c r="CM159" s="413"/>
      <c r="CN159" s="414"/>
      <c r="CO159" s="412">
        <f>IF($N$74="Included",0,CO139)</f>
        <v>0</v>
      </c>
      <c r="CP159" s="413"/>
      <c r="CQ159" s="414"/>
      <c r="CR159" s="412">
        <f>IF($N$74="Included",0,CR139)</f>
        <v>0</v>
      </c>
      <c r="CS159" s="413"/>
      <c r="CT159" s="414"/>
      <c r="CU159" s="412">
        <f>IF($N$74="Included",0,CU139)</f>
        <v>0</v>
      </c>
      <c r="CV159" s="413"/>
      <c r="CW159" s="414"/>
      <c r="CX159" s="412">
        <f>IF($N$74="Included",0,CX139)</f>
        <v>0</v>
      </c>
      <c r="CY159" s="413"/>
      <c r="CZ159" s="414"/>
      <c r="DA159" s="412">
        <f>IF($N$74="Included",0,DA139)</f>
        <v>0</v>
      </c>
      <c r="DB159" s="413"/>
      <c r="DC159" s="414"/>
      <c r="DD159" s="412">
        <f>IF($N$74="Included",0,DD139)</f>
        <v>0</v>
      </c>
      <c r="DE159" s="413"/>
      <c r="DF159" s="414"/>
      <c r="DH159" s="311"/>
      <c r="DI159" s="311"/>
      <c r="DJ159" s="311"/>
      <c r="DK159" s="311"/>
      <c r="DL159" s="321"/>
      <c r="DM159" s="321"/>
      <c r="DN159" s="321"/>
      <c r="DO159" s="321"/>
      <c r="DP159" s="321"/>
      <c r="DQ159" s="321"/>
      <c r="DR159" s="321"/>
      <c r="DS159" s="321"/>
    </row>
    <row r="160" spans="1:123" ht="7.4" customHeight="1" x14ac:dyDescent="0.5">
      <c r="A160" s="42"/>
      <c r="B160" s="42"/>
      <c r="C160" s="311"/>
      <c r="D160" s="311"/>
      <c r="E160" s="41"/>
      <c r="F160" s="42"/>
      <c r="G160" s="319"/>
      <c r="H160" s="319"/>
      <c r="I160" s="319"/>
      <c r="J160" s="319"/>
      <c r="K160" s="319"/>
      <c r="L160" s="319"/>
      <c r="M160" s="319"/>
      <c r="N160" s="319"/>
      <c r="O160" s="319"/>
      <c r="P160" s="319"/>
      <c r="Q160" s="319"/>
      <c r="R160" s="320"/>
      <c r="S160" s="42"/>
      <c r="T160" s="405"/>
      <c r="U160" s="405"/>
      <c r="V160" s="405"/>
      <c r="W160" s="405"/>
      <c r="X160" s="405"/>
      <c r="Y160" s="405"/>
      <c r="Z160" s="405"/>
      <c r="AA160" s="405"/>
      <c r="AB160" s="405"/>
      <c r="AC160" s="405"/>
      <c r="AD160" s="405"/>
      <c r="AE160" s="405"/>
      <c r="AF160" s="405"/>
      <c r="AG160" s="405"/>
      <c r="AH160" s="405"/>
      <c r="AI160" s="405"/>
      <c r="AJ160" s="411"/>
      <c r="AK160" s="42"/>
      <c r="AL160" s="311"/>
      <c r="AM160" s="311"/>
      <c r="AN160" s="311"/>
      <c r="AO160" s="311"/>
      <c r="AP160" s="43"/>
      <c r="AQ160" s="128"/>
      <c r="AR160" s="309"/>
      <c r="AS160" s="309"/>
      <c r="AT160" s="309"/>
      <c r="AU160" s="309"/>
      <c r="AV160" s="309"/>
      <c r="AW160" s="309"/>
      <c r="AX160" s="309"/>
      <c r="AY160" s="309"/>
      <c r="AZ160" s="309"/>
      <c r="BA160" s="309"/>
      <c r="BB160" s="309"/>
      <c r="BC160" s="309"/>
      <c r="BD160" s="309"/>
      <c r="BE160" s="309"/>
      <c r="BF160" s="309"/>
      <c r="BG160" s="309"/>
      <c r="BH160" s="124"/>
      <c r="BI160" s="41"/>
      <c r="BK160" s="412"/>
      <c r="BL160" s="413"/>
      <c r="BM160" s="414"/>
      <c r="BN160" s="412"/>
      <c r="BO160" s="413"/>
      <c r="BP160" s="414"/>
      <c r="BQ160" s="412"/>
      <c r="BR160" s="413"/>
      <c r="BS160" s="414"/>
      <c r="BT160" s="412"/>
      <c r="BU160" s="413"/>
      <c r="BV160" s="414"/>
      <c r="BW160" s="412"/>
      <c r="BX160" s="413"/>
      <c r="BY160" s="414"/>
      <c r="BZ160" s="412"/>
      <c r="CA160" s="413"/>
      <c r="CB160" s="414"/>
      <c r="CC160" s="412"/>
      <c r="CD160" s="413"/>
      <c r="CE160" s="414"/>
      <c r="CF160" s="412"/>
      <c r="CG160" s="413"/>
      <c r="CH160" s="414"/>
      <c r="CI160" s="412"/>
      <c r="CJ160" s="413"/>
      <c r="CK160" s="414"/>
      <c r="CL160" s="412"/>
      <c r="CM160" s="413"/>
      <c r="CN160" s="414"/>
      <c r="CO160" s="412"/>
      <c r="CP160" s="413"/>
      <c r="CQ160" s="414"/>
      <c r="CR160" s="412"/>
      <c r="CS160" s="413"/>
      <c r="CT160" s="414"/>
      <c r="CU160" s="412"/>
      <c r="CV160" s="413"/>
      <c r="CW160" s="414"/>
      <c r="CX160" s="412"/>
      <c r="CY160" s="413"/>
      <c r="CZ160" s="414"/>
      <c r="DA160" s="412"/>
      <c r="DB160" s="413"/>
      <c r="DC160" s="414"/>
      <c r="DD160" s="412"/>
      <c r="DE160" s="413"/>
      <c r="DF160" s="414"/>
      <c r="DH160" s="311"/>
      <c r="DI160" s="311"/>
      <c r="DJ160" s="311"/>
      <c r="DK160" s="311"/>
      <c r="DL160" s="321"/>
      <c r="DM160" s="321"/>
      <c r="DN160" s="321"/>
      <c r="DO160" s="321"/>
      <c r="DP160" s="321"/>
      <c r="DQ160" s="321"/>
      <c r="DR160" s="321"/>
      <c r="DS160" s="321"/>
    </row>
    <row r="161" spans="1:123" ht="7.4" customHeight="1" x14ac:dyDescent="0.5">
      <c r="A161" s="42"/>
      <c r="B161" s="42"/>
      <c r="C161" s="333"/>
      <c r="D161" s="333"/>
      <c r="E161" s="41"/>
      <c r="F161" s="42"/>
      <c r="G161" s="56"/>
      <c r="H161" s="56"/>
      <c r="I161" s="56"/>
      <c r="J161" s="56"/>
      <c r="K161" s="56"/>
      <c r="L161" s="56"/>
      <c r="M161" s="56"/>
      <c r="N161" s="56"/>
      <c r="O161" s="56"/>
      <c r="P161" s="56"/>
      <c r="Q161" s="56"/>
      <c r="R161" s="126"/>
      <c r="S161" s="42"/>
      <c r="T161" s="116" t="str">
        <f>VLOOKUP(G159,PL!$B$9:$BH$1265,33,FALSE)</f>
        <v>Stainless Steel, M8x30</v>
      </c>
      <c r="AJ161" s="41"/>
      <c r="AK161" s="42"/>
      <c r="AL161" s="311"/>
      <c r="AM161" s="311"/>
      <c r="AN161" s="311"/>
      <c r="AO161" s="311"/>
      <c r="AP161" s="43"/>
      <c r="AQ161" s="42"/>
      <c r="AR161" s="131"/>
      <c r="AS161" s="131"/>
      <c r="AT161" s="131"/>
      <c r="AU161" s="131"/>
      <c r="AV161" s="131"/>
      <c r="AW161" s="131"/>
      <c r="AX161" s="105"/>
      <c r="AZ161" s="131"/>
      <c r="BA161" s="131"/>
      <c r="BB161" s="131"/>
      <c r="BC161" s="131"/>
      <c r="BD161" s="131"/>
      <c r="BE161" s="131"/>
      <c r="BF161" s="131"/>
      <c r="BG161" s="131"/>
      <c r="BH161" s="124"/>
      <c r="BI161" s="41"/>
      <c r="BK161" s="194"/>
      <c r="BL161" s="123"/>
      <c r="BM161" s="195"/>
      <c r="BN161" s="194"/>
      <c r="BO161" s="123"/>
      <c r="BP161" s="195"/>
      <c r="BQ161" s="194"/>
      <c r="BR161" s="123"/>
      <c r="BS161" s="195"/>
      <c r="BT161" s="194"/>
      <c r="BU161" s="123"/>
      <c r="BV161" s="195"/>
      <c r="BW161" s="194"/>
      <c r="BX161" s="123"/>
      <c r="BY161" s="195"/>
      <c r="BZ161" s="194"/>
      <c r="CA161" s="123"/>
      <c r="CB161" s="195"/>
      <c r="CC161" s="194"/>
      <c r="CD161" s="123"/>
      <c r="CE161" s="195"/>
      <c r="CF161" s="194"/>
      <c r="CG161" s="123"/>
      <c r="CH161" s="195"/>
      <c r="CI161" s="194"/>
      <c r="CJ161" s="123"/>
      <c r="CK161" s="195"/>
      <c r="CL161" s="194"/>
      <c r="CM161" s="123"/>
      <c r="CN161" s="195"/>
      <c r="CO161" s="194"/>
      <c r="CP161" s="123"/>
      <c r="CQ161" s="195"/>
      <c r="CR161" s="194"/>
      <c r="CS161" s="123"/>
      <c r="CT161" s="195"/>
      <c r="CU161" s="194"/>
      <c r="CV161" s="123"/>
      <c r="CW161" s="195"/>
      <c r="CX161" s="194"/>
      <c r="CY161" s="123"/>
      <c r="CZ161" s="195"/>
      <c r="DA161" s="194"/>
      <c r="DB161" s="123"/>
      <c r="DC161" s="195"/>
      <c r="DD161" s="194"/>
      <c r="DE161" s="123"/>
      <c r="DF161" s="195"/>
      <c r="DH161" s="311"/>
      <c r="DI161" s="311"/>
      <c r="DJ161" s="311"/>
      <c r="DK161" s="311"/>
      <c r="DL161" s="321"/>
      <c r="DM161" s="321"/>
      <c r="DN161" s="321"/>
      <c r="DO161" s="321"/>
      <c r="DP161" s="321"/>
      <c r="DQ161" s="321"/>
      <c r="DR161" s="321"/>
      <c r="DS161" s="321"/>
    </row>
    <row r="162" spans="1:123" ht="7.4" customHeight="1" x14ac:dyDescent="0.5">
      <c r="A162" s="42"/>
      <c r="B162" s="42"/>
      <c r="C162" s="333"/>
      <c r="D162" s="333"/>
      <c r="E162" s="41"/>
      <c r="F162" s="42"/>
      <c r="G162" s="56"/>
      <c r="H162" s="56"/>
      <c r="I162" s="56"/>
      <c r="J162" s="56"/>
      <c r="K162" s="56"/>
      <c r="L162" s="56"/>
      <c r="M162" s="56"/>
      <c r="N162" s="56"/>
      <c r="O162" s="56"/>
      <c r="P162" s="56"/>
      <c r="Q162" s="56"/>
      <c r="R162" s="126"/>
      <c r="S162" s="42"/>
      <c r="AJ162" s="41"/>
      <c r="AK162" s="42"/>
      <c r="AL162" s="311"/>
      <c r="AM162" s="311"/>
      <c r="AN162" s="311"/>
      <c r="AO162" s="311"/>
      <c r="AP162" s="43"/>
      <c r="AQ162" s="42"/>
      <c r="AR162" s="131"/>
      <c r="AS162" s="131"/>
      <c r="AT162" s="131"/>
      <c r="AU162" s="131"/>
      <c r="AV162" s="131"/>
      <c r="AW162" s="131"/>
      <c r="AX162" s="105"/>
      <c r="AZ162" s="131"/>
      <c r="BA162" s="131"/>
      <c r="BB162" s="131"/>
      <c r="BC162" s="131"/>
      <c r="BD162" s="131"/>
      <c r="BE162" s="131"/>
      <c r="BF162" s="131"/>
      <c r="BG162" s="131"/>
      <c r="BH162" s="124"/>
      <c r="BI162" s="41"/>
      <c r="BK162" s="194"/>
      <c r="BL162" s="123"/>
      <c r="BM162" s="195"/>
      <c r="BN162" s="194"/>
      <c r="BO162" s="123"/>
      <c r="BP162" s="195"/>
      <c r="BQ162" s="194"/>
      <c r="BR162" s="123"/>
      <c r="BS162" s="195"/>
      <c r="BT162" s="194"/>
      <c r="BU162" s="123"/>
      <c r="BV162" s="195"/>
      <c r="BW162" s="194"/>
      <c r="BX162" s="123"/>
      <c r="BY162" s="195"/>
      <c r="BZ162" s="194"/>
      <c r="CA162" s="123"/>
      <c r="CB162" s="195"/>
      <c r="CC162" s="194"/>
      <c r="CD162" s="123"/>
      <c r="CE162" s="195"/>
      <c r="CF162" s="194"/>
      <c r="CG162" s="123"/>
      <c r="CH162" s="195"/>
      <c r="CI162" s="194"/>
      <c r="CJ162" s="123"/>
      <c r="CK162" s="195"/>
      <c r="CL162" s="194"/>
      <c r="CM162" s="123"/>
      <c r="CN162" s="195"/>
      <c r="CO162" s="194"/>
      <c r="CP162" s="123"/>
      <c r="CQ162" s="195"/>
      <c r="CR162" s="194"/>
      <c r="CS162" s="123"/>
      <c r="CT162" s="195"/>
      <c r="CU162" s="194"/>
      <c r="CV162" s="123"/>
      <c r="CW162" s="195"/>
      <c r="CX162" s="194"/>
      <c r="CY162" s="123"/>
      <c r="CZ162" s="195"/>
      <c r="DA162" s="194"/>
      <c r="DB162" s="123"/>
      <c r="DC162" s="195"/>
      <c r="DD162" s="194"/>
      <c r="DE162" s="123"/>
      <c r="DF162" s="195"/>
      <c r="DH162" s="311"/>
      <c r="DI162" s="311"/>
      <c r="DJ162" s="311"/>
      <c r="DK162" s="311"/>
      <c r="DL162" s="321"/>
      <c r="DM162" s="321"/>
      <c r="DN162" s="321"/>
      <c r="DO162" s="321"/>
      <c r="DP162" s="321"/>
      <c r="DQ162" s="321"/>
      <c r="DR162" s="321"/>
      <c r="DS162" s="321"/>
    </row>
    <row r="163" spans="1:123" ht="7.4" customHeight="1" x14ac:dyDescent="0.5">
      <c r="A163" s="42"/>
      <c r="B163" s="42"/>
      <c r="C163" s="311">
        <f>C159+1</f>
        <v>12</v>
      </c>
      <c r="D163" s="311"/>
      <c r="E163" s="41"/>
      <c r="F163" s="42"/>
      <c r="G163" s="319" t="str">
        <f>IF(AL163=0,"N/A","AXE_WS_8"&amp;"_SS")</f>
        <v>AXE_WS_8_SS</v>
      </c>
      <c r="H163" s="319"/>
      <c r="I163" s="319"/>
      <c r="J163" s="319"/>
      <c r="K163" s="319"/>
      <c r="L163" s="319"/>
      <c r="M163" s="319"/>
      <c r="N163" s="319"/>
      <c r="O163" s="319"/>
      <c r="P163" s="319"/>
      <c r="Q163" s="319"/>
      <c r="R163" s="320"/>
      <c r="S163" s="42"/>
      <c r="T163" s="405" t="str">
        <f>VLOOKUP(G163,PL!$B$9:$BH$1265,14,FALSE)</f>
        <v>Spring Washer</v>
      </c>
      <c r="U163" s="405"/>
      <c r="V163" s="405"/>
      <c r="W163" s="405"/>
      <c r="X163" s="405"/>
      <c r="Y163" s="405"/>
      <c r="Z163" s="405"/>
      <c r="AA163" s="405"/>
      <c r="AB163" s="405"/>
      <c r="AC163" s="405"/>
      <c r="AD163" s="405"/>
      <c r="AE163" s="405"/>
      <c r="AF163" s="405"/>
      <c r="AG163" s="405"/>
      <c r="AH163" s="405"/>
      <c r="AI163" s="405"/>
      <c r="AJ163" s="411"/>
      <c r="AK163" s="42"/>
      <c r="AL163" s="311">
        <f>ROUND(SUM(BK163:DF163)*(1+$BF$72),0)</f>
        <v>420</v>
      </c>
      <c r="AM163" s="311"/>
      <c r="AN163" s="311"/>
      <c r="AO163" s="311"/>
      <c r="AP163" s="43"/>
      <c r="AQ163" s="128"/>
      <c r="AR163" s="308" t="str">
        <f>VLOOKUP(G163,PL!$B$9:$BH$818,52,FALSE)</f>
        <v>SOL-5951</v>
      </c>
      <c r="AS163" s="309"/>
      <c r="AT163" s="309"/>
      <c r="AU163" s="309"/>
      <c r="AV163" s="309"/>
      <c r="AW163" s="309"/>
      <c r="AX163" s="309"/>
      <c r="AY163" s="309"/>
      <c r="AZ163" s="309"/>
      <c r="BA163" s="309"/>
      <c r="BB163" s="309"/>
      <c r="BC163" s="309"/>
      <c r="BD163" s="309"/>
      <c r="BE163" s="309"/>
      <c r="BF163" s="309"/>
      <c r="BG163" s="309"/>
      <c r="BH163" s="124"/>
      <c r="BI163" s="41"/>
      <c r="BK163" s="412">
        <f>BK155+BK159</f>
        <v>400</v>
      </c>
      <c r="BL163" s="413"/>
      <c r="BM163" s="414"/>
      <c r="BN163" s="412">
        <f>BN155+BN159</f>
        <v>0</v>
      </c>
      <c r="BO163" s="413"/>
      <c r="BP163" s="414"/>
      <c r="BQ163" s="412">
        <f>BQ155+BQ159</f>
        <v>0</v>
      </c>
      <c r="BR163" s="413"/>
      <c r="BS163" s="414"/>
      <c r="BT163" s="412">
        <f>BT155+BT159</f>
        <v>0</v>
      </c>
      <c r="BU163" s="413"/>
      <c r="BV163" s="414"/>
      <c r="BW163" s="412">
        <f>BW155+BW159</f>
        <v>0</v>
      </c>
      <c r="BX163" s="413"/>
      <c r="BY163" s="414"/>
      <c r="BZ163" s="412">
        <f>BZ155+BZ159</f>
        <v>0</v>
      </c>
      <c r="CA163" s="413"/>
      <c r="CB163" s="414"/>
      <c r="CC163" s="412">
        <f>CC155+CC159</f>
        <v>0</v>
      </c>
      <c r="CD163" s="413"/>
      <c r="CE163" s="414"/>
      <c r="CF163" s="412">
        <f>CF155+CF159</f>
        <v>0</v>
      </c>
      <c r="CG163" s="413"/>
      <c r="CH163" s="414"/>
      <c r="CI163" s="412">
        <f>CI155+CI159</f>
        <v>0</v>
      </c>
      <c r="CJ163" s="413"/>
      <c r="CK163" s="414"/>
      <c r="CL163" s="412">
        <f>CL155+CL159</f>
        <v>0</v>
      </c>
      <c r="CM163" s="413"/>
      <c r="CN163" s="414"/>
      <c r="CO163" s="412">
        <f>CO155+CO159</f>
        <v>0</v>
      </c>
      <c r="CP163" s="413"/>
      <c r="CQ163" s="414"/>
      <c r="CR163" s="412">
        <f>CR155+CR159</f>
        <v>0</v>
      </c>
      <c r="CS163" s="413"/>
      <c r="CT163" s="414"/>
      <c r="CU163" s="412">
        <f>CU155+CU159</f>
        <v>0</v>
      </c>
      <c r="CV163" s="413"/>
      <c r="CW163" s="414"/>
      <c r="CX163" s="412">
        <f>CX155+CX159</f>
        <v>0</v>
      </c>
      <c r="CY163" s="413"/>
      <c r="CZ163" s="414"/>
      <c r="DA163" s="412">
        <f>DA155+DA159</f>
        <v>0</v>
      </c>
      <c r="DB163" s="413"/>
      <c r="DC163" s="414"/>
      <c r="DD163" s="412">
        <f>DD155+DD159</f>
        <v>0</v>
      </c>
      <c r="DE163" s="413"/>
      <c r="DF163" s="414"/>
      <c r="DH163" s="311"/>
      <c r="DI163" s="311"/>
      <c r="DJ163" s="311"/>
      <c r="DK163" s="311"/>
      <c r="DL163" s="321"/>
      <c r="DM163" s="321"/>
      <c r="DN163" s="321"/>
      <c r="DO163" s="321"/>
      <c r="DP163" s="321"/>
      <c r="DQ163" s="321"/>
      <c r="DR163" s="321"/>
      <c r="DS163" s="321"/>
    </row>
    <row r="164" spans="1:123" ht="7.4" customHeight="1" x14ac:dyDescent="0.5">
      <c r="A164" s="42"/>
      <c r="B164" s="42"/>
      <c r="C164" s="311"/>
      <c r="D164" s="311"/>
      <c r="E164" s="41"/>
      <c r="F164" s="42"/>
      <c r="G164" s="319"/>
      <c r="H164" s="319"/>
      <c r="I164" s="319"/>
      <c r="J164" s="319"/>
      <c r="K164" s="319"/>
      <c r="L164" s="319"/>
      <c r="M164" s="319"/>
      <c r="N164" s="319"/>
      <c r="O164" s="319"/>
      <c r="P164" s="319"/>
      <c r="Q164" s="319"/>
      <c r="R164" s="320"/>
      <c r="S164" s="42"/>
      <c r="T164" s="405"/>
      <c r="U164" s="405"/>
      <c r="V164" s="405"/>
      <c r="W164" s="405"/>
      <c r="X164" s="405"/>
      <c r="Y164" s="405"/>
      <c r="Z164" s="405"/>
      <c r="AA164" s="405"/>
      <c r="AB164" s="405"/>
      <c r="AC164" s="405"/>
      <c r="AD164" s="405"/>
      <c r="AE164" s="405"/>
      <c r="AF164" s="405"/>
      <c r="AG164" s="405"/>
      <c r="AH164" s="405"/>
      <c r="AI164" s="405"/>
      <c r="AJ164" s="411"/>
      <c r="AK164" s="42"/>
      <c r="AL164" s="311"/>
      <c r="AM164" s="311"/>
      <c r="AN164" s="311"/>
      <c r="AO164" s="311"/>
      <c r="AP164" s="43"/>
      <c r="AQ164" s="128"/>
      <c r="AR164" s="309"/>
      <c r="AS164" s="309"/>
      <c r="AT164" s="309"/>
      <c r="AU164" s="309"/>
      <c r="AV164" s="309"/>
      <c r="AW164" s="309"/>
      <c r="AX164" s="309"/>
      <c r="AY164" s="309"/>
      <c r="AZ164" s="309"/>
      <c r="BA164" s="309"/>
      <c r="BB164" s="309"/>
      <c r="BC164" s="309"/>
      <c r="BD164" s="309"/>
      <c r="BE164" s="309"/>
      <c r="BF164" s="309"/>
      <c r="BG164" s="309"/>
      <c r="BH164" s="124"/>
      <c r="BI164" s="41"/>
      <c r="BK164" s="412"/>
      <c r="BL164" s="413"/>
      <c r="BM164" s="414"/>
      <c r="BN164" s="412"/>
      <c r="BO164" s="413"/>
      <c r="BP164" s="414"/>
      <c r="BQ164" s="412"/>
      <c r="BR164" s="413"/>
      <c r="BS164" s="414"/>
      <c r="BT164" s="412"/>
      <c r="BU164" s="413"/>
      <c r="BV164" s="414"/>
      <c r="BW164" s="412"/>
      <c r="BX164" s="413"/>
      <c r="BY164" s="414"/>
      <c r="BZ164" s="412"/>
      <c r="CA164" s="413"/>
      <c r="CB164" s="414"/>
      <c r="CC164" s="412"/>
      <c r="CD164" s="413"/>
      <c r="CE164" s="414"/>
      <c r="CF164" s="412"/>
      <c r="CG164" s="413"/>
      <c r="CH164" s="414"/>
      <c r="CI164" s="412"/>
      <c r="CJ164" s="413"/>
      <c r="CK164" s="414"/>
      <c r="CL164" s="412"/>
      <c r="CM164" s="413"/>
      <c r="CN164" s="414"/>
      <c r="CO164" s="412"/>
      <c r="CP164" s="413"/>
      <c r="CQ164" s="414"/>
      <c r="CR164" s="412"/>
      <c r="CS164" s="413"/>
      <c r="CT164" s="414"/>
      <c r="CU164" s="412"/>
      <c r="CV164" s="413"/>
      <c r="CW164" s="414"/>
      <c r="CX164" s="412"/>
      <c r="CY164" s="413"/>
      <c r="CZ164" s="414"/>
      <c r="DA164" s="412"/>
      <c r="DB164" s="413"/>
      <c r="DC164" s="414"/>
      <c r="DD164" s="412"/>
      <c r="DE164" s="413"/>
      <c r="DF164" s="414"/>
      <c r="DH164" s="311"/>
      <c r="DI164" s="311"/>
      <c r="DJ164" s="311"/>
      <c r="DK164" s="311"/>
      <c r="DL164" s="321"/>
      <c r="DM164" s="321"/>
      <c r="DN164" s="321"/>
      <c r="DO164" s="321"/>
      <c r="DP164" s="321"/>
      <c r="DQ164" s="321"/>
      <c r="DR164" s="321"/>
      <c r="DS164" s="321"/>
    </row>
    <row r="165" spans="1:123" ht="7.4" customHeight="1" x14ac:dyDescent="0.5">
      <c r="A165" s="42"/>
      <c r="B165" s="42"/>
      <c r="C165" s="333"/>
      <c r="D165" s="333"/>
      <c r="E165" s="41"/>
      <c r="F165" s="42"/>
      <c r="G165" s="56"/>
      <c r="H165" s="56"/>
      <c r="I165" s="56"/>
      <c r="J165" s="56"/>
      <c r="K165" s="56"/>
      <c r="L165" s="56"/>
      <c r="M165" s="56"/>
      <c r="N165" s="56"/>
      <c r="O165" s="56"/>
      <c r="P165" s="56"/>
      <c r="Q165" s="56"/>
      <c r="R165" s="126"/>
      <c r="S165" s="42"/>
      <c r="T165" s="116" t="str">
        <f>VLOOKUP(G163,PL!$B$9:$BH$1265,33,FALSE)</f>
        <v>Stainless Steel, M8</v>
      </c>
      <c r="AJ165" s="41"/>
      <c r="AK165" s="42"/>
      <c r="AL165" s="311"/>
      <c r="AM165" s="311"/>
      <c r="AN165" s="311"/>
      <c r="AO165" s="311"/>
      <c r="AP165" s="43"/>
      <c r="AQ165" s="42"/>
      <c r="AR165" s="131"/>
      <c r="AS165" s="131"/>
      <c r="AT165" s="131"/>
      <c r="AU165" s="131"/>
      <c r="AV165" s="131"/>
      <c r="AW165" s="131"/>
      <c r="AX165" s="105"/>
      <c r="AZ165" s="131"/>
      <c r="BA165" s="131"/>
      <c r="BB165" s="131"/>
      <c r="BC165" s="131"/>
      <c r="BD165" s="131"/>
      <c r="BE165" s="131"/>
      <c r="BF165" s="131"/>
      <c r="BG165" s="131"/>
      <c r="BH165" s="124"/>
      <c r="BI165" s="41"/>
      <c r="BK165" s="194"/>
      <c r="BL165" s="123"/>
      <c r="BM165" s="195"/>
      <c r="BN165" s="194"/>
      <c r="BO165" s="123"/>
      <c r="BP165" s="195"/>
      <c r="BQ165" s="194"/>
      <c r="BR165" s="123"/>
      <c r="BS165" s="195"/>
      <c r="BT165" s="194"/>
      <c r="BU165" s="123"/>
      <c r="BV165" s="195"/>
      <c r="BW165" s="194"/>
      <c r="BX165" s="123"/>
      <c r="BY165" s="195"/>
      <c r="BZ165" s="194"/>
      <c r="CA165" s="123"/>
      <c r="CB165" s="195"/>
      <c r="CC165" s="194"/>
      <c r="CD165" s="123"/>
      <c r="CE165" s="195"/>
      <c r="CF165" s="194"/>
      <c r="CG165" s="123"/>
      <c r="CH165" s="195"/>
      <c r="CI165" s="194"/>
      <c r="CJ165" s="123"/>
      <c r="CK165" s="195"/>
      <c r="CL165" s="194"/>
      <c r="CM165" s="123"/>
      <c r="CN165" s="195"/>
      <c r="CO165" s="194"/>
      <c r="CP165" s="123"/>
      <c r="CQ165" s="195"/>
      <c r="CR165" s="194"/>
      <c r="CS165" s="123"/>
      <c r="CT165" s="195"/>
      <c r="CU165" s="194"/>
      <c r="CV165" s="123"/>
      <c r="CW165" s="195"/>
      <c r="CX165" s="194"/>
      <c r="CY165" s="123"/>
      <c r="CZ165" s="195"/>
      <c r="DA165" s="194"/>
      <c r="DB165" s="123"/>
      <c r="DC165" s="195"/>
      <c r="DD165" s="194"/>
      <c r="DE165" s="123"/>
      <c r="DF165" s="195"/>
      <c r="DH165" s="311"/>
      <c r="DI165" s="311"/>
      <c r="DJ165" s="311"/>
      <c r="DK165" s="311"/>
      <c r="DL165" s="321"/>
      <c r="DM165" s="321"/>
      <c r="DN165" s="321"/>
      <c r="DO165" s="321"/>
      <c r="DP165" s="321"/>
      <c r="DQ165" s="321"/>
      <c r="DR165" s="321"/>
      <c r="DS165" s="321"/>
    </row>
    <row r="166" spans="1:123" ht="7.4" customHeight="1" x14ac:dyDescent="0.5">
      <c r="A166" s="42"/>
      <c r="B166" s="42"/>
      <c r="C166" s="333"/>
      <c r="D166" s="333"/>
      <c r="E166" s="41"/>
      <c r="F166" s="42"/>
      <c r="G166" s="56"/>
      <c r="H166" s="56"/>
      <c r="I166" s="56"/>
      <c r="J166" s="56"/>
      <c r="K166" s="56"/>
      <c r="L166" s="56"/>
      <c r="M166" s="56"/>
      <c r="N166" s="56"/>
      <c r="O166" s="56"/>
      <c r="P166" s="56"/>
      <c r="Q166" s="56"/>
      <c r="R166" s="126"/>
      <c r="S166" s="42"/>
      <c r="AJ166" s="41"/>
      <c r="AK166" s="42"/>
      <c r="AL166" s="311"/>
      <c r="AM166" s="311"/>
      <c r="AN166" s="311"/>
      <c r="AO166" s="311"/>
      <c r="AP166" s="43"/>
      <c r="AQ166" s="42"/>
      <c r="AR166" s="131"/>
      <c r="AS166" s="131"/>
      <c r="AT166" s="131"/>
      <c r="AU166" s="131"/>
      <c r="AV166" s="131"/>
      <c r="AW166" s="131"/>
      <c r="AX166" s="105"/>
      <c r="AZ166" s="131"/>
      <c r="BA166" s="131"/>
      <c r="BB166" s="131"/>
      <c r="BC166" s="131"/>
      <c r="BD166" s="131"/>
      <c r="BE166" s="131"/>
      <c r="BF166" s="131"/>
      <c r="BG166" s="131"/>
      <c r="BH166" s="124"/>
      <c r="BI166" s="41"/>
      <c r="BK166" s="194"/>
      <c r="BL166" s="123"/>
      <c r="BM166" s="195"/>
      <c r="BN166" s="194"/>
      <c r="BO166" s="123"/>
      <c r="BP166" s="195"/>
      <c r="BQ166" s="194"/>
      <c r="BR166" s="123"/>
      <c r="BS166" s="195"/>
      <c r="BT166" s="194"/>
      <c r="BU166" s="123"/>
      <c r="BV166" s="195"/>
      <c r="BW166" s="194"/>
      <c r="BX166" s="123"/>
      <c r="BY166" s="195"/>
      <c r="BZ166" s="194"/>
      <c r="CA166" s="123"/>
      <c r="CB166" s="195"/>
      <c r="CC166" s="194"/>
      <c r="CD166" s="123"/>
      <c r="CE166" s="195"/>
      <c r="CF166" s="194"/>
      <c r="CG166" s="123"/>
      <c r="CH166" s="195"/>
      <c r="CI166" s="194"/>
      <c r="CJ166" s="123"/>
      <c r="CK166" s="195"/>
      <c r="CL166" s="194"/>
      <c r="CM166" s="123"/>
      <c r="CN166" s="195"/>
      <c r="CO166" s="194"/>
      <c r="CP166" s="123"/>
      <c r="CQ166" s="195"/>
      <c r="CR166" s="194"/>
      <c r="CS166" s="123"/>
      <c r="CT166" s="195"/>
      <c r="CU166" s="194"/>
      <c r="CV166" s="123"/>
      <c r="CW166" s="195"/>
      <c r="CX166" s="194"/>
      <c r="CY166" s="123"/>
      <c r="CZ166" s="195"/>
      <c r="DA166" s="194"/>
      <c r="DB166" s="123"/>
      <c r="DC166" s="195"/>
      <c r="DD166" s="194"/>
      <c r="DE166" s="123"/>
      <c r="DF166" s="195"/>
      <c r="DH166" s="311"/>
      <c r="DI166" s="311"/>
      <c r="DJ166" s="311"/>
      <c r="DK166" s="311"/>
      <c r="DL166" s="321"/>
      <c r="DM166" s="321"/>
      <c r="DN166" s="321"/>
      <c r="DO166" s="321"/>
      <c r="DP166" s="321"/>
      <c r="DQ166" s="321"/>
      <c r="DR166" s="321"/>
      <c r="DS166" s="321"/>
    </row>
    <row r="167" spans="1:123" ht="7.4" customHeight="1" x14ac:dyDescent="0.5">
      <c r="A167" s="42"/>
      <c r="B167" s="42"/>
      <c r="C167" s="311">
        <f>C163+1</f>
        <v>13</v>
      </c>
      <c r="D167" s="311"/>
      <c r="E167" s="41"/>
      <c r="F167" s="42"/>
      <c r="G167" s="319" t="str">
        <f>IF(AL167=0,"N/A","AXE_NHF_8_SS")</f>
        <v>AXE_NHF_8_SS</v>
      </c>
      <c r="H167" s="319"/>
      <c r="I167" s="319"/>
      <c r="J167" s="319"/>
      <c r="K167" s="319"/>
      <c r="L167" s="319"/>
      <c r="M167" s="319"/>
      <c r="N167" s="319"/>
      <c r="O167" s="319"/>
      <c r="P167" s="319"/>
      <c r="Q167" s="319"/>
      <c r="R167" s="320"/>
      <c r="S167" s="42"/>
      <c r="T167" s="405" t="str">
        <f>VLOOKUP(G167,PL!$B$9:$BH$1265,14,FALSE)</f>
        <v>Hex Flange Nut</v>
      </c>
      <c r="U167" s="405"/>
      <c r="V167" s="405"/>
      <c r="W167" s="405"/>
      <c r="X167" s="405"/>
      <c r="Y167" s="405"/>
      <c r="Z167" s="405"/>
      <c r="AA167" s="405"/>
      <c r="AB167" s="405"/>
      <c r="AC167" s="405"/>
      <c r="AD167" s="405"/>
      <c r="AE167" s="405"/>
      <c r="AF167" s="405"/>
      <c r="AG167" s="405"/>
      <c r="AH167" s="405"/>
      <c r="AI167" s="405"/>
      <c r="AJ167" s="411"/>
      <c r="AK167" s="42"/>
      <c r="AL167" s="311">
        <f>ROUND(SUM(BK167:DF167)*(1+$BF$72),0)</f>
        <v>420</v>
      </c>
      <c r="AM167" s="311"/>
      <c r="AN167" s="311"/>
      <c r="AO167" s="311"/>
      <c r="AP167" s="43"/>
      <c r="AQ167" s="128"/>
      <c r="AR167" s="308" t="str">
        <f>VLOOKUP(G167,PL!$B$9:$BH$818,52,FALSE)</f>
        <v>SOL-59530</v>
      </c>
      <c r="AS167" s="309"/>
      <c r="AT167" s="309"/>
      <c r="AU167" s="309"/>
      <c r="AV167" s="309"/>
      <c r="AW167" s="309"/>
      <c r="AX167" s="309"/>
      <c r="AY167" s="309"/>
      <c r="AZ167" s="309"/>
      <c r="BA167" s="309"/>
      <c r="BB167" s="309"/>
      <c r="BC167" s="309"/>
      <c r="BD167" s="309"/>
      <c r="BE167" s="309"/>
      <c r="BF167" s="309"/>
      <c r="BG167" s="309"/>
      <c r="BH167" s="124"/>
      <c r="BI167" s="41"/>
      <c r="BK167" s="412">
        <f>IF($X$78="Frameless",BK159,BK131*2)</f>
        <v>400</v>
      </c>
      <c r="BL167" s="413"/>
      <c r="BM167" s="414"/>
      <c r="BN167" s="412">
        <f t="shared" ref="BN167" si="53">IF($X$78="Frameless",BN159,BN131*2)</f>
        <v>0</v>
      </c>
      <c r="BO167" s="413"/>
      <c r="BP167" s="414"/>
      <c r="BQ167" s="412">
        <f t="shared" ref="BQ167" si="54">IF($X$78="Frameless",BQ159,BQ131*2)</f>
        <v>0</v>
      </c>
      <c r="BR167" s="413"/>
      <c r="BS167" s="414"/>
      <c r="BT167" s="412">
        <f t="shared" ref="BT167" si="55">IF($X$78="Frameless",BT159,BT131*2)</f>
        <v>0</v>
      </c>
      <c r="BU167" s="413"/>
      <c r="BV167" s="414"/>
      <c r="BW167" s="412">
        <f t="shared" ref="BW167" si="56">IF($X$78="Frameless",BW159,BW131*2)</f>
        <v>0</v>
      </c>
      <c r="BX167" s="413"/>
      <c r="BY167" s="414"/>
      <c r="BZ167" s="412">
        <f t="shared" ref="BZ167" si="57">IF($X$78="Frameless",BZ159,BZ131*2)</f>
        <v>0</v>
      </c>
      <c r="CA167" s="413"/>
      <c r="CB167" s="414"/>
      <c r="CC167" s="412">
        <f t="shared" ref="CC167" si="58">IF($X$78="Frameless",CC159,CC131*2)</f>
        <v>0</v>
      </c>
      <c r="CD167" s="413"/>
      <c r="CE167" s="414"/>
      <c r="CF167" s="412">
        <f t="shared" ref="CF167" si="59">IF($X$78="Frameless",CF159,CF131*2)</f>
        <v>0</v>
      </c>
      <c r="CG167" s="413"/>
      <c r="CH167" s="414"/>
      <c r="CI167" s="412">
        <f t="shared" ref="CI167" si="60">IF($X$78="Frameless",CI159,CI131*2)</f>
        <v>0</v>
      </c>
      <c r="CJ167" s="413"/>
      <c r="CK167" s="414"/>
      <c r="CL167" s="412">
        <f t="shared" ref="CL167" si="61">IF($X$78="Frameless",CL159,CL131*2)</f>
        <v>0</v>
      </c>
      <c r="CM167" s="413"/>
      <c r="CN167" s="414"/>
      <c r="CO167" s="412">
        <f t="shared" ref="CO167" si="62">IF($X$78="Frameless",CO159,CO131*2)</f>
        <v>0</v>
      </c>
      <c r="CP167" s="413"/>
      <c r="CQ167" s="414"/>
      <c r="CR167" s="412">
        <f t="shared" ref="CR167" si="63">IF($X$78="Frameless",CR159,CR131*2)</f>
        <v>0</v>
      </c>
      <c r="CS167" s="413"/>
      <c r="CT167" s="414"/>
      <c r="CU167" s="412">
        <f t="shared" ref="CU167" si="64">IF($X$78="Frameless",CU159,CU131*2)</f>
        <v>0</v>
      </c>
      <c r="CV167" s="413"/>
      <c r="CW167" s="414"/>
      <c r="CX167" s="412">
        <f t="shared" ref="CX167" si="65">IF($X$78="Frameless",CX159,CX131*2)</f>
        <v>0</v>
      </c>
      <c r="CY167" s="413"/>
      <c r="CZ167" s="414"/>
      <c r="DA167" s="412">
        <f t="shared" ref="DA167" si="66">IF($X$78="Frameless",DA159,DA131*2)</f>
        <v>0</v>
      </c>
      <c r="DB167" s="413"/>
      <c r="DC167" s="414"/>
      <c r="DD167" s="412">
        <f t="shared" ref="DD167" si="67">IF($X$78="Frameless",DD159,DD131*2)</f>
        <v>0</v>
      </c>
      <c r="DE167" s="413"/>
      <c r="DF167" s="414"/>
      <c r="DH167" s="311"/>
      <c r="DI167" s="311"/>
      <c r="DJ167" s="311"/>
      <c r="DK167" s="311"/>
      <c r="DL167" s="321"/>
      <c r="DM167" s="321"/>
      <c r="DN167" s="321"/>
      <c r="DO167" s="321"/>
      <c r="DP167" s="321"/>
      <c r="DQ167" s="321"/>
      <c r="DR167" s="321"/>
      <c r="DS167" s="321"/>
    </row>
    <row r="168" spans="1:123" ht="7.4" customHeight="1" x14ac:dyDescent="0.5">
      <c r="A168" s="42"/>
      <c r="B168" s="42"/>
      <c r="C168" s="311"/>
      <c r="D168" s="311"/>
      <c r="E168" s="41"/>
      <c r="F168" s="42"/>
      <c r="G168" s="319"/>
      <c r="H168" s="319"/>
      <c r="I168" s="319"/>
      <c r="J168" s="319"/>
      <c r="K168" s="319"/>
      <c r="L168" s="319"/>
      <c r="M168" s="319"/>
      <c r="N168" s="319"/>
      <c r="O168" s="319"/>
      <c r="P168" s="319"/>
      <c r="Q168" s="319"/>
      <c r="R168" s="320"/>
      <c r="S168" s="42"/>
      <c r="T168" s="405"/>
      <c r="U168" s="405"/>
      <c r="V168" s="405"/>
      <c r="W168" s="405"/>
      <c r="X168" s="405"/>
      <c r="Y168" s="405"/>
      <c r="Z168" s="405"/>
      <c r="AA168" s="405"/>
      <c r="AB168" s="405"/>
      <c r="AC168" s="405"/>
      <c r="AD168" s="405"/>
      <c r="AE168" s="405"/>
      <c r="AF168" s="405"/>
      <c r="AG168" s="405"/>
      <c r="AH168" s="405"/>
      <c r="AI168" s="405"/>
      <c r="AJ168" s="411"/>
      <c r="AK168" s="42"/>
      <c r="AL168" s="311"/>
      <c r="AM168" s="311"/>
      <c r="AN168" s="311"/>
      <c r="AO168" s="311"/>
      <c r="AP168" s="43"/>
      <c r="AQ168" s="128"/>
      <c r="AR168" s="309"/>
      <c r="AS168" s="309"/>
      <c r="AT168" s="309"/>
      <c r="AU168" s="309"/>
      <c r="AV168" s="309"/>
      <c r="AW168" s="309"/>
      <c r="AX168" s="309"/>
      <c r="AY168" s="309"/>
      <c r="AZ168" s="309"/>
      <c r="BA168" s="309"/>
      <c r="BB168" s="309"/>
      <c r="BC168" s="309"/>
      <c r="BD168" s="309"/>
      <c r="BE168" s="309"/>
      <c r="BF168" s="309"/>
      <c r="BG168" s="309"/>
      <c r="BH168" s="124"/>
      <c r="BI168" s="41"/>
      <c r="BK168" s="412"/>
      <c r="BL168" s="413"/>
      <c r="BM168" s="414"/>
      <c r="BN168" s="412"/>
      <c r="BO168" s="413"/>
      <c r="BP168" s="414"/>
      <c r="BQ168" s="412"/>
      <c r="BR168" s="413"/>
      <c r="BS168" s="414"/>
      <c r="BT168" s="412"/>
      <c r="BU168" s="413"/>
      <c r="BV168" s="414"/>
      <c r="BW168" s="412"/>
      <c r="BX168" s="413"/>
      <c r="BY168" s="414"/>
      <c r="BZ168" s="412"/>
      <c r="CA168" s="413"/>
      <c r="CB168" s="414"/>
      <c r="CC168" s="412"/>
      <c r="CD168" s="413"/>
      <c r="CE168" s="414"/>
      <c r="CF168" s="412"/>
      <c r="CG168" s="413"/>
      <c r="CH168" s="414"/>
      <c r="CI168" s="412"/>
      <c r="CJ168" s="413"/>
      <c r="CK168" s="414"/>
      <c r="CL168" s="412"/>
      <c r="CM168" s="413"/>
      <c r="CN168" s="414"/>
      <c r="CO168" s="412"/>
      <c r="CP168" s="413"/>
      <c r="CQ168" s="414"/>
      <c r="CR168" s="412"/>
      <c r="CS168" s="413"/>
      <c r="CT168" s="414"/>
      <c r="CU168" s="412"/>
      <c r="CV168" s="413"/>
      <c r="CW168" s="414"/>
      <c r="CX168" s="412"/>
      <c r="CY168" s="413"/>
      <c r="CZ168" s="414"/>
      <c r="DA168" s="412"/>
      <c r="DB168" s="413"/>
      <c r="DC168" s="414"/>
      <c r="DD168" s="412"/>
      <c r="DE168" s="413"/>
      <c r="DF168" s="414"/>
      <c r="DH168" s="311"/>
      <c r="DI168" s="311"/>
      <c r="DJ168" s="311"/>
      <c r="DK168" s="311"/>
      <c r="DL168" s="321"/>
      <c r="DM168" s="321"/>
      <c r="DN168" s="321"/>
      <c r="DO168" s="321"/>
      <c r="DP168" s="321"/>
      <c r="DQ168" s="321"/>
      <c r="DR168" s="321"/>
      <c r="DS168" s="321"/>
    </row>
    <row r="169" spans="1:123" ht="7.4" customHeight="1" x14ac:dyDescent="0.5">
      <c r="A169" s="42"/>
      <c r="B169" s="42"/>
      <c r="C169" s="333"/>
      <c r="D169" s="333"/>
      <c r="E169" s="41"/>
      <c r="F169" s="42"/>
      <c r="G169" s="56"/>
      <c r="H169" s="56"/>
      <c r="I169" s="56"/>
      <c r="J169" s="56"/>
      <c r="K169" s="56"/>
      <c r="L169" s="56"/>
      <c r="M169" s="56"/>
      <c r="N169" s="56"/>
      <c r="O169" s="56"/>
      <c r="P169" s="56"/>
      <c r="Q169" s="56"/>
      <c r="R169" s="126"/>
      <c r="S169" s="42"/>
      <c r="T169" s="116" t="str">
        <f>VLOOKUP(G167,PL!$B$9:$BH$1265,33,FALSE)</f>
        <v>Stainless Steel, M8</v>
      </c>
      <c r="AJ169" s="41"/>
      <c r="AK169" s="42"/>
      <c r="AL169" s="311"/>
      <c r="AM169" s="311"/>
      <c r="AN169" s="311"/>
      <c r="AO169" s="311"/>
      <c r="AP169" s="43"/>
      <c r="AQ169" s="42"/>
      <c r="AR169" s="131"/>
      <c r="AS169" s="131"/>
      <c r="AT169" s="131"/>
      <c r="AU169" s="131"/>
      <c r="AV169" s="131"/>
      <c r="AW169" s="131"/>
      <c r="AX169" s="105"/>
      <c r="AZ169" s="131"/>
      <c r="BA169" s="131"/>
      <c r="BB169" s="131"/>
      <c r="BC169" s="131"/>
      <c r="BD169" s="131"/>
      <c r="BE169" s="131"/>
      <c r="BF169" s="131"/>
      <c r="BG169" s="131"/>
      <c r="BH169" s="124"/>
      <c r="BI169" s="41"/>
      <c r="BK169" s="194"/>
      <c r="BL169" s="123"/>
      <c r="BM169" s="195"/>
      <c r="BN169" s="194"/>
      <c r="BO169" s="123"/>
      <c r="BP169" s="195"/>
      <c r="BQ169" s="194"/>
      <c r="BR169" s="123"/>
      <c r="BS169" s="195"/>
      <c r="BT169" s="194"/>
      <c r="BU169" s="123"/>
      <c r="BV169" s="195"/>
      <c r="BW169" s="194"/>
      <c r="BX169" s="123"/>
      <c r="BY169" s="195"/>
      <c r="BZ169" s="194"/>
      <c r="CA169" s="123"/>
      <c r="CB169" s="195"/>
      <c r="CC169" s="194"/>
      <c r="CD169" s="123"/>
      <c r="CE169" s="195"/>
      <c r="CF169" s="194"/>
      <c r="CG169" s="123"/>
      <c r="CH169" s="195"/>
      <c r="CI169" s="194"/>
      <c r="CJ169" s="123"/>
      <c r="CK169" s="195"/>
      <c r="CL169" s="194"/>
      <c r="CM169" s="123"/>
      <c r="CN169" s="195"/>
      <c r="CO169" s="194"/>
      <c r="CP169" s="123"/>
      <c r="CQ169" s="195"/>
      <c r="CR169" s="194"/>
      <c r="CS169" s="123"/>
      <c r="CT169" s="195"/>
      <c r="CU169" s="194"/>
      <c r="CV169" s="123"/>
      <c r="CW169" s="195"/>
      <c r="CX169" s="194"/>
      <c r="CY169" s="123"/>
      <c r="CZ169" s="195"/>
      <c r="DA169" s="194"/>
      <c r="DB169" s="123"/>
      <c r="DC169" s="195"/>
      <c r="DD169" s="194"/>
      <c r="DE169" s="123"/>
      <c r="DF169" s="195"/>
      <c r="DH169" s="311"/>
      <c r="DI169" s="311"/>
      <c r="DJ169" s="311"/>
      <c r="DK169" s="311"/>
      <c r="DL169" s="321"/>
      <c r="DM169" s="321"/>
      <c r="DN169" s="321"/>
      <c r="DO169" s="321"/>
      <c r="DP169" s="321"/>
      <c r="DQ169" s="321"/>
      <c r="DR169" s="321"/>
      <c r="DS169" s="321"/>
    </row>
    <row r="170" spans="1:123" ht="7.4" customHeight="1" x14ac:dyDescent="0.5">
      <c r="A170" s="42"/>
      <c r="B170" s="42"/>
      <c r="C170" s="333"/>
      <c r="D170" s="333"/>
      <c r="E170" s="41"/>
      <c r="F170" s="42"/>
      <c r="G170" s="56"/>
      <c r="H170" s="56"/>
      <c r="I170" s="56"/>
      <c r="J170" s="56"/>
      <c r="K170" s="56"/>
      <c r="L170" s="56"/>
      <c r="M170" s="56"/>
      <c r="N170" s="56"/>
      <c r="O170" s="56"/>
      <c r="P170" s="56"/>
      <c r="Q170" s="56"/>
      <c r="R170" s="126"/>
      <c r="S170" s="42"/>
      <c r="AJ170" s="41"/>
      <c r="AK170" s="42"/>
      <c r="AL170" s="311"/>
      <c r="AM170" s="311"/>
      <c r="AN170" s="311"/>
      <c r="AO170" s="311"/>
      <c r="AP170" s="43"/>
      <c r="AQ170" s="42"/>
      <c r="AR170" s="131"/>
      <c r="AS170" s="131"/>
      <c r="AT170" s="131"/>
      <c r="AU170" s="131"/>
      <c r="AV170" s="131"/>
      <c r="AW170" s="131"/>
      <c r="AX170" s="105"/>
      <c r="AZ170" s="131"/>
      <c r="BA170" s="131"/>
      <c r="BB170" s="131"/>
      <c r="BC170" s="131"/>
      <c r="BD170" s="131"/>
      <c r="BE170" s="131"/>
      <c r="BF170" s="131"/>
      <c r="BG170" s="131"/>
      <c r="BH170" s="124"/>
      <c r="BI170" s="41"/>
      <c r="BK170" s="194"/>
      <c r="BL170" s="123"/>
      <c r="BM170" s="195"/>
      <c r="BN170" s="194"/>
      <c r="BO170" s="123"/>
      <c r="BP170" s="195"/>
      <c r="BQ170" s="194"/>
      <c r="BR170" s="123"/>
      <c r="BS170" s="195"/>
      <c r="BT170" s="194"/>
      <c r="BU170" s="123"/>
      <c r="BV170" s="195"/>
      <c r="BW170" s="194"/>
      <c r="BX170" s="123"/>
      <c r="BY170" s="195"/>
      <c r="BZ170" s="194"/>
      <c r="CA170" s="123"/>
      <c r="CB170" s="195"/>
      <c r="CC170" s="194"/>
      <c r="CD170" s="123"/>
      <c r="CE170" s="195"/>
      <c r="CF170" s="194"/>
      <c r="CG170" s="123"/>
      <c r="CH170" s="195"/>
      <c r="CI170" s="194"/>
      <c r="CJ170" s="123"/>
      <c r="CK170" s="195"/>
      <c r="CL170" s="194"/>
      <c r="CM170" s="123"/>
      <c r="CN170" s="195"/>
      <c r="CO170" s="194"/>
      <c r="CP170" s="123"/>
      <c r="CQ170" s="195"/>
      <c r="CR170" s="194"/>
      <c r="CS170" s="123"/>
      <c r="CT170" s="195"/>
      <c r="CU170" s="194"/>
      <c r="CV170" s="123"/>
      <c r="CW170" s="195"/>
      <c r="CX170" s="194"/>
      <c r="CY170" s="123"/>
      <c r="CZ170" s="195"/>
      <c r="DA170" s="194"/>
      <c r="DB170" s="123"/>
      <c r="DC170" s="195"/>
      <c r="DD170" s="194"/>
      <c r="DE170" s="123"/>
      <c r="DF170" s="195"/>
      <c r="DH170" s="311"/>
      <c r="DI170" s="311"/>
      <c r="DJ170" s="311"/>
      <c r="DK170" s="311"/>
      <c r="DL170" s="321"/>
      <c r="DM170" s="321"/>
      <c r="DN170" s="321"/>
      <c r="DO170" s="321"/>
      <c r="DP170" s="321"/>
      <c r="DQ170" s="321"/>
      <c r="DR170" s="321"/>
      <c r="DS170" s="321"/>
    </row>
    <row r="171" spans="1:123" ht="7.4" customHeight="1" x14ac:dyDescent="0.5">
      <c r="A171" s="42"/>
      <c r="B171" s="42"/>
      <c r="C171" s="311">
        <f>C167+1</f>
        <v>14</v>
      </c>
      <c r="D171" s="311"/>
      <c r="E171" s="41"/>
      <c r="F171" s="42"/>
      <c r="G171" s="319" t="str">
        <f>IF(AL171=0,"N/A","AXE_NSQ_8_SS")</f>
        <v>AXE_NSQ_8_SS</v>
      </c>
      <c r="H171" s="319"/>
      <c r="I171" s="319"/>
      <c r="J171" s="319"/>
      <c r="K171" s="319"/>
      <c r="L171" s="319"/>
      <c r="M171" s="319"/>
      <c r="N171" s="319"/>
      <c r="O171" s="319"/>
      <c r="P171" s="319"/>
      <c r="Q171" s="319"/>
      <c r="R171" s="320"/>
      <c r="S171" s="42"/>
      <c r="T171" s="405" t="str">
        <f>VLOOKUP(G171,PL!$B$9:$BH$1265,14,FALSE)</f>
        <v>Square Nut</v>
      </c>
      <c r="U171" s="405"/>
      <c r="V171" s="405"/>
      <c r="W171" s="405"/>
      <c r="X171" s="405"/>
      <c r="Y171" s="405"/>
      <c r="Z171" s="405"/>
      <c r="AA171" s="405"/>
      <c r="AB171" s="405"/>
      <c r="AC171" s="405"/>
      <c r="AD171" s="405"/>
      <c r="AE171" s="405"/>
      <c r="AF171" s="405"/>
      <c r="AG171" s="405"/>
      <c r="AH171" s="405"/>
      <c r="AI171" s="405"/>
      <c r="AJ171" s="411"/>
      <c r="AK171" s="42"/>
      <c r="AL171" s="311">
        <f>ROUND(SUM(BK171:DF171)*(1+$BF$72),0)</f>
        <v>420</v>
      </c>
      <c r="AM171" s="311"/>
      <c r="AN171" s="311"/>
      <c r="AO171" s="311"/>
      <c r="AP171" s="43"/>
      <c r="AQ171" s="128"/>
      <c r="AR171" s="308" t="str">
        <f>VLOOKUP(G171,PL!$B$9:$BH$818,52,FALSE)</f>
        <v>SOL-5953</v>
      </c>
      <c r="AS171" s="309"/>
      <c r="AT171" s="309"/>
      <c r="AU171" s="309"/>
      <c r="AV171" s="309"/>
      <c r="AW171" s="309"/>
      <c r="AX171" s="309"/>
      <c r="AY171" s="309"/>
      <c r="AZ171" s="309"/>
      <c r="BA171" s="309"/>
      <c r="BB171" s="309"/>
      <c r="BC171" s="309"/>
      <c r="BD171" s="309"/>
      <c r="BE171" s="309"/>
      <c r="BF171" s="309"/>
      <c r="BG171" s="309"/>
      <c r="BH171" s="124"/>
      <c r="BI171" s="41"/>
      <c r="BK171" s="412">
        <f>IF($X$78="Frameless",BK131,BK159)+BK135</f>
        <v>400</v>
      </c>
      <c r="BL171" s="413"/>
      <c r="BM171" s="414"/>
      <c r="BN171" s="412">
        <f t="shared" ref="BN171" si="68">IF($X$78="Frameless",BN131,BN159)+BN135</f>
        <v>0</v>
      </c>
      <c r="BO171" s="413"/>
      <c r="BP171" s="414"/>
      <c r="BQ171" s="412">
        <f t="shared" ref="BQ171" si="69">IF($X$78="Frameless",BQ131,BQ159)+BQ135</f>
        <v>0</v>
      </c>
      <c r="BR171" s="413"/>
      <c r="BS171" s="414"/>
      <c r="BT171" s="412">
        <f t="shared" ref="BT171" si="70">IF($X$78="Frameless",BT131,BT159)+BT135</f>
        <v>0</v>
      </c>
      <c r="BU171" s="413"/>
      <c r="BV171" s="414"/>
      <c r="BW171" s="412">
        <f t="shared" ref="BW171" si="71">IF($X$78="Frameless",BW131,BW159)+BW135</f>
        <v>0</v>
      </c>
      <c r="BX171" s="413"/>
      <c r="BY171" s="414"/>
      <c r="BZ171" s="412">
        <f t="shared" ref="BZ171" si="72">IF($X$78="Frameless",BZ131,BZ159)+BZ135</f>
        <v>0</v>
      </c>
      <c r="CA171" s="413"/>
      <c r="CB171" s="414"/>
      <c r="CC171" s="412">
        <f t="shared" ref="CC171" si="73">IF($X$78="Frameless",CC131,CC159)+CC135</f>
        <v>0</v>
      </c>
      <c r="CD171" s="413"/>
      <c r="CE171" s="414"/>
      <c r="CF171" s="412">
        <f t="shared" ref="CF171" si="74">IF($X$78="Frameless",CF131,CF159)+CF135</f>
        <v>0</v>
      </c>
      <c r="CG171" s="413"/>
      <c r="CH171" s="414"/>
      <c r="CI171" s="412">
        <f t="shared" ref="CI171" si="75">IF($X$78="Frameless",CI131,CI159)+CI135</f>
        <v>0</v>
      </c>
      <c r="CJ171" s="413"/>
      <c r="CK171" s="414"/>
      <c r="CL171" s="412">
        <f t="shared" ref="CL171" si="76">IF($X$78="Frameless",CL131,CL159)+CL135</f>
        <v>0</v>
      </c>
      <c r="CM171" s="413"/>
      <c r="CN171" s="414"/>
      <c r="CO171" s="412">
        <f t="shared" ref="CO171" si="77">IF($X$78="Frameless",CO131,CO159)+CO135</f>
        <v>0</v>
      </c>
      <c r="CP171" s="413"/>
      <c r="CQ171" s="414"/>
      <c r="CR171" s="412">
        <f t="shared" ref="CR171" si="78">IF($X$78="Frameless",CR131,CR159)+CR135</f>
        <v>0</v>
      </c>
      <c r="CS171" s="413"/>
      <c r="CT171" s="414"/>
      <c r="CU171" s="412">
        <f t="shared" ref="CU171" si="79">IF($X$78="Frameless",CU131,CU159)+CU135</f>
        <v>0</v>
      </c>
      <c r="CV171" s="413"/>
      <c r="CW171" s="414"/>
      <c r="CX171" s="412">
        <f t="shared" ref="CX171" si="80">IF($X$78="Frameless",CX131,CX159)+CX135</f>
        <v>0</v>
      </c>
      <c r="CY171" s="413"/>
      <c r="CZ171" s="414"/>
      <c r="DA171" s="412">
        <f t="shared" ref="DA171" si="81">IF($X$78="Frameless",DA131,DA159)+DA135</f>
        <v>0</v>
      </c>
      <c r="DB171" s="413"/>
      <c r="DC171" s="414"/>
      <c r="DD171" s="412">
        <f t="shared" ref="DD171" si="82">IF($X$78="Frameless",DD131,DD159)+DD135</f>
        <v>0</v>
      </c>
      <c r="DE171" s="413"/>
      <c r="DF171" s="414"/>
      <c r="DH171" s="311"/>
      <c r="DI171" s="311"/>
      <c r="DJ171" s="311"/>
      <c r="DK171" s="311"/>
      <c r="DL171" s="321"/>
      <c r="DM171" s="321"/>
      <c r="DN171" s="321"/>
      <c r="DO171" s="321"/>
      <c r="DP171" s="321"/>
      <c r="DQ171" s="321"/>
      <c r="DR171" s="321"/>
      <c r="DS171" s="321"/>
    </row>
    <row r="172" spans="1:123" ht="7.4" customHeight="1" x14ac:dyDescent="0.5">
      <c r="A172" s="42"/>
      <c r="B172" s="42"/>
      <c r="C172" s="311"/>
      <c r="D172" s="311"/>
      <c r="E172" s="41"/>
      <c r="F172" s="42"/>
      <c r="G172" s="319"/>
      <c r="H172" s="319"/>
      <c r="I172" s="319"/>
      <c r="J172" s="319"/>
      <c r="K172" s="319"/>
      <c r="L172" s="319"/>
      <c r="M172" s="319"/>
      <c r="N172" s="319"/>
      <c r="O172" s="319"/>
      <c r="P172" s="319"/>
      <c r="Q172" s="319"/>
      <c r="R172" s="320"/>
      <c r="S172" s="42"/>
      <c r="T172" s="405"/>
      <c r="U172" s="405"/>
      <c r="V172" s="405"/>
      <c r="W172" s="405"/>
      <c r="X172" s="405"/>
      <c r="Y172" s="405"/>
      <c r="Z172" s="405"/>
      <c r="AA172" s="405"/>
      <c r="AB172" s="405"/>
      <c r="AC172" s="405"/>
      <c r="AD172" s="405"/>
      <c r="AE172" s="405"/>
      <c r="AF172" s="405"/>
      <c r="AG172" s="405"/>
      <c r="AH172" s="405"/>
      <c r="AI172" s="405"/>
      <c r="AJ172" s="411"/>
      <c r="AK172" s="42"/>
      <c r="AL172" s="311"/>
      <c r="AM172" s="311"/>
      <c r="AN172" s="311"/>
      <c r="AO172" s="311"/>
      <c r="AP172" s="43"/>
      <c r="AQ172" s="128"/>
      <c r="AR172" s="309"/>
      <c r="AS172" s="309"/>
      <c r="AT172" s="309"/>
      <c r="AU172" s="309"/>
      <c r="AV172" s="309"/>
      <c r="AW172" s="309"/>
      <c r="AX172" s="309"/>
      <c r="AY172" s="309"/>
      <c r="AZ172" s="309"/>
      <c r="BA172" s="309"/>
      <c r="BB172" s="309"/>
      <c r="BC172" s="309"/>
      <c r="BD172" s="309"/>
      <c r="BE172" s="309"/>
      <c r="BF172" s="309"/>
      <c r="BG172" s="309"/>
      <c r="BH172" s="124"/>
      <c r="BI172" s="41"/>
      <c r="BK172" s="412"/>
      <c r="BL172" s="413"/>
      <c r="BM172" s="414"/>
      <c r="BN172" s="412"/>
      <c r="BO172" s="413"/>
      <c r="BP172" s="414"/>
      <c r="BQ172" s="412"/>
      <c r="BR172" s="413"/>
      <c r="BS172" s="414"/>
      <c r="BT172" s="412"/>
      <c r="BU172" s="413"/>
      <c r="BV172" s="414"/>
      <c r="BW172" s="412"/>
      <c r="BX172" s="413"/>
      <c r="BY172" s="414"/>
      <c r="BZ172" s="412"/>
      <c r="CA172" s="413"/>
      <c r="CB172" s="414"/>
      <c r="CC172" s="412"/>
      <c r="CD172" s="413"/>
      <c r="CE172" s="414"/>
      <c r="CF172" s="412"/>
      <c r="CG172" s="413"/>
      <c r="CH172" s="414"/>
      <c r="CI172" s="412"/>
      <c r="CJ172" s="413"/>
      <c r="CK172" s="414"/>
      <c r="CL172" s="412"/>
      <c r="CM172" s="413"/>
      <c r="CN172" s="414"/>
      <c r="CO172" s="412"/>
      <c r="CP172" s="413"/>
      <c r="CQ172" s="414"/>
      <c r="CR172" s="412"/>
      <c r="CS172" s="413"/>
      <c r="CT172" s="414"/>
      <c r="CU172" s="412"/>
      <c r="CV172" s="413"/>
      <c r="CW172" s="414"/>
      <c r="CX172" s="412"/>
      <c r="CY172" s="413"/>
      <c r="CZ172" s="414"/>
      <c r="DA172" s="412"/>
      <c r="DB172" s="413"/>
      <c r="DC172" s="414"/>
      <c r="DD172" s="412"/>
      <c r="DE172" s="413"/>
      <c r="DF172" s="414"/>
      <c r="DH172" s="311"/>
      <c r="DI172" s="311"/>
      <c r="DJ172" s="311"/>
      <c r="DK172" s="311"/>
      <c r="DL172" s="321"/>
      <c r="DM172" s="321"/>
      <c r="DN172" s="321"/>
      <c r="DO172" s="321"/>
      <c r="DP172" s="321"/>
      <c r="DQ172" s="321"/>
      <c r="DR172" s="321"/>
      <c r="DS172" s="321"/>
    </row>
    <row r="173" spans="1:123" ht="7.4" customHeight="1" x14ac:dyDescent="0.5">
      <c r="A173" s="42"/>
      <c r="B173" s="42"/>
      <c r="C173" s="333"/>
      <c r="D173" s="333"/>
      <c r="E173" s="41"/>
      <c r="F173" s="42"/>
      <c r="G173" s="56"/>
      <c r="H173" s="56"/>
      <c r="I173" s="56"/>
      <c r="J173" s="56"/>
      <c r="K173" s="56"/>
      <c r="L173" s="56"/>
      <c r="M173" s="56"/>
      <c r="N173" s="56"/>
      <c r="O173" s="56"/>
      <c r="P173" s="56"/>
      <c r="Q173" s="56"/>
      <c r="R173" s="126"/>
      <c r="S173" s="42"/>
      <c r="T173" s="116" t="str">
        <f>VLOOKUP(G171,PL!$B$9:$BH$1265,33,FALSE)</f>
        <v>Stainless Steel, M8</v>
      </c>
      <c r="AJ173" s="41"/>
      <c r="AK173" s="42"/>
      <c r="AL173" s="311"/>
      <c r="AM173" s="311"/>
      <c r="AN173" s="311"/>
      <c r="AO173" s="311"/>
      <c r="AP173" s="43"/>
      <c r="AQ173" s="42"/>
      <c r="AR173" s="131"/>
      <c r="AS173" s="131"/>
      <c r="AT173" s="131"/>
      <c r="AU173" s="131"/>
      <c r="AV173" s="131"/>
      <c r="AW173" s="131"/>
      <c r="AX173" s="105"/>
      <c r="AZ173" s="131"/>
      <c r="BA173" s="131"/>
      <c r="BB173" s="131"/>
      <c r="BC173" s="131"/>
      <c r="BD173" s="131"/>
      <c r="BE173" s="131"/>
      <c r="BF173" s="131"/>
      <c r="BG173" s="131"/>
      <c r="BH173" s="124"/>
      <c r="BI173" s="41"/>
      <c r="BK173" s="194"/>
      <c r="BL173" s="123"/>
      <c r="BM173" s="195"/>
      <c r="BN173" s="194"/>
      <c r="BO173" s="123"/>
      <c r="BP173" s="195"/>
      <c r="BQ173" s="194"/>
      <c r="BR173" s="123"/>
      <c r="BS173" s="195"/>
      <c r="BT173" s="194"/>
      <c r="BU173" s="123"/>
      <c r="BV173" s="195"/>
      <c r="BW173" s="194"/>
      <c r="BX173" s="123"/>
      <c r="BY173" s="195"/>
      <c r="BZ173" s="194"/>
      <c r="CA173" s="123"/>
      <c r="CB173" s="195"/>
      <c r="CC173" s="194"/>
      <c r="CD173" s="123"/>
      <c r="CE173" s="195"/>
      <c r="CF173" s="194"/>
      <c r="CG173" s="123"/>
      <c r="CH173" s="195"/>
      <c r="CI173" s="194"/>
      <c r="CJ173" s="123"/>
      <c r="CK173" s="195"/>
      <c r="CL173" s="194"/>
      <c r="CM173" s="123"/>
      <c r="CN173" s="195"/>
      <c r="CO173" s="194"/>
      <c r="CP173" s="123"/>
      <c r="CQ173" s="195"/>
      <c r="CR173" s="194"/>
      <c r="CS173" s="123"/>
      <c r="CT173" s="195"/>
      <c r="CU173" s="194"/>
      <c r="CV173" s="123"/>
      <c r="CW173" s="195"/>
      <c r="CX173" s="194"/>
      <c r="CY173" s="123"/>
      <c r="CZ173" s="195"/>
      <c r="DA173" s="194"/>
      <c r="DB173" s="123"/>
      <c r="DC173" s="195"/>
      <c r="DD173" s="194"/>
      <c r="DE173" s="123"/>
      <c r="DF173" s="195"/>
      <c r="DH173" s="311"/>
      <c r="DI173" s="311"/>
      <c r="DJ173" s="311"/>
      <c r="DK173" s="311"/>
      <c r="DL173" s="321"/>
      <c r="DM173" s="321"/>
      <c r="DN173" s="321"/>
      <c r="DO173" s="321"/>
      <c r="DP173" s="321"/>
      <c r="DQ173" s="321"/>
      <c r="DR173" s="321"/>
      <c r="DS173" s="321"/>
    </row>
    <row r="174" spans="1:123" ht="7.4" customHeight="1" x14ac:dyDescent="0.5">
      <c r="A174" s="42"/>
      <c r="B174" s="42"/>
      <c r="C174" s="333"/>
      <c r="D174" s="333"/>
      <c r="E174" s="41"/>
      <c r="F174" s="42"/>
      <c r="G174" s="56"/>
      <c r="H174" s="56"/>
      <c r="I174" s="56"/>
      <c r="J174" s="56"/>
      <c r="K174" s="56"/>
      <c r="L174" s="56"/>
      <c r="M174" s="56"/>
      <c r="N174" s="56"/>
      <c r="O174" s="56"/>
      <c r="P174" s="56"/>
      <c r="Q174" s="56"/>
      <c r="R174" s="126"/>
      <c r="S174" s="42"/>
      <c r="AJ174" s="41"/>
      <c r="AK174" s="42"/>
      <c r="AL174" s="311"/>
      <c r="AM174" s="311"/>
      <c r="AN174" s="311"/>
      <c r="AO174" s="311"/>
      <c r="AP174" s="43"/>
      <c r="AQ174" s="42"/>
      <c r="AR174" s="131"/>
      <c r="AS174" s="131"/>
      <c r="AT174" s="131"/>
      <c r="AU174" s="131"/>
      <c r="AV174" s="131"/>
      <c r="AW174" s="131"/>
      <c r="AX174" s="105"/>
      <c r="AZ174" s="131"/>
      <c r="BA174" s="131"/>
      <c r="BB174" s="131"/>
      <c r="BC174" s="131"/>
      <c r="BD174" s="131"/>
      <c r="BE174" s="131"/>
      <c r="BF174" s="131"/>
      <c r="BG174" s="131"/>
      <c r="BH174" s="124"/>
      <c r="BI174" s="41"/>
      <c r="BK174" s="194"/>
      <c r="BL174" s="123"/>
      <c r="BM174" s="195"/>
      <c r="BN174" s="194"/>
      <c r="BO174" s="123"/>
      <c r="BP174" s="195"/>
      <c r="BQ174" s="194"/>
      <c r="BR174" s="123"/>
      <c r="BS174" s="195"/>
      <c r="BT174" s="194"/>
      <c r="BU174" s="123"/>
      <c r="BV174" s="195"/>
      <c r="BW174" s="194"/>
      <c r="BX174" s="123"/>
      <c r="BY174" s="195"/>
      <c r="BZ174" s="194"/>
      <c r="CA174" s="123"/>
      <c r="CB174" s="195"/>
      <c r="CC174" s="194"/>
      <c r="CD174" s="123"/>
      <c r="CE174" s="195"/>
      <c r="CF174" s="194"/>
      <c r="CG174" s="123"/>
      <c r="CH174" s="195"/>
      <c r="CI174" s="194"/>
      <c r="CJ174" s="123"/>
      <c r="CK174" s="195"/>
      <c r="CL174" s="194"/>
      <c r="CM174" s="123"/>
      <c r="CN174" s="195"/>
      <c r="CO174" s="194"/>
      <c r="CP174" s="123"/>
      <c r="CQ174" s="195"/>
      <c r="CR174" s="194"/>
      <c r="CS174" s="123"/>
      <c r="CT174" s="195"/>
      <c r="CU174" s="194"/>
      <c r="CV174" s="123"/>
      <c r="CW174" s="195"/>
      <c r="CX174" s="194"/>
      <c r="CY174" s="123"/>
      <c r="CZ174" s="195"/>
      <c r="DA174" s="194"/>
      <c r="DB174" s="123"/>
      <c r="DC174" s="195"/>
      <c r="DD174" s="194"/>
      <c r="DE174" s="123"/>
      <c r="DF174" s="195"/>
      <c r="DH174" s="311"/>
      <c r="DI174" s="311"/>
      <c r="DJ174" s="311"/>
      <c r="DK174" s="311"/>
      <c r="DL174" s="321"/>
      <c r="DM174" s="321"/>
      <c r="DN174" s="321"/>
      <c r="DO174" s="321"/>
      <c r="DP174" s="321"/>
      <c r="DQ174" s="321"/>
      <c r="DR174" s="321"/>
      <c r="DS174" s="321"/>
    </row>
    <row r="175" spans="1:123" ht="7.4" customHeight="1" x14ac:dyDescent="0.5">
      <c r="A175" s="42"/>
      <c r="B175" s="42"/>
      <c r="C175" s="311">
        <f>C171+1</f>
        <v>15</v>
      </c>
      <c r="D175" s="311"/>
      <c r="E175" s="41"/>
      <c r="F175" s="42"/>
      <c r="G175" s="319" t="str">
        <f>IF(AL175=0,"N/A","AXE_NST_8_PP")</f>
        <v>AXE_NST_8_PP</v>
      </c>
      <c r="H175" s="319"/>
      <c r="I175" s="319"/>
      <c r="J175" s="319"/>
      <c r="K175" s="319"/>
      <c r="L175" s="319"/>
      <c r="M175" s="319"/>
      <c r="N175" s="319"/>
      <c r="O175" s="319"/>
      <c r="P175" s="319"/>
      <c r="Q175" s="319"/>
      <c r="R175" s="320"/>
      <c r="S175" s="42"/>
      <c r="T175" s="405" t="str">
        <f>VLOOKUP(G175,PL!$B$9:$BH$1265,14,FALSE)</f>
        <v>Nut Stopper</v>
      </c>
      <c r="U175" s="405"/>
      <c r="V175" s="405"/>
      <c r="W175" s="405"/>
      <c r="X175" s="405"/>
      <c r="Y175" s="405"/>
      <c r="Z175" s="405"/>
      <c r="AA175" s="405"/>
      <c r="AB175" s="405"/>
      <c r="AC175" s="405"/>
      <c r="AD175" s="405"/>
      <c r="AE175" s="405"/>
      <c r="AF175" s="405"/>
      <c r="AG175" s="405"/>
      <c r="AH175" s="405"/>
      <c r="AI175" s="405"/>
      <c r="AJ175" s="411"/>
      <c r="AK175" s="42"/>
      <c r="AL175" s="311">
        <f>ROUND(SUM(BK175:DF175)*(1+$BF$72),0)</f>
        <v>420</v>
      </c>
      <c r="AM175" s="311"/>
      <c r="AN175" s="311"/>
      <c r="AO175" s="311"/>
      <c r="AP175" s="43"/>
      <c r="AQ175" s="128"/>
      <c r="AR175" s="308" t="str">
        <f>VLOOKUP(G175,PL!$B$9:$BH$818,52,FALSE)</f>
        <v>SOL-5954</v>
      </c>
      <c r="AS175" s="309"/>
      <c r="AT175" s="309"/>
      <c r="AU175" s="309"/>
      <c r="AV175" s="309"/>
      <c r="AW175" s="309"/>
      <c r="AX175" s="309"/>
      <c r="AY175" s="309"/>
      <c r="AZ175" s="309"/>
      <c r="BA175" s="309"/>
      <c r="BB175" s="309"/>
      <c r="BC175" s="309"/>
      <c r="BD175" s="309"/>
      <c r="BE175" s="309"/>
      <c r="BF175" s="309"/>
      <c r="BG175" s="309"/>
      <c r="BH175" s="124"/>
      <c r="BI175" s="41"/>
      <c r="BK175" s="412">
        <f>BK171</f>
        <v>400</v>
      </c>
      <c r="BL175" s="413"/>
      <c r="BM175" s="414"/>
      <c r="BN175" s="412">
        <f>BN171</f>
        <v>0</v>
      </c>
      <c r="BO175" s="413"/>
      <c r="BP175" s="414"/>
      <c r="BQ175" s="412">
        <f>BQ171</f>
        <v>0</v>
      </c>
      <c r="BR175" s="413"/>
      <c r="BS175" s="414"/>
      <c r="BT175" s="412">
        <f>BT171</f>
        <v>0</v>
      </c>
      <c r="BU175" s="413"/>
      <c r="BV175" s="414"/>
      <c r="BW175" s="412">
        <f>BW171</f>
        <v>0</v>
      </c>
      <c r="BX175" s="413"/>
      <c r="BY175" s="414"/>
      <c r="BZ175" s="412">
        <f>BZ171</f>
        <v>0</v>
      </c>
      <c r="CA175" s="413"/>
      <c r="CB175" s="414"/>
      <c r="CC175" s="412">
        <f>CC171</f>
        <v>0</v>
      </c>
      <c r="CD175" s="413"/>
      <c r="CE175" s="414"/>
      <c r="CF175" s="412">
        <f>CF171</f>
        <v>0</v>
      </c>
      <c r="CG175" s="413"/>
      <c r="CH175" s="414"/>
      <c r="CI175" s="412">
        <f>CI171</f>
        <v>0</v>
      </c>
      <c r="CJ175" s="413"/>
      <c r="CK175" s="414"/>
      <c r="CL175" s="412">
        <f>CL171</f>
        <v>0</v>
      </c>
      <c r="CM175" s="413"/>
      <c r="CN175" s="414"/>
      <c r="CO175" s="412">
        <f>CO171</f>
        <v>0</v>
      </c>
      <c r="CP175" s="413"/>
      <c r="CQ175" s="414"/>
      <c r="CR175" s="412">
        <f>CR171</f>
        <v>0</v>
      </c>
      <c r="CS175" s="413"/>
      <c r="CT175" s="414"/>
      <c r="CU175" s="412">
        <f>CU171</f>
        <v>0</v>
      </c>
      <c r="CV175" s="413"/>
      <c r="CW175" s="414"/>
      <c r="CX175" s="412">
        <f>CX171</f>
        <v>0</v>
      </c>
      <c r="CY175" s="413"/>
      <c r="CZ175" s="414"/>
      <c r="DA175" s="412">
        <f>DA171</f>
        <v>0</v>
      </c>
      <c r="DB175" s="413"/>
      <c r="DC175" s="414"/>
      <c r="DD175" s="412">
        <f>DD171</f>
        <v>0</v>
      </c>
      <c r="DE175" s="413"/>
      <c r="DF175" s="414"/>
      <c r="DH175" s="311"/>
      <c r="DI175" s="311"/>
      <c r="DJ175" s="311"/>
      <c r="DK175" s="311"/>
      <c r="DL175" s="321"/>
      <c r="DM175" s="321"/>
      <c r="DN175" s="321"/>
      <c r="DO175" s="321"/>
      <c r="DP175" s="321"/>
      <c r="DQ175" s="321"/>
      <c r="DR175" s="321"/>
      <c r="DS175" s="321"/>
    </row>
    <row r="176" spans="1:123" ht="7.4" customHeight="1" x14ac:dyDescent="0.5">
      <c r="A176" s="42"/>
      <c r="B176" s="42"/>
      <c r="C176" s="311"/>
      <c r="D176" s="311"/>
      <c r="E176" s="41"/>
      <c r="F176" s="42"/>
      <c r="G176" s="319"/>
      <c r="H176" s="319"/>
      <c r="I176" s="319"/>
      <c r="J176" s="319"/>
      <c r="K176" s="319"/>
      <c r="L176" s="319"/>
      <c r="M176" s="319"/>
      <c r="N176" s="319"/>
      <c r="O176" s="319"/>
      <c r="P176" s="319"/>
      <c r="Q176" s="319"/>
      <c r="R176" s="320"/>
      <c r="S176" s="42"/>
      <c r="T176" s="405"/>
      <c r="U176" s="405"/>
      <c r="V176" s="405"/>
      <c r="W176" s="405"/>
      <c r="X176" s="405"/>
      <c r="Y176" s="405"/>
      <c r="Z176" s="405"/>
      <c r="AA176" s="405"/>
      <c r="AB176" s="405"/>
      <c r="AC176" s="405"/>
      <c r="AD176" s="405"/>
      <c r="AE176" s="405"/>
      <c r="AF176" s="405"/>
      <c r="AG176" s="405"/>
      <c r="AH176" s="405"/>
      <c r="AI176" s="405"/>
      <c r="AJ176" s="411"/>
      <c r="AK176" s="42"/>
      <c r="AL176" s="311"/>
      <c r="AM176" s="311"/>
      <c r="AN176" s="311"/>
      <c r="AO176" s="311"/>
      <c r="AP176" s="43"/>
      <c r="AQ176" s="128"/>
      <c r="AR176" s="309"/>
      <c r="AS176" s="309"/>
      <c r="AT176" s="309"/>
      <c r="AU176" s="309"/>
      <c r="AV176" s="309"/>
      <c r="AW176" s="309"/>
      <c r="AX176" s="309"/>
      <c r="AY176" s="309"/>
      <c r="AZ176" s="309"/>
      <c r="BA176" s="309"/>
      <c r="BB176" s="309"/>
      <c r="BC176" s="309"/>
      <c r="BD176" s="309"/>
      <c r="BE176" s="309"/>
      <c r="BF176" s="309"/>
      <c r="BG176" s="309"/>
      <c r="BH176" s="124"/>
      <c r="BI176" s="41"/>
      <c r="BK176" s="412"/>
      <c r="BL176" s="413"/>
      <c r="BM176" s="414"/>
      <c r="BN176" s="412"/>
      <c r="BO176" s="413"/>
      <c r="BP176" s="414"/>
      <c r="BQ176" s="412"/>
      <c r="BR176" s="413"/>
      <c r="BS176" s="414"/>
      <c r="BT176" s="412"/>
      <c r="BU176" s="413"/>
      <c r="BV176" s="414"/>
      <c r="BW176" s="412"/>
      <c r="BX176" s="413"/>
      <c r="BY176" s="414"/>
      <c r="BZ176" s="412"/>
      <c r="CA176" s="413"/>
      <c r="CB176" s="414"/>
      <c r="CC176" s="412"/>
      <c r="CD176" s="413"/>
      <c r="CE176" s="414"/>
      <c r="CF176" s="412"/>
      <c r="CG176" s="413"/>
      <c r="CH176" s="414"/>
      <c r="CI176" s="412"/>
      <c r="CJ176" s="413"/>
      <c r="CK176" s="414"/>
      <c r="CL176" s="412"/>
      <c r="CM176" s="413"/>
      <c r="CN176" s="414"/>
      <c r="CO176" s="412"/>
      <c r="CP176" s="413"/>
      <c r="CQ176" s="414"/>
      <c r="CR176" s="412"/>
      <c r="CS176" s="413"/>
      <c r="CT176" s="414"/>
      <c r="CU176" s="412"/>
      <c r="CV176" s="413"/>
      <c r="CW176" s="414"/>
      <c r="CX176" s="412"/>
      <c r="CY176" s="413"/>
      <c r="CZ176" s="414"/>
      <c r="DA176" s="412"/>
      <c r="DB176" s="413"/>
      <c r="DC176" s="414"/>
      <c r="DD176" s="412"/>
      <c r="DE176" s="413"/>
      <c r="DF176" s="414"/>
      <c r="DH176" s="311"/>
      <c r="DI176" s="311"/>
      <c r="DJ176" s="311"/>
      <c r="DK176" s="311"/>
      <c r="DL176" s="321"/>
      <c r="DM176" s="321"/>
      <c r="DN176" s="321"/>
      <c r="DO176" s="321"/>
      <c r="DP176" s="321"/>
      <c r="DQ176" s="321"/>
      <c r="DR176" s="321"/>
      <c r="DS176" s="321"/>
    </row>
    <row r="177" spans="1:123" ht="7.4" customHeight="1" x14ac:dyDescent="0.5">
      <c r="A177" s="42"/>
      <c r="B177" s="42"/>
      <c r="C177" s="333"/>
      <c r="D177" s="333"/>
      <c r="E177" s="41"/>
      <c r="F177" s="42"/>
      <c r="G177" s="56"/>
      <c r="H177" s="56"/>
      <c r="I177" s="56"/>
      <c r="J177" s="56"/>
      <c r="K177" s="56"/>
      <c r="L177" s="56"/>
      <c r="M177" s="56"/>
      <c r="N177" s="56"/>
      <c r="O177" s="56"/>
      <c r="P177" s="56"/>
      <c r="Q177" s="56"/>
      <c r="R177" s="126"/>
      <c r="S177" s="42"/>
      <c r="T177" s="116" t="str">
        <f>VLOOKUP(G175,PL!$B$9:$BH$1265,33,FALSE)</f>
        <v>Polypropylene Polymer, M8</v>
      </c>
      <c r="AJ177" s="41"/>
      <c r="AK177" s="42"/>
      <c r="AL177" s="311"/>
      <c r="AM177" s="311"/>
      <c r="AN177" s="311"/>
      <c r="AO177" s="311"/>
      <c r="AP177" s="43"/>
      <c r="AQ177" s="42"/>
      <c r="AR177" s="131"/>
      <c r="AS177" s="131"/>
      <c r="AT177" s="131"/>
      <c r="AU177" s="131"/>
      <c r="AV177" s="131"/>
      <c r="AW177" s="131"/>
      <c r="AX177" s="105"/>
      <c r="AZ177" s="131"/>
      <c r="BA177" s="131"/>
      <c r="BB177" s="131"/>
      <c r="BC177" s="131"/>
      <c r="BD177" s="131"/>
      <c r="BE177" s="131"/>
      <c r="BF177" s="131"/>
      <c r="BG177" s="131"/>
      <c r="BH177" s="124"/>
      <c r="BI177" s="41"/>
      <c r="BK177" s="194"/>
      <c r="BL177" s="123"/>
      <c r="BM177" s="195"/>
      <c r="BN177" s="194"/>
      <c r="BO177" s="123"/>
      <c r="BP177" s="195"/>
      <c r="BQ177" s="194"/>
      <c r="BR177" s="123"/>
      <c r="BS177" s="195"/>
      <c r="BT177" s="194"/>
      <c r="BU177" s="123"/>
      <c r="BV177" s="195"/>
      <c r="BW177" s="194"/>
      <c r="BX177" s="123"/>
      <c r="BY177" s="195"/>
      <c r="BZ177" s="194"/>
      <c r="CA177" s="123"/>
      <c r="CB177" s="195"/>
      <c r="CC177" s="194"/>
      <c r="CD177" s="123"/>
      <c r="CE177" s="195"/>
      <c r="CF177" s="194"/>
      <c r="CG177" s="123"/>
      <c r="CH177" s="195"/>
      <c r="CI177" s="194"/>
      <c r="CJ177" s="123"/>
      <c r="CK177" s="195"/>
      <c r="CL177" s="194"/>
      <c r="CM177" s="123"/>
      <c r="CN177" s="195"/>
      <c r="CO177" s="194"/>
      <c r="CP177" s="123"/>
      <c r="CQ177" s="195"/>
      <c r="CR177" s="194"/>
      <c r="CS177" s="123"/>
      <c r="CT177" s="195"/>
      <c r="CU177" s="194"/>
      <c r="CV177" s="123"/>
      <c r="CW177" s="195"/>
      <c r="CX177" s="194"/>
      <c r="CY177" s="123"/>
      <c r="CZ177" s="195"/>
      <c r="DA177" s="194"/>
      <c r="DB177" s="123"/>
      <c r="DC177" s="195"/>
      <c r="DD177" s="194"/>
      <c r="DE177" s="123"/>
      <c r="DF177" s="195"/>
      <c r="DH177" s="311"/>
      <c r="DI177" s="311"/>
      <c r="DJ177" s="311"/>
      <c r="DK177" s="311"/>
      <c r="DL177" s="321"/>
      <c r="DM177" s="321"/>
      <c r="DN177" s="321"/>
      <c r="DO177" s="321"/>
      <c r="DP177" s="321"/>
      <c r="DQ177" s="321"/>
      <c r="DR177" s="321"/>
      <c r="DS177" s="321"/>
    </row>
    <row r="178" spans="1:123" ht="7.4" customHeight="1" x14ac:dyDescent="0.5">
      <c r="A178" s="42"/>
      <c r="B178" s="42"/>
      <c r="C178" s="55"/>
      <c r="D178" s="55"/>
      <c r="E178" s="41"/>
      <c r="F178" s="42"/>
      <c r="G178" s="56"/>
      <c r="H178" s="56"/>
      <c r="I178" s="56"/>
      <c r="J178" s="56"/>
      <c r="K178" s="56"/>
      <c r="L178" s="56"/>
      <c r="M178" s="56"/>
      <c r="N178" s="56"/>
      <c r="O178" s="56"/>
      <c r="P178" s="56"/>
      <c r="Q178" s="56"/>
      <c r="R178" s="126"/>
      <c r="S178" s="42"/>
      <c r="AJ178" s="41"/>
      <c r="AK178" s="42"/>
      <c r="AL178" s="311"/>
      <c r="AM178" s="311"/>
      <c r="AN178" s="311"/>
      <c r="AO178" s="311"/>
      <c r="AP178" s="43"/>
      <c r="AQ178" s="42"/>
      <c r="AR178" s="131"/>
      <c r="AS178" s="131"/>
      <c r="AT178" s="131"/>
      <c r="AU178" s="131"/>
      <c r="AV178" s="131"/>
      <c r="AW178" s="131"/>
      <c r="AX178" s="105"/>
      <c r="AZ178" s="131"/>
      <c r="BA178" s="131"/>
      <c r="BB178" s="131"/>
      <c r="BC178" s="131"/>
      <c r="BD178" s="131"/>
      <c r="BE178" s="131"/>
      <c r="BF178" s="131"/>
      <c r="BG178" s="131"/>
      <c r="BH178" s="124"/>
      <c r="BI178" s="41"/>
      <c r="BK178" s="194"/>
      <c r="BL178" s="123"/>
      <c r="BM178" s="195"/>
      <c r="BN178" s="194"/>
      <c r="BO178" s="123"/>
      <c r="BP178" s="195"/>
      <c r="BQ178" s="194"/>
      <c r="BR178" s="123"/>
      <c r="BS178" s="195"/>
      <c r="BT178" s="194"/>
      <c r="BU178" s="123"/>
      <c r="BV178" s="195"/>
      <c r="BW178" s="194"/>
      <c r="BX178" s="123"/>
      <c r="BY178" s="195"/>
      <c r="BZ178" s="194"/>
      <c r="CA178" s="123"/>
      <c r="CB178" s="195"/>
      <c r="CC178" s="194"/>
      <c r="CD178" s="123"/>
      <c r="CE178" s="195"/>
      <c r="CF178" s="194"/>
      <c r="CG178" s="123"/>
      <c r="CH178" s="195"/>
      <c r="CI178" s="194"/>
      <c r="CJ178" s="123"/>
      <c r="CK178" s="195"/>
      <c r="CL178" s="194"/>
      <c r="CM178" s="123"/>
      <c r="CN178" s="195"/>
      <c r="CO178" s="194"/>
      <c r="CP178" s="123"/>
      <c r="CQ178" s="195"/>
      <c r="CR178" s="194"/>
      <c r="CS178" s="123"/>
      <c r="CT178" s="195"/>
      <c r="CU178" s="194"/>
      <c r="CV178" s="123"/>
      <c r="CW178" s="195"/>
      <c r="CX178" s="194"/>
      <c r="CY178" s="123"/>
      <c r="CZ178" s="195"/>
      <c r="DA178" s="194"/>
      <c r="DB178" s="123"/>
      <c r="DC178" s="195"/>
      <c r="DD178" s="194"/>
      <c r="DE178" s="123"/>
      <c r="DF178" s="195"/>
      <c r="DH178" s="311"/>
      <c r="DI178" s="311"/>
      <c r="DJ178" s="311"/>
      <c r="DK178" s="311"/>
      <c r="DL178" s="321"/>
      <c r="DM178" s="321"/>
      <c r="DN178" s="321"/>
      <c r="DO178" s="321"/>
      <c r="DP178" s="321"/>
      <c r="DQ178" s="321"/>
      <c r="DR178" s="321"/>
      <c r="DS178" s="321"/>
    </row>
    <row r="179" spans="1:123" ht="7.4" customHeight="1" x14ac:dyDescent="0.5">
      <c r="A179" s="42"/>
      <c r="B179" s="42"/>
      <c r="C179" s="311">
        <f>C175+1</f>
        <v>16</v>
      </c>
      <c r="D179" s="311"/>
      <c r="E179" s="41"/>
      <c r="F179" s="42"/>
      <c r="G179" s="319" t="str">
        <f>IF(AL179=0,"N/A","AXE_ST_6.3_22_SC")</f>
        <v>N/A</v>
      </c>
      <c r="H179" s="319"/>
      <c r="I179" s="319"/>
      <c r="J179" s="319"/>
      <c r="K179" s="319"/>
      <c r="L179" s="319"/>
      <c r="M179" s="319"/>
      <c r="N179" s="319"/>
      <c r="O179" s="319"/>
      <c r="P179" s="319"/>
      <c r="Q179" s="319"/>
      <c r="R179" s="320"/>
      <c r="S179" s="42"/>
      <c r="T179" s="405" t="str">
        <f>VLOOKUP(G179,PL!$B$9:$BH$1265,14,FALSE)</f>
        <v>No Item</v>
      </c>
      <c r="U179" s="405"/>
      <c r="V179" s="405"/>
      <c r="W179" s="405"/>
      <c r="X179" s="405"/>
      <c r="Y179" s="405"/>
      <c r="Z179" s="405"/>
      <c r="AA179" s="405"/>
      <c r="AB179" s="405"/>
      <c r="AC179" s="405"/>
      <c r="AD179" s="405"/>
      <c r="AE179" s="405"/>
      <c r="AF179" s="405"/>
      <c r="AG179" s="405"/>
      <c r="AH179" s="405"/>
      <c r="AI179" s="405"/>
      <c r="AJ179" s="411"/>
      <c r="AK179" s="42"/>
      <c r="AL179" s="311">
        <f>ROUND(SUM(BK179:DF179)*(1+$BF$72),0)</f>
        <v>0</v>
      </c>
      <c r="AM179" s="311"/>
      <c r="AN179" s="311"/>
      <c r="AO179" s="311"/>
      <c r="AP179" s="43"/>
      <c r="AQ179" s="128"/>
      <c r="AR179" s="308" t="str">
        <f>VLOOKUP(G179,PL!$B$9:$BH$818,52,FALSE)</f>
        <v>-</v>
      </c>
      <c r="AS179" s="309"/>
      <c r="AT179" s="309"/>
      <c r="AU179" s="309"/>
      <c r="AV179" s="309"/>
      <c r="AW179" s="309"/>
      <c r="AX179" s="309"/>
      <c r="AY179" s="309"/>
      <c r="AZ179" s="309"/>
      <c r="BA179" s="309"/>
      <c r="BB179" s="309"/>
      <c r="BC179" s="309"/>
      <c r="BD179" s="309"/>
      <c r="BE179" s="309"/>
      <c r="BF179" s="309"/>
      <c r="BG179" s="309"/>
      <c r="BH179" s="124"/>
      <c r="BI179" s="41"/>
      <c r="BK179" s="412">
        <f>BK143*6</f>
        <v>0</v>
      </c>
      <c r="BL179" s="413"/>
      <c r="BM179" s="414"/>
      <c r="BN179" s="412">
        <f>BN143*6</f>
        <v>0</v>
      </c>
      <c r="BO179" s="413"/>
      <c r="BP179" s="414"/>
      <c r="BQ179" s="412">
        <f>BQ143*6</f>
        <v>0</v>
      </c>
      <c r="BR179" s="413"/>
      <c r="BS179" s="414"/>
      <c r="BT179" s="412">
        <f>BT143*6</f>
        <v>0</v>
      </c>
      <c r="BU179" s="413"/>
      <c r="BV179" s="414"/>
      <c r="BW179" s="412">
        <f>BW143*6</f>
        <v>0</v>
      </c>
      <c r="BX179" s="413"/>
      <c r="BY179" s="414"/>
      <c r="BZ179" s="412">
        <f>BZ143*6</f>
        <v>0</v>
      </c>
      <c r="CA179" s="413"/>
      <c r="CB179" s="414"/>
      <c r="CC179" s="412">
        <f>CC143*6</f>
        <v>0</v>
      </c>
      <c r="CD179" s="413"/>
      <c r="CE179" s="414"/>
      <c r="CF179" s="412">
        <f>CF143*6</f>
        <v>0</v>
      </c>
      <c r="CG179" s="413"/>
      <c r="CH179" s="414"/>
      <c r="CI179" s="412">
        <f>CI143*6</f>
        <v>0</v>
      </c>
      <c r="CJ179" s="413"/>
      <c r="CK179" s="414"/>
      <c r="CL179" s="412">
        <f>CL143*6</f>
        <v>0</v>
      </c>
      <c r="CM179" s="413"/>
      <c r="CN179" s="414"/>
      <c r="CO179" s="412">
        <f>CO143*6</f>
        <v>0</v>
      </c>
      <c r="CP179" s="413"/>
      <c r="CQ179" s="414"/>
      <c r="CR179" s="412">
        <f>CR143*6</f>
        <v>0</v>
      </c>
      <c r="CS179" s="413"/>
      <c r="CT179" s="414"/>
      <c r="CU179" s="412">
        <f>CU143*6</f>
        <v>0</v>
      </c>
      <c r="CV179" s="413"/>
      <c r="CW179" s="414"/>
      <c r="CX179" s="412">
        <f>CX143*6</f>
        <v>0</v>
      </c>
      <c r="CY179" s="413"/>
      <c r="CZ179" s="414"/>
      <c r="DA179" s="412">
        <f>DA143*6</f>
        <v>0</v>
      </c>
      <c r="DB179" s="413"/>
      <c r="DC179" s="414"/>
      <c r="DD179" s="412">
        <f>DD143*6</f>
        <v>0</v>
      </c>
      <c r="DE179" s="413"/>
      <c r="DF179" s="414"/>
      <c r="DH179" s="311"/>
      <c r="DI179" s="311"/>
      <c r="DJ179" s="311"/>
      <c r="DK179" s="311"/>
      <c r="DL179" s="321"/>
      <c r="DM179" s="321"/>
      <c r="DN179" s="321"/>
      <c r="DO179" s="321"/>
      <c r="DP179" s="321"/>
      <c r="DQ179" s="321"/>
      <c r="DR179" s="321"/>
      <c r="DS179" s="321"/>
    </row>
    <row r="180" spans="1:123" ht="7.4" customHeight="1" x14ac:dyDescent="0.5">
      <c r="A180" s="42"/>
      <c r="B180" s="42"/>
      <c r="C180" s="311"/>
      <c r="D180" s="311"/>
      <c r="E180" s="41"/>
      <c r="F180" s="42"/>
      <c r="G180" s="319"/>
      <c r="H180" s="319"/>
      <c r="I180" s="319"/>
      <c r="J180" s="319"/>
      <c r="K180" s="319"/>
      <c r="L180" s="319"/>
      <c r="M180" s="319"/>
      <c r="N180" s="319"/>
      <c r="O180" s="319"/>
      <c r="P180" s="319"/>
      <c r="Q180" s="319"/>
      <c r="R180" s="320"/>
      <c r="S180" s="42"/>
      <c r="T180" s="405"/>
      <c r="U180" s="405"/>
      <c r="V180" s="405"/>
      <c r="W180" s="405"/>
      <c r="X180" s="405"/>
      <c r="Y180" s="405"/>
      <c r="Z180" s="405"/>
      <c r="AA180" s="405"/>
      <c r="AB180" s="405"/>
      <c r="AC180" s="405"/>
      <c r="AD180" s="405"/>
      <c r="AE180" s="405"/>
      <c r="AF180" s="405"/>
      <c r="AG180" s="405"/>
      <c r="AH180" s="405"/>
      <c r="AI180" s="405"/>
      <c r="AJ180" s="411"/>
      <c r="AK180" s="42"/>
      <c r="AL180" s="311"/>
      <c r="AM180" s="311"/>
      <c r="AN180" s="311"/>
      <c r="AO180" s="311"/>
      <c r="AP180" s="43"/>
      <c r="AQ180" s="128"/>
      <c r="AR180" s="309"/>
      <c r="AS180" s="309"/>
      <c r="AT180" s="309"/>
      <c r="AU180" s="309"/>
      <c r="AV180" s="309"/>
      <c r="AW180" s="309"/>
      <c r="AX180" s="309"/>
      <c r="AY180" s="309"/>
      <c r="AZ180" s="309"/>
      <c r="BA180" s="309"/>
      <c r="BB180" s="309"/>
      <c r="BC180" s="309"/>
      <c r="BD180" s="309"/>
      <c r="BE180" s="309"/>
      <c r="BF180" s="309"/>
      <c r="BG180" s="309"/>
      <c r="BH180" s="124"/>
      <c r="BI180" s="41"/>
      <c r="BK180" s="412"/>
      <c r="BL180" s="413"/>
      <c r="BM180" s="414"/>
      <c r="BN180" s="412"/>
      <c r="BO180" s="413"/>
      <c r="BP180" s="414"/>
      <c r="BQ180" s="412"/>
      <c r="BR180" s="413"/>
      <c r="BS180" s="414"/>
      <c r="BT180" s="412"/>
      <c r="BU180" s="413"/>
      <c r="BV180" s="414"/>
      <c r="BW180" s="412"/>
      <c r="BX180" s="413"/>
      <c r="BY180" s="414"/>
      <c r="BZ180" s="412"/>
      <c r="CA180" s="413"/>
      <c r="CB180" s="414"/>
      <c r="CC180" s="412"/>
      <c r="CD180" s="413"/>
      <c r="CE180" s="414"/>
      <c r="CF180" s="412"/>
      <c r="CG180" s="413"/>
      <c r="CH180" s="414"/>
      <c r="CI180" s="412"/>
      <c r="CJ180" s="413"/>
      <c r="CK180" s="414"/>
      <c r="CL180" s="412"/>
      <c r="CM180" s="413"/>
      <c r="CN180" s="414"/>
      <c r="CO180" s="412"/>
      <c r="CP180" s="413"/>
      <c r="CQ180" s="414"/>
      <c r="CR180" s="412"/>
      <c r="CS180" s="413"/>
      <c r="CT180" s="414"/>
      <c r="CU180" s="412"/>
      <c r="CV180" s="413"/>
      <c r="CW180" s="414"/>
      <c r="CX180" s="412"/>
      <c r="CY180" s="413"/>
      <c r="CZ180" s="414"/>
      <c r="DA180" s="412"/>
      <c r="DB180" s="413"/>
      <c r="DC180" s="414"/>
      <c r="DD180" s="412"/>
      <c r="DE180" s="413"/>
      <c r="DF180" s="414"/>
      <c r="DH180" s="311"/>
      <c r="DI180" s="311"/>
      <c r="DJ180" s="311"/>
      <c r="DK180" s="311"/>
      <c r="DL180" s="321"/>
      <c r="DM180" s="321"/>
      <c r="DN180" s="321"/>
      <c r="DO180" s="321"/>
      <c r="DP180" s="321"/>
      <c r="DQ180" s="321"/>
      <c r="DR180" s="321"/>
      <c r="DS180" s="321"/>
    </row>
    <row r="181" spans="1:123" ht="7.4" customHeight="1" x14ac:dyDescent="0.5">
      <c r="A181" s="42"/>
      <c r="B181" s="42"/>
      <c r="C181" s="55"/>
      <c r="D181" s="55"/>
      <c r="E181" s="41"/>
      <c r="F181" s="42"/>
      <c r="G181" s="56"/>
      <c r="H181" s="56"/>
      <c r="I181" s="56"/>
      <c r="J181" s="56"/>
      <c r="K181" s="56"/>
      <c r="L181" s="56"/>
      <c r="M181" s="56"/>
      <c r="N181" s="56"/>
      <c r="O181" s="56"/>
      <c r="P181" s="56"/>
      <c r="Q181" s="56"/>
      <c r="R181" s="126"/>
      <c r="S181" s="42"/>
      <c r="T181" s="116" t="str">
        <f>VLOOKUP(G179,PL!$B$9:$BH$1265,33,FALSE)</f>
        <v>.</v>
      </c>
      <c r="AJ181" s="41"/>
      <c r="AK181" s="42"/>
      <c r="AL181" s="311"/>
      <c r="AM181" s="311"/>
      <c r="AN181" s="311"/>
      <c r="AO181" s="311"/>
      <c r="AP181" s="43"/>
      <c r="AQ181" s="42"/>
      <c r="AR181" s="131"/>
      <c r="AS181" s="131"/>
      <c r="AT181" s="131"/>
      <c r="AU181" s="131"/>
      <c r="AV181" s="131"/>
      <c r="AW181" s="131"/>
      <c r="AX181" s="105"/>
      <c r="AZ181" s="131"/>
      <c r="BA181" s="131"/>
      <c r="BB181" s="131"/>
      <c r="BC181" s="131"/>
      <c r="BD181" s="131"/>
      <c r="BE181" s="131"/>
      <c r="BF181" s="131"/>
      <c r="BG181" s="131"/>
      <c r="BH181" s="124"/>
      <c r="BI181" s="41"/>
      <c r="BK181" s="194"/>
      <c r="BL181" s="123"/>
      <c r="BM181" s="195"/>
      <c r="BN181" s="194"/>
      <c r="BO181" s="123"/>
      <c r="BP181" s="195"/>
      <c r="BQ181" s="194"/>
      <c r="BR181" s="123"/>
      <c r="BS181" s="195"/>
      <c r="BT181" s="194"/>
      <c r="BU181" s="123"/>
      <c r="BV181" s="195"/>
      <c r="BW181" s="194"/>
      <c r="BX181" s="123"/>
      <c r="BY181" s="195"/>
      <c r="BZ181" s="194"/>
      <c r="CA181" s="123"/>
      <c r="CB181" s="195"/>
      <c r="CC181" s="194"/>
      <c r="CD181" s="123"/>
      <c r="CE181" s="195"/>
      <c r="CF181" s="194"/>
      <c r="CG181" s="123"/>
      <c r="CH181" s="195"/>
      <c r="CI181" s="194"/>
      <c r="CJ181" s="123"/>
      <c r="CK181" s="195"/>
      <c r="CL181" s="194"/>
      <c r="CM181" s="123"/>
      <c r="CN181" s="195"/>
      <c r="CO181" s="194"/>
      <c r="CP181" s="123"/>
      <c r="CQ181" s="195"/>
      <c r="CR181" s="194"/>
      <c r="CS181" s="123"/>
      <c r="CT181" s="195"/>
      <c r="CU181" s="194"/>
      <c r="CV181" s="123"/>
      <c r="CW181" s="195"/>
      <c r="CX181" s="194"/>
      <c r="CY181" s="123"/>
      <c r="CZ181" s="195"/>
      <c r="DA181" s="194"/>
      <c r="DB181" s="123"/>
      <c r="DC181" s="195"/>
      <c r="DD181" s="194"/>
      <c r="DE181" s="123"/>
      <c r="DF181" s="195"/>
      <c r="DH181" s="311"/>
      <c r="DI181" s="311"/>
      <c r="DJ181" s="311"/>
      <c r="DK181" s="311"/>
      <c r="DL181" s="321"/>
      <c r="DM181" s="321"/>
      <c r="DN181" s="321"/>
      <c r="DO181" s="321"/>
      <c r="DP181" s="321"/>
      <c r="DQ181" s="321"/>
      <c r="DR181" s="321"/>
      <c r="DS181" s="321"/>
    </row>
    <row r="182" spans="1:123" ht="7.4" customHeight="1" x14ac:dyDescent="0.5">
      <c r="A182" s="42"/>
      <c r="B182" s="42"/>
      <c r="C182" s="55"/>
      <c r="D182" s="55"/>
      <c r="E182" s="41"/>
      <c r="F182" s="42"/>
      <c r="G182" s="56"/>
      <c r="H182" s="56"/>
      <c r="I182" s="56"/>
      <c r="J182" s="56"/>
      <c r="K182" s="56"/>
      <c r="L182" s="56"/>
      <c r="M182" s="56"/>
      <c r="N182" s="56"/>
      <c r="O182" s="56"/>
      <c r="P182" s="56"/>
      <c r="Q182" s="56"/>
      <c r="R182" s="126"/>
      <c r="S182" s="42"/>
      <c r="AJ182" s="41"/>
      <c r="AK182" s="42"/>
      <c r="AL182" s="311"/>
      <c r="AM182" s="311"/>
      <c r="AN182" s="311"/>
      <c r="AO182" s="311"/>
      <c r="AP182" s="43"/>
      <c r="AQ182" s="42"/>
      <c r="AR182" s="131"/>
      <c r="AS182" s="131"/>
      <c r="AT182" s="131"/>
      <c r="AU182" s="131"/>
      <c r="AV182" s="131"/>
      <c r="AW182" s="131"/>
      <c r="AX182" s="105"/>
      <c r="AZ182" s="131"/>
      <c r="BA182" s="131"/>
      <c r="BB182" s="131"/>
      <c r="BC182" s="131"/>
      <c r="BD182" s="131"/>
      <c r="BE182" s="131"/>
      <c r="BF182" s="131"/>
      <c r="BG182" s="131"/>
      <c r="BH182" s="124"/>
      <c r="BI182" s="41"/>
      <c r="BK182" s="194"/>
      <c r="BL182" s="123"/>
      <c r="BM182" s="195"/>
      <c r="BN182" s="194"/>
      <c r="BO182" s="123"/>
      <c r="BP182" s="195"/>
      <c r="BQ182" s="194"/>
      <c r="BR182" s="123"/>
      <c r="BS182" s="195"/>
      <c r="BT182" s="194"/>
      <c r="BU182" s="123"/>
      <c r="BV182" s="195"/>
      <c r="BW182" s="194"/>
      <c r="BX182" s="123"/>
      <c r="BY182" s="195"/>
      <c r="BZ182" s="194"/>
      <c r="CA182" s="123"/>
      <c r="CB182" s="195"/>
      <c r="CC182" s="194"/>
      <c r="CD182" s="123"/>
      <c r="CE182" s="195"/>
      <c r="CF182" s="194"/>
      <c r="CG182" s="123"/>
      <c r="CH182" s="195"/>
      <c r="CI182" s="194"/>
      <c r="CJ182" s="123"/>
      <c r="CK182" s="195"/>
      <c r="CL182" s="194"/>
      <c r="CM182" s="123"/>
      <c r="CN182" s="195"/>
      <c r="CO182" s="194"/>
      <c r="CP182" s="123"/>
      <c r="CQ182" s="195"/>
      <c r="CR182" s="194"/>
      <c r="CS182" s="123"/>
      <c r="CT182" s="195"/>
      <c r="CU182" s="194"/>
      <c r="CV182" s="123"/>
      <c r="CW182" s="195"/>
      <c r="CX182" s="194"/>
      <c r="CY182" s="123"/>
      <c r="CZ182" s="195"/>
      <c r="DA182" s="194"/>
      <c r="DB182" s="123"/>
      <c r="DC182" s="195"/>
      <c r="DD182" s="194"/>
      <c r="DE182" s="123"/>
      <c r="DF182" s="195"/>
      <c r="DH182" s="311"/>
      <c r="DI182" s="311"/>
      <c r="DJ182" s="311"/>
      <c r="DK182" s="311"/>
      <c r="DL182" s="321"/>
      <c r="DM182" s="321"/>
      <c r="DN182" s="321"/>
      <c r="DO182" s="321"/>
      <c r="DP182" s="321"/>
      <c r="DQ182" s="321"/>
      <c r="DR182" s="321"/>
      <c r="DS182" s="321"/>
    </row>
    <row r="183" spans="1:123" ht="7.4" customHeight="1" x14ac:dyDescent="0.5">
      <c r="A183" s="42"/>
      <c r="B183" s="42"/>
      <c r="C183" s="311">
        <f>C179+1</f>
        <v>17</v>
      </c>
      <c r="D183" s="311"/>
      <c r="E183" s="41"/>
      <c r="F183" s="42"/>
      <c r="G183" s="322" t="str">
        <f>IF(AL183=0,"N/A","Anti_Seize_S")</f>
        <v>Anti_Seize_S</v>
      </c>
      <c r="H183" s="322"/>
      <c r="I183" s="322"/>
      <c r="J183" s="322"/>
      <c r="K183" s="322"/>
      <c r="L183" s="322"/>
      <c r="M183" s="322"/>
      <c r="N183" s="322"/>
      <c r="O183" s="322"/>
      <c r="P183" s="322"/>
      <c r="Q183" s="322"/>
      <c r="R183" s="323"/>
      <c r="S183" s="42"/>
      <c r="T183" s="316" t="str">
        <f>VLOOKUP(G183,PL!$B$9:$BH$1265,14,FALSE)</f>
        <v>Anti-seize Compound</v>
      </c>
      <c r="U183" s="316"/>
      <c r="V183" s="316"/>
      <c r="W183" s="316"/>
      <c r="X183" s="316"/>
      <c r="Y183" s="316"/>
      <c r="Z183" s="316"/>
      <c r="AA183" s="316"/>
      <c r="AB183" s="316"/>
      <c r="AC183" s="316"/>
      <c r="AD183" s="316"/>
      <c r="AE183" s="316"/>
      <c r="AF183" s="316"/>
      <c r="AG183" s="316"/>
      <c r="AH183" s="316"/>
      <c r="AI183" s="316"/>
      <c r="AJ183" s="317"/>
      <c r="AK183" s="42"/>
      <c r="AL183" s="311">
        <f>SUM(BK183:DF183)</f>
        <v>1</v>
      </c>
      <c r="AM183" s="311"/>
      <c r="AN183" s="311"/>
      <c r="AO183" s="311"/>
      <c r="AP183" s="43"/>
      <c r="AQ183" s="111"/>
      <c r="AR183" s="308">
        <f>VLOOKUP(G183,PL!$B$9:$BH$818,52,FALSE)</f>
        <v>0</v>
      </c>
      <c r="AS183" s="309"/>
      <c r="AT183" s="309"/>
      <c r="AU183" s="309"/>
      <c r="AV183" s="309"/>
      <c r="AW183" s="309"/>
      <c r="AX183" s="309"/>
      <c r="AY183" s="309"/>
      <c r="AZ183" s="309"/>
      <c r="BA183" s="309"/>
      <c r="BB183" s="309"/>
      <c r="BC183" s="309"/>
      <c r="BD183" s="309"/>
      <c r="BE183" s="309"/>
      <c r="BF183" s="309"/>
      <c r="BG183" s="309"/>
      <c r="BH183" s="124"/>
      <c r="BI183" s="41"/>
      <c r="BK183" s="500">
        <f>IF($N$74="Not Included",ROUNDUP(SUM(BK139:DF139)/1000,0),0)</f>
        <v>1</v>
      </c>
      <c r="BL183" s="501"/>
      <c r="BM183" s="502"/>
      <c r="BN183" s="194"/>
      <c r="BO183" s="123"/>
      <c r="BP183" s="195"/>
      <c r="BQ183" s="194"/>
      <c r="BR183" s="123"/>
      <c r="BS183" s="195"/>
      <c r="BT183" s="194"/>
      <c r="BU183" s="123"/>
      <c r="BV183" s="195"/>
      <c r="BW183" s="194"/>
      <c r="BX183" s="123"/>
      <c r="BY183" s="195"/>
      <c r="BZ183" s="194"/>
      <c r="CA183" s="123"/>
      <c r="CB183" s="195"/>
      <c r="CC183" s="194"/>
      <c r="CD183" s="123"/>
      <c r="CE183" s="195"/>
      <c r="CF183" s="194"/>
      <c r="CG183" s="123"/>
      <c r="CH183" s="195"/>
      <c r="CI183" s="194"/>
      <c r="CJ183" s="123"/>
      <c r="CK183" s="195"/>
      <c r="CL183" s="194"/>
      <c r="CM183" s="123"/>
      <c r="CN183" s="195"/>
      <c r="CO183" s="194"/>
      <c r="CP183" s="123"/>
      <c r="CQ183" s="195"/>
      <c r="CR183" s="194"/>
      <c r="CS183" s="123"/>
      <c r="CT183" s="195"/>
      <c r="CU183" s="194"/>
      <c r="CV183" s="123"/>
      <c r="CW183" s="195"/>
      <c r="CX183" s="194"/>
      <c r="CY183" s="123"/>
      <c r="CZ183" s="195"/>
      <c r="DA183" s="194"/>
      <c r="DB183" s="123"/>
      <c r="DC183" s="195"/>
      <c r="DD183" s="194"/>
      <c r="DE183" s="123"/>
      <c r="DF183" s="195"/>
      <c r="DL183" s="105"/>
      <c r="DM183" s="105"/>
      <c r="DN183" s="105"/>
      <c r="DO183" s="105"/>
      <c r="DP183" s="105"/>
      <c r="DQ183" s="105"/>
      <c r="DR183" s="105"/>
      <c r="DS183" s="105"/>
    </row>
    <row r="184" spans="1:123" ht="7.4" customHeight="1" x14ac:dyDescent="0.5">
      <c r="A184" s="42"/>
      <c r="B184" s="42"/>
      <c r="C184" s="311"/>
      <c r="D184" s="311"/>
      <c r="E184" s="41"/>
      <c r="F184" s="42"/>
      <c r="G184" s="322"/>
      <c r="H184" s="322"/>
      <c r="I184" s="322"/>
      <c r="J184" s="322"/>
      <c r="K184" s="322"/>
      <c r="L184" s="322"/>
      <c r="M184" s="322"/>
      <c r="N184" s="322"/>
      <c r="O184" s="322"/>
      <c r="P184" s="322"/>
      <c r="Q184" s="322"/>
      <c r="R184" s="323"/>
      <c r="S184" s="42"/>
      <c r="T184" s="316"/>
      <c r="U184" s="316"/>
      <c r="V184" s="316"/>
      <c r="W184" s="316"/>
      <c r="X184" s="316"/>
      <c r="Y184" s="316"/>
      <c r="Z184" s="316"/>
      <c r="AA184" s="316"/>
      <c r="AB184" s="316"/>
      <c r="AC184" s="316"/>
      <c r="AD184" s="316"/>
      <c r="AE184" s="316"/>
      <c r="AF184" s="316"/>
      <c r="AG184" s="316"/>
      <c r="AH184" s="316"/>
      <c r="AI184" s="316"/>
      <c r="AJ184" s="317"/>
      <c r="AK184" s="42"/>
      <c r="AL184" s="311"/>
      <c r="AM184" s="311"/>
      <c r="AN184" s="311"/>
      <c r="AO184" s="311"/>
      <c r="AP184" s="43"/>
      <c r="AQ184" s="111"/>
      <c r="AR184" s="309"/>
      <c r="AS184" s="309"/>
      <c r="AT184" s="309"/>
      <c r="AU184" s="309"/>
      <c r="AV184" s="309"/>
      <c r="AW184" s="309"/>
      <c r="AX184" s="309"/>
      <c r="AY184" s="309"/>
      <c r="AZ184" s="309"/>
      <c r="BA184" s="309"/>
      <c r="BB184" s="309"/>
      <c r="BC184" s="309"/>
      <c r="BD184" s="309"/>
      <c r="BE184" s="309"/>
      <c r="BF184" s="309"/>
      <c r="BG184" s="309"/>
      <c r="BH184" s="124"/>
      <c r="BI184" s="41"/>
      <c r="BK184" s="500"/>
      <c r="BL184" s="501"/>
      <c r="BM184" s="502"/>
      <c r="BN184" s="194"/>
      <c r="BO184" s="123"/>
      <c r="BP184" s="195"/>
      <c r="BQ184" s="194"/>
      <c r="BR184" s="123"/>
      <c r="BS184" s="195"/>
      <c r="BT184" s="194"/>
      <c r="BU184" s="123"/>
      <c r="BV184" s="195"/>
      <c r="BW184" s="194"/>
      <c r="BX184" s="123"/>
      <c r="BY184" s="195"/>
      <c r="BZ184" s="194"/>
      <c r="CA184" s="123"/>
      <c r="CB184" s="195"/>
      <c r="CC184" s="194"/>
      <c r="CD184" s="123"/>
      <c r="CE184" s="195"/>
      <c r="CF184" s="194"/>
      <c r="CG184" s="123"/>
      <c r="CH184" s="195"/>
      <c r="CI184" s="194"/>
      <c r="CJ184" s="123"/>
      <c r="CK184" s="195"/>
      <c r="CL184" s="194"/>
      <c r="CM184" s="123"/>
      <c r="CN184" s="195"/>
      <c r="CO184" s="194"/>
      <c r="CP184" s="123"/>
      <c r="CQ184" s="195"/>
      <c r="CR184" s="194"/>
      <c r="CS184" s="123"/>
      <c r="CT184" s="195"/>
      <c r="CU184" s="194"/>
      <c r="CV184" s="123"/>
      <c r="CW184" s="195"/>
      <c r="CX184" s="194"/>
      <c r="CY184" s="123"/>
      <c r="CZ184" s="195"/>
      <c r="DA184" s="194"/>
      <c r="DB184" s="123"/>
      <c r="DC184" s="195"/>
      <c r="DD184" s="194"/>
      <c r="DE184" s="123"/>
      <c r="DF184" s="195"/>
      <c r="DL184" s="105"/>
      <c r="DM184" s="105"/>
      <c r="DN184" s="105"/>
      <c r="DO184" s="105"/>
      <c r="DP184" s="105"/>
      <c r="DQ184" s="105"/>
      <c r="DR184" s="105"/>
      <c r="DS184" s="105"/>
    </row>
    <row r="185" spans="1:123" ht="7.4" customHeight="1" x14ac:dyDescent="0.5">
      <c r="A185" s="42"/>
      <c r="B185" s="42"/>
      <c r="C185" s="75"/>
      <c r="D185" s="75"/>
      <c r="E185" s="41"/>
      <c r="F185" s="42"/>
      <c r="G185" s="56"/>
      <c r="H185" s="56"/>
      <c r="I185" s="56"/>
      <c r="J185" s="56"/>
      <c r="K185" s="56"/>
      <c r="L185" s="56"/>
      <c r="M185" s="56"/>
      <c r="N185" s="56"/>
      <c r="O185" s="56"/>
      <c r="P185" s="56"/>
      <c r="Q185" s="56"/>
      <c r="R185" s="126"/>
      <c r="S185" s="42"/>
      <c r="T185" s="116" t="str">
        <f>VLOOKUP(G183,PL!$B$9:$BH$1265,33,FALSE)</f>
        <v>Spanjaard Nickel Spray, 350ml</v>
      </c>
      <c r="U185" s="49"/>
      <c r="V185" s="49"/>
      <c r="W185" s="49"/>
      <c r="X185" s="49"/>
      <c r="Y185" s="49"/>
      <c r="Z185" s="49"/>
      <c r="AA185" s="49"/>
      <c r="AB185" s="49"/>
      <c r="AC185" s="49"/>
      <c r="AD185" s="49"/>
      <c r="AE185" s="49"/>
      <c r="AF185" s="49"/>
      <c r="AG185" s="49"/>
      <c r="AH185" s="49"/>
      <c r="AI185" s="49"/>
      <c r="AJ185" s="110"/>
      <c r="AK185" s="42"/>
      <c r="AL185" s="127"/>
      <c r="AM185" s="127"/>
      <c r="AN185" s="127"/>
      <c r="AO185" s="127"/>
      <c r="AP185" s="43"/>
      <c r="AQ185" s="111"/>
      <c r="AR185" s="112"/>
      <c r="AS185" s="112"/>
      <c r="AT185" s="112"/>
      <c r="AU185" s="112"/>
      <c r="AV185" s="112"/>
      <c r="AW185" s="112"/>
      <c r="AX185" s="112"/>
      <c r="AY185" s="112"/>
      <c r="AZ185" s="112"/>
      <c r="BA185" s="112"/>
      <c r="BB185" s="112"/>
      <c r="BC185" s="112"/>
      <c r="BD185" s="112"/>
      <c r="BE185" s="112"/>
      <c r="BF185" s="112"/>
      <c r="BG185" s="112"/>
      <c r="BH185" s="124"/>
      <c r="BI185" s="41"/>
      <c r="BK185" s="194"/>
      <c r="BL185" s="123"/>
      <c r="BM185" s="195"/>
      <c r="BN185" s="194"/>
      <c r="BO185" s="123"/>
      <c r="BP185" s="195"/>
      <c r="BQ185" s="194"/>
      <c r="BR185" s="123"/>
      <c r="BS185" s="195"/>
      <c r="BT185" s="194"/>
      <c r="BU185" s="123"/>
      <c r="BV185" s="195"/>
      <c r="BW185" s="194"/>
      <c r="BX185" s="123"/>
      <c r="BY185" s="195"/>
      <c r="BZ185" s="194"/>
      <c r="CA185" s="123"/>
      <c r="CB185" s="195"/>
      <c r="CC185" s="194"/>
      <c r="CD185" s="123"/>
      <c r="CE185" s="195"/>
      <c r="CF185" s="194"/>
      <c r="CG185" s="123"/>
      <c r="CH185" s="195"/>
      <c r="CI185" s="194"/>
      <c r="CJ185" s="123"/>
      <c r="CK185" s="195"/>
      <c r="CL185" s="194"/>
      <c r="CM185" s="123"/>
      <c r="CN185" s="195"/>
      <c r="CO185" s="194"/>
      <c r="CP185" s="123"/>
      <c r="CQ185" s="195"/>
      <c r="CR185" s="194"/>
      <c r="CS185" s="123"/>
      <c r="CT185" s="195"/>
      <c r="CU185" s="194"/>
      <c r="CV185" s="123"/>
      <c r="CW185" s="195"/>
      <c r="CX185" s="194"/>
      <c r="CY185" s="123"/>
      <c r="CZ185" s="195"/>
      <c r="DA185" s="194"/>
      <c r="DB185" s="123"/>
      <c r="DC185" s="195"/>
      <c r="DD185" s="194"/>
      <c r="DE185" s="123"/>
      <c r="DF185" s="195"/>
      <c r="DL185" s="105"/>
      <c r="DM185" s="105"/>
      <c r="DN185" s="105"/>
      <c r="DO185" s="105"/>
      <c r="DP185" s="105"/>
      <c r="DQ185" s="105"/>
      <c r="DR185" s="105"/>
      <c r="DS185" s="105"/>
    </row>
    <row r="186" spans="1:123" ht="7.4" customHeight="1" x14ac:dyDescent="0.5">
      <c r="A186" s="42"/>
      <c r="B186" s="42"/>
      <c r="C186" s="55"/>
      <c r="D186" s="55"/>
      <c r="E186" s="41"/>
      <c r="F186" s="42"/>
      <c r="G186" s="56"/>
      <c r="H186" s="56"/>
      <c r="I186" s="56"/>
      <c r="J186" s="56"/>
      <c r="K186" s="56"/>
      <c r="L186" s="56"/>
      <c r="M186" s="56"/>
      <c r="N186" s="56"/>
      <c r="O186" s="56"/>
      <c r="P186" s="56"/>
      <c r="Q186" s="56"/>
      <c r="R186" s="126"/>
      <c r="S186" s="42"/>
      <c r="AJ186" s="41"/>
      <c r="AK186" s="42"/>
      <c r="AL186" s="75"/>
      <c r="AM186" s="75"/>
      <c r="AN186" s="75"/>
      <c r="AO186" s="75"/>
      <c r="AP186" s="43"/>
      <c r="AQ186" s="42"/>
      <c r="AR186" s="119"/>
      <c r="AS186" s="119"/>
      <c r="AT186" s="119"/>
      <c r="AU186" s="119"/>
      <c r="AV186" s="119"/>
      <c r="AW186" s="119"/>
      <c r="AX186" s="105"/>
      <c r="AZ186" s="119"/>
      <c r="BA186" s="119"/>
      <c r="BB186" s="119"/>
      <c r="BC186" s="119"/>
      <c r="BD186" s="119"/>
      <c r="BE186" s="119"/>
      <c r="BF186" s="119"/>
      <c r="BG186" s="119"/>
      <c r="BH186" s="124"/>
      <c r="BI186" s="41"/>
      <c r="BK186" s="194"/>
      <c r="BL186" s="123"/>
      <c r="BM186" s="195"/>
      <c r="BN186" s="194"/>
      <c r="BO186" s="123"/>
      <c r="BP186" s="195"/>
      <c r="BQ186" s="194"/>
      <c r="BR186" s="123"/>
      <c r="BS186" s="195"/>
      <c r="BT186" s="194"/>
      <c r="BU186" s="123"/>
      <c r="BV186" s="195"/>
      <c r="BW186" s="194"/>
      <c r="BX186" s="123"/>
      <c r="BY186" s="195"/>
      <c r="BZ186" s="194"/>
      <c r="CA186" s="123"/>
      <c r="CB186" s="195"/>
      <c r="CC186" s="194"/>
      <c r="CD186" s="123"/>
      <c r="CE186" s="195"/>
      <c r="CF186" s="194"/>
      <c r="CG186" s="123"/>
      <c r="CH186" s="195"/>
      <c r="CI186" s="194"/>
      <c r="CJ186" s="123"/>
      <c r="CK186" s="195"/>
      <c r="CL186" s="194"/>
      <c r="CM186" s="123"/>
      <c r="CN186" s="195"/>
      <c r="CO186" s="194"/>
      <c r="CP186" s="123"/>
      <c r="CQ186" s="195"/>
      <c r="CR186" s="194"/>
      <c r="CS186" s="123"/>
      <c r="CT186" s="195"/>
      <c r="CU186" s="194"/>
      <c r="CV186" s="123"/>
      <c r="CW186" s="195"/>
      <c r="CX186" s="194"/>
      <c r="CY186" s="123"/>
      <c r="CZ186" s="195"/>
      <c r="DA186" s="194"/>
      <c r="DB186" s="123"/>
      <c r="DC186" s="195"/>
      <c r="DD186" s="194"/>
      <c r="DE186" s="123"/>
      <c r="DF186" s="195"/>
      <c r="DL186" s="105"/>
      <c r="DM186" s="105"/>
      <c r="DN186" s="105"/>
      <c r="DO186" s="105"/>
      <c r="DP186" s="105"/>
      <c r="DQ186" s="105"/>
      <c r="DR186" s="105"/>
      <c r="DS186" s="105"/>
    </row>
    <row r="187" spans="1:123" ht="7.4" customHeight="1" x14ac:dyDescent="0.5">
      <c r="A187" s="42"/>
      <c r="B187" s="42"/>
      <c r="C187" s="311">
        <f>C183+1</f>
        <v>18</v>
      </c>
      <c r="D187" s="311"/>
      <c r="E187" s="41"/>
      <c r="F187" s="42"/>
      <c r="G187" s="314" t="s">
        <v>55</v>
      </c>
      <c r="H187" s="314"/>
      <c r="I187" s="314"/>
      <c r="J187" s="314"/>
      <c r="K187" s="314"/>
      <c r="L187" s="314"/>
      <c r="M187" s="314"/>
      <c r="N187" s="314"/>
      <c r="O187" s="314"/>
      <c r="P187" s="314"/>
      <c r="Q187" s="314"/>
      <c r="R187" s="315"/>
      <c r="S187" s="42"/>
      <c r="T187" s="316" t="str">
        <f>VLOOKUP(G187,PL!$B$9:$BH$1265,14,FALSE)</f>
        <v>No Item</v>
      </c>
      <c r="U187" s="316"/>
      <c r="V187" s="316"/>
      <c r="W187" s="316"/>
      <c r="X187" s="316"/>
      <c r="Y187" s="316"/>
      <c r="Z187" s="316"/>
      <c r="AA187" s="316"/>
      <c r="AB187" s="316"/>
      <c r="AC187" s="316"/>
      <c r="AD187" s="316"/>
      <c r="AE187" s="316"/>
      <c r="AF187" s="316"/>
      <c r="AG187" s="316"/>
      <c r="AH187" s="316"/>
      <c r="AI187" s="316"/>
      <c r="AJ187" s="317"/>
      <c r="AK187" s="42"/>
      <c r="AL187" s="318">
        <v>0</v>
      </c>
      <c r="AM187" s="318"/>
      <c r="AN187" s="318"/>
      <c r="AO187" s="318"/>
      <c r="AP187" s="43"/>
      <c r="AQ187" s="128"/>
      <c r="AR187" s="308" t="str">
        <f>VLOOKUP(G187,PL!$B$9:$BH$818,52,FALSE)</f>
        <v>-</v>
      </c>
      <c r="AS187" s="309"/>
      <c r="AT187" s="309"/>
      <c r="AU187" s="309"/>
      <c r="AV187" s="309"/>
      <c r="AW187" s="309"/>
      <c r="AX187" s="309"/>
      <c r="AY187" s="309"/>
      <c r="AZ187" s="309"/>
      <c r="BA187" s="309"/>
      <c r="BB187" s="309"/>
      <c r="BC187" s="309"/>
      <c r="BD187" s="309"/>
      <c r="BE187" s="309"/>
      <c r="BF187" s="309"/>
      <c r="BG187" s="309"/>
      <c r="BH187" s="124"/>
      <c r="BI187" s="41"/>
      <c r="BK187" s="194"/>
      <c r="BL187" s="123"/>
      <c r="BM187" s="195"/>
      <c r="BN187" s="194"/>
      <c r="BO187" s="123"/>
      <c r="BP187" s="195"/>
      <c r="BQ187" s="194"/>
      <c r="BR187" s="123"/>
      <c r="BS187" s="195"/>
      <c r="BT187" s="194"/>
      <c r="BU187" s="123"/>
      <c r="BV187" s="195"/>
      <c r="BW187" s="194"/>
      <c r="BX187" s="123"/>
      <c r="BY187" s="195"/>
      <c r="BZ187" s="194"/>
      <c r="CA187" s="123"/>
      <c r="CB187" s="195"/>
      <c r="CC187" s="194"/>
      <c r="CD187" s="123"/>
      <c r="CE187" s="195"/>
      <c r="CF187" s="194"/>
      <c r="CG187" s="123"/>
      <c r="CH187" s="195"/>
      <c r="CI187" s="194"/>
      <c r="CJ187" s="123"/>
      <c r="CK187" s="195"/>
      <c r="CL187" s="194"/>
      <c r="CM187" s="123"/>
      <c r="CN187" s="195"/>
      <c r="CO187" s="194"/>
      <c r="CP187" s="123"/>
      <c r="CQ187" s="195"/>
      <c r="CR187" s="194"/>
      <c r="CS187" s="123"/>
      <c r="CT187" s="195"/>
      <c r="CU187" s="194"/>
      <c r="CV187" s="123"/>
      <c r="CW187" s="195"/>
      <c r="CX187" s="194"/>
      <c r="CY187" s="123"/>
      <c r="CZ187" s="195"/>
      <c r="DA187" s="194"/>
      <c r="DB187" s="123"/>
      <c r="DC187" s="195"/>
      <c r="DD187" s="194"/>
      <c r="DE187" s="123"/>
      <c r="DF187" s="195"/>
      <c r="DH187" s="311"/>
      <c r="DI187" s="311"/>
      <c r="DJ187" s="311"/>
      <c r="DK187" s="311"/>
      <c r="DL187" s="321"/>
      <c r="DM187" s="321"/>
      <c r="DN187" s="321"/>
      <c r="DO187" s="321"/>
      <c r="DP187" s="321"/>
      <c r="DQ187" s="321"/>
      <c r="DR187" s="321"/>
      <c r="DS187" s="321"/>
    </row>
    <row r="188" spans="1:123" ht="7.4" customHeight="1" x14ac:dyDescent="0.5">
      <c r="A188" s="42"/>
      <c r="B188" s="42"/>
      <c r="C188" s="311"/>
      <c r="D188" s="311"/>
      <c r="E188" s="41"/>
      <c r="F188" s="42"/>
      <c r="G188" s="314"/>
      <c r="H188" s="314"/>
      <c r="I188" s="314"/>
      <c r="J188" s="314"/>
      <c r="K188" s="314"/>
      <c r="L188" s="314"/>
      <c r="M188" s="314"/>
      <c r="N188" s="314"/>
      <c r="O188" s="314"/>
      <c r="P188" s="314"/>
      <c r="Q188" s="314"/>
      <c r="R188" s="315"/>
      <c r="S188" s="42"/>
      <c r="T188" s="316"/>
      <c r="U188" s="316"/>
      <c r="V188" s="316"/>
      <c r="W188" s="316"/>
      <c r="X188" s="316"/>
      <c r="Y188" s="316"/>
      <c r="Z188" s="316"/>
      <c r="AA188" s="316"/>
      <c r="AB188" s="316"/>
      <c r="AC188" s="316"/>
      <c r="AD188" s="316"/>
      <c r="AE188" s="316"/>
      <c r="AF188" s="316"/>
      <c r="AG188" s="316"/>
      <c r="AH188" s="316"/>
      <c r="AI188" s="316"/>
      <c r="AJ188" s="317"/>
      <c r="AK188" s="42"/>
      <c r="AL188" s="318"/>
      <c r="AM188" s="318"/>
      <c r="AN188" s="318"/>
      <c r="AO188" s="318"/>
      <c r="AP188" s="43"/>
      <c r="AQ188" s="128"/>
      <c r="AR188" s="309"/>
      <c r="AS188" s="309"/>
      <c r="AT188" s="309"/>
      <c r="AU188" s="309"/>
      <c r="AV188" s="309"/>
      <c r="AW188" s="309"/>
      <c r="AX188" s="309"/>
      <c r="AY188" s="309"/>
      <c r="AZ188" s="309"/>
      <c r="BA188" s="309"/>
      <c r="BB188" s="309"/>
      <c r="BC188" s="309"/>
      <c r="BD188" s="309"/>
      <c r="BE188" s="309"/>
      <c r="BF188" s="309"/>
      <c r="BG188" s="309"/>
      <c r="BH188" s="124"/>
      <c r="BI188" s="41"/>
      <c r="BK188" s="194"/>
      <c r="BL188" s="123"/>
      <c r="BM188" s="195"/>
      <c r="BN188" s="194"/>
      <c r="BO188" s="123"/>
      <c r="BP188" s="195"/>
      <c r="BQ188" s="194"/>
      <c r="BR188" s="123"/>
      <c r="BS188" s="195"/>
      <c r="BT188" s="194"/>
      <c r="BU188" s="123"/>
      <c r="BV188" s="195"/>
      <c r="BW188" s="194"/>
      <c r="BX188" s="123"/>
      <c r="BY188" s="195"/>
      <c r="BZ188" s="194"/>
      <c r="CA188" s="123"/>
      <c r="CB188" s="195"/>
      <c r="CC188" s="194"/>
      <c r="CD188" s="123"/>
      <c r="CE188" s="195"/>
      <c r="CF188" s="194"/>
      <c r="CG188" s="123"/>
      <c r="CH188" s="195"/>
      <c r="CI188" s="194"/>
      <c r="CJ188" s="123"/>
      <c r="CK188" s="195"/>
      <c r="CL188" s="194"/>
      <c r="CM188" s="123"/>
      <c r="CN188" s="195"/>
      <c r="CO188" s="194"/>
      <c r="CP188" s="123"/>
      <c r="CQ188" s="195"/>
      <c r="CR188" s="194"/>
      <c r="CS188" s="123"/>
      <c r="CT188" s="195"/>
      <c r="CU188" s="194"/>
      <c r="CV188" s="123"/>
      <c r="CW188" s="195"/>
      <c r="CX188" s="194"/>
      <c r="CY188" s="123"/>
      <c r="CZ188" s="195"/>
      <c r="DA188" s="194"/>
      <c r="DB188" s="123"/>
      <c r="DC188" s="195"/>
      <c r="DD188" s="194"/>
      <c r="DE188" s="123"/>
      <c r="DF188" s="195"/>
      <c r="DL188" s="105"/>
      <c r="DM188" s="105"/>
      <c r="DN188" s="105"/>
      <c r="DO188" s="105"/>
      <c r="DP188" s="105"/>
      <c r="DQ188" s="105"/>
      <c r="DR188" s="105"/>
      <c r="DS188" s="105"/>
    </row>
    <row r="189" spans="1:123" ht="7.4" customHeight="1" x14ac:dyDescent="0.5">
      <c r="A189" s="42"/>
      <c r="B189" s="42"/>
      <c r="C189" s="75"/>
      <c r="D189" s="75"/>
      <c r="E189" s="41"/>
      <c r="F189" s="42"/>
      <c r="G189" s="56"/>
      <c r="H189" s="56"/>
      <c r="I189" s="56"/>
      <c r="J189" s="56"/>
      <c r="K189" s="56"/>
      <c r="L189" s="56"/>
      <c r="M189" s="56"/>
      <c r="N189" s="56"/>
      <c r="O189" s="56"/>
      <c r="P189" s="56"/>
      <c r="Q189" s="56"/>
      <c r="R189" s="126"/>
      <c r="S189" s="42"/>
      <c r="T189" s="49"/>
      <c r="U189" s="49"/>
      <c r="V189" s="49"/>
      <c r="W189" s="49"/>
      <c r="X189" s="49"/>
      <c r="Y189" s="49"/>
      <c r="Z189" s="49"/>
      <c r="AA189" s="49"/>
      <c r="AB189" s="49"/>
      <c r="AC189" s="49"/>
      <c r="AD189" s="49"/>
      <c r="AE189" s="49"/>
      <c r="AF189" s="49"/>
      <c r="AG189" s="49"/>
      <c r="AH189" s="49"/>
      <c r="AI189" s="49"/>
      <c r="AJ189" s="110"/>
      <c r="AK189" s="42"/>
      <c r="AL189" s="127"/>
      <c r="AM189" s="127"/>
      <c r="AN189" s="127"/>
      <c r="AO189" s="127"/>
      <c r="AP189" s="43"/>
      <c r="AQ189" s="128"/>
      <c r="AR189" s="129"/>
      <c r="AS189" s="129"/>
      <c r="AT189" s="129"/>
      <c r="AU189" s="129"/>
      <c r="AV189" s="129"/>
      <c r="AW189" s="129"/>
      <c r="AX189" s="105"/>
      <c r="AY189" s="130"/>
      <c r="AZ189" s="131"/>
      <c r="BA189" s="131"/>
      <c r="BB189" s="131"/>
      <c r="BC189" s="131"/>
      <c r="BD189" s="131"/>
      <c r="BE189" s="131"/>
      <c r="BF189" s="131"/>
      <c r="BG189" s="131"/>
      <c r="BH189" s="124"/>
      <c r="BI189" s="41"/>
      <c r="BK189" s="194"/>
      <c r="BL189" s="123"/>
      <c r="BM189" s="195"/>
      <c r="BN189" s="194"/>
      <c r="BO189" s="123"/>
      <c r="BP189" s="195"/>
      <c r="BQ189" s="194"/>
      <c r="BR189" s="123"/>
      <c r="BS189" s="195"/>
      <c r="BT189" s="194"/>
      <c r="BU189" s="123"/>
      <c r="BV189" s="195"/>
      <c r="BW189" s="194"/>
      <c r="BX189" s="123"/>
      <c r="BY189" s="195"/>
      <c r="BZ189" s="194"/>
      <c r="CA189" s="123"/>
      <c r="CB189" s="195"/>
      <c r="CC189" s="194"/>
      <c r="CD189" s="123"/>
      <c r="CE189" s="195"/>
      <c r="CF189" s="194"/>
      <c r="CG189" s="123"/>
      <c r="CH189" s="195"/>
      <c r="CI189" s="194"/>
      <c r="CJ189" s="123"/>
      <c r="CK189" s="195"/>
      <c r="CL189" s="194"/>
      <c r="CM189" s="123"/>
      <c r="CN189" s="195"/>
      <c r="CO189" s="194"/>
      <c r="CP189" s="123"/>
      <c r="CQ189" s="195"/>
      <c r="CR189" s="194"/>
      <c r="CS189" s="123"/>
      <c r="CT189" s="195"/>
      <c r="CU189" s="194"/>
      <c r="CV189" s="123"/>
      <c r="CW189" s="195"/>
      <c r="CX189" s="194"/>
      <c r="CY189" s="123"/>
      <c r="CZ189" s="195"/>
      <c r="DA189" s="194"/>
      <c r="DB189" s="123"/>
      <c r="DC189" s="195"/>
      <c r="DD189" s="194"/>
      <c r="DE189" s="123"/>
      <c r="DF189" s="195"/>
      <c r="DL189" s="105"/>
      <c r="DM189" s="105"/>
      <c r="DN189" s="105"/>
      <c r="DO189" s="105"/>
      <c r="DP189" s="105"/>
      <c r="DQ189" s="105"/>
      <c r="DR189" s="105"/>
      <c r="DS189" s="105"/>
    </row>
    <row r="190" spans="1:123" ht="7.4" customHeight="1" x14ac:dyDescent="0.5">
      <c r="A190" s="42"/>
      <c r="B190" s="50"/>
      <c r="C190" s="51"/>
      <c r="D190" s="51"/>
      <c r="E190" s="52"/>
      <c r="F190" s="50"/>
      <c r="G190" s="132"/>
      <c r="H190" s="132"/>
      <c r="I190" s="132"/>
      <c r="J190" s="132"/>
      <c r="K190" s="132"/>
      <c r="L190" s="132"/>
      <c r="M190" s="132"/>
      <c r="N190" s="132"/>
      <c r="O190" s="132"/>
      <c r="P190" s="132"/>
      <c r="Q190" s="132"/>
      <c r="R190" s="204"/>
      <c r="S190" s="50"/>
      <c r="T190" s="51"/>
      <c r="U190" s="51"/>
      <c r="V190" s="51"/>
      <c r="W190" s="51"/>
      <c r="X190" s="51"/>
      <c r="Y190" s="51"/>
      <c r="Z190" s="51"/>
      <c r="AA190" s="51"/>
      <c r="AB190" s="51"/>
      <c r="AC190" s="51"/>
      <c r="AD190" s="51"/>
      <c r="AE190" s="51"/>
      <c r="AF190" s="51"/>
      <c r="AG190" s="51"/>
      <c r="AH190" s="51"/>
      <c r="AI190" s="51"/>
      <c r="AJ190" s="52"/>
      <c r="AK190" s="50"/>
      <c r="AL190" s="355"/>
      <c r="AM190" s="355"/>
      <c r="AN190" s="355"/>
      <c r="AO190" s="355"/>
      <c r="AP190" s="84"/>
      <c r="AQ190" s="50"/>
      <c r="AR190" s="271"/>
      <c r="AS190" s="271"/>
      <c r="AT190" s="271"/>
      <c r="AU190" s="271"/>
      <c r="AV190" s="271"/>
      <c r="AW190" s="271"/>
      <c r="AX190" s="135"/>
      <c r="AY190" s="51"/>
      <c r="AZ190" s="271"/>
      <c r="BA190" s="271"/>
      <c r="BB190" s="271"/>
      <c r="BC190" s="271"/>
      <c r="BD190" s="271"/>
      <c r="BE190" s="271"/>
      <c r="BF190" s="271"/>
      <c r="BG190" s="271"/>
      <c r="BH190" s="158"/>
      <c r="BI190" s="41"/>
      <c r="BK190" s="205"/>
      <c r="BL190" s="206"/>
      <c r="BM190" s="207"/>
      <c r="BN190" s="205"/>
      <c r="BO190" s="206"/>
      <c r="BP190" s="207"/>
      <c r="BQ190" s="205"/>
      <c r="BR190" s="206"/>
      <c r="BS190" s="207"/>
      <c r="BT190" s="205"/>
      <c r="BU190" s="206"/>
      <c r="BV190" s="207"/>
      <c r="BW190" s="205"/>
      <c r="BX190" s="206"/>
      <c r="BY190" s="207"/>
      <c r="BZ190" s="205"/>
      <c r="CA190" s="206"/>
      <c r="CB190" s="207"/>
      <c r="CC190" s="205"/>
      <c r="CD190" s="206"/>
      <c r="CE190" s="207"/>
      <c r="CF190" s="205"/>
      <c r="CG190" s="206"/>
      <c r="CH190" s="207"/>
      <c r="CI190" s="205"/>
      <c r="CJ190" s="206"/>
      <c r="CK190" s="207"/>
      <c r="CL190" s="205"/>
      <c r="CM190" s="206"/>
      <c r="CN190" s="207"/>
      <c r="CO190" s="205"/>
      <c r="CP190" s="206"/>
      <c r="CQ190" s="207"/>
      <c r="CR190" s="205"/>
      <c r="CS190" s="206"/>
      <c r="CT190" s="207"/>
      <c r="CU190" s="205"/>
      <c r="CV190" s="206"/>
      <c r="CW190" s="207"/>
      <c r="CX190" s="205"/>
      <c r="CY190" s="206"/>
      <c r="CZ190" s="207"/>
      <c r="DA190" s="205"/>
      <c r="DB190" s="206"/>
      <c r="DC190" s="207"/>
      <c r="DD190" s="205"/>
      <c r="DE190" s="206"/>
      <c r="DF190" s="207"/>
      <c r="DH190" s="311"/>
      <c r="DI190" s="311"/>
      <c r="DJ190" s="311"/>
      <c r="DK190" s="311"/>
      <c r="DL190" s="321"/>
      <c r="DM190" s="321"/>
      <c r="DN190" s="321"/>
      <c r="DO190" s="321"/>
      <c r="DP190" s="321"/>
      <c r="DQ190" s="321"/>
      <c r="DR190" s="321"/>
      <c r="DS190" s="321"/>
    </row>
    <row r="191" spans="1:123" ht="7.4" customHeight="1" x14ac:dyDescent="0.5">
      <c r="A191" s="50"/>
      <c r="B191" s="51"/>
      <c r="C191" s="51"/>
      <c r="D191" s="51"/>
      <c r="E191" s="51"/>
      <c r="F191" s="51"/>
      <c r="G191" s="51"/>
      <c r="H191" s="51"/>
      <c r="I191" s="51"/>
      <c r="J191" s="51"/>
      <c r="K191" s="51"/>
      <c r="L191" s="51"/>
      <c r="M191" s="51"/>
      <c r="N191" s="51"/>
      <c r="O191" s="51"/>
      <c r="P191" s="51"/>
      <c r="Q191" s="51"/>
      <c r="R191" s="51"/>
      <c r="S191" s="51"/>
      <c r="T191" s="51"/>
      <c r="U191" s="51"/>
      <c r="V191" s="51"/>
      <c r="W191" s="208"/>
      <c r="X191" s="208"/>
      <c r="Y191" s="208"/>
      <c r="Z191" s="208"/>
      <c r="AA191" s="208"/>
      <c r="AB191" s="51"/>
      <c r="AC191" s="51"/>
      <c r="AD191" s="208"/>
      <c r="AE191" s="208"/>
      <c r="AF191" s="208"/>
      <c r="AG191" s="208"/>
      <c r="AH191" s="208"/>
      <c r="AI191" s="51"/>
      <c r="AJ191" s="51"/>
      <c r="AK191" s="51"/>
      <c r="AL191" s="51"/>
      <c r="AM191" s="51"/>
      <c r="AN191" s="51"/>
      <c r="AO191" s="51"/>
      <c r="AP191" s="51"/>
      <c r="AQ191" s="51"/>
      <c r="AR191" s="51"/>
      <c r="AS191" s="51"/>
      <c r="AT191" s="51"/>
      <c r="AU191" s="51"/>
      <c r="AV191" s="51"/>
      <c r="AW191" s="51"/>
      <c r="AX191" s="51"/>
      <c r="AY191" s="51"/>
      <c r="AZ191" s="51"/>
      <c r="BA191" s="51"/>
      <c r="BB191" s="51"/>
      <c r="BC191" s="51"/>
      <c r="BD191" s="51"/>
      <c r="BE191" s="51"/>
      <c r="BF191" s="51"/>
      <c r="BG191" s="51"/>
      <c r="BH191" s="51"/>
      <c r="BI191" s="52"/>
    </row>
    <row r="193" spans="1:61" ht="7.4" customHeight="1" x14ac:dyDescent="0.5">
      <c r="A193" s="297" t="s">
        <v>56</v>
      </c>
      <c r="B193" s="297"/>
      <c r="C193" s="297"/>
      <c r="D193" s="297"/>
      <c r="E193" s="297"/>
      <c r="F193" s="297"/>
      <c r="G193" s="297"/>
      <c r="H193" s="297"/>
      <c r="I193" s="297"/>
      <c r="J193" s="297"/>
      <c r="K193" s="297"/>
      <c r="L193" s="297"/>
      <c r="M193" s="297"/>
      <c r="N193" s="297"/>
      <c r="O193" s="297"/>
      <c r="P193" s="297"/>
      <c r="Q193" s="297"/>
      <c r="R193" s="297"/>
      <c r="S193" s="297"/>
      <c r="T193" s="297"/>
      <c r="U193" s="297"/>
      <c r="V193" s="297"/>
      <c r="W193" s="297"/>
      <c r="X193" s="297"/>
      <c r="Y193" s="297"/>
      <c r="Z193" s="297"/>
      <c r="AA193" s="297"/>
      <c r="AB193" s="297"/>
      <c r="AC193" s="297"/>
      <c r="AD193" s="297"/>
      <c r="AE193" s="297"/>
      <c r="AF193" s="297"/>
      <c r="AG193" s="297"/>
      <c r="AH193" s="297"/>
      <c r="AI193" s="297"/>
      <c r="AJ193" s="297"/>
      <c r="AK193" s="297"/>
      <c r="AL193" s="297"/>
      <c r="AM193" s="297"/>
      <c r="AN193" s="297"/>
      <c r="AO193" s="297"/>
      <c r="AP193" s="297"/>
      <c r="AQ193" s="297"/>
      <c r="AR193" s="297"/>
      <c r="AS193" s="297"/>
      <c r="AT193" s="297"/>
      <c r="AU193" s="297"/>
      <c r="AV193" s="297"/>
      <c r="AW193" s="297"/>
      <c r="AX193" s="297"/>
      <c r="AY193" s="297"/>
      <c r="AZ193" s="297"/>
      <c r="BA193" s="297"/>
      <c r="BB193" s="297"/>
      <c r="BC193" s="297"/>
      <c r="BD193" s="297"/>
      <c r="BE193" s="297"/>
      <c r="BF193" s="297"/>
      <c r="BG193" s="297"/>
      <c r="BH193" s="297"/>
      <c r="BI193" s="297"/>
    </row>
    <row r="194" spans="1:61" ht="7.4" customHeight="1" x14ac:dyDescent="0.5">
      <c r="A194" s="297"/>
      <c r="B194" s="297"/>
      <c r="C194" s="297"/>
      <c r="D194" s="297"/>
      <c r="E194" s="297"/>
      <c r="F194" s="297"/>
      <c r="G194" s="297"/>
      <c r="H194" s="297"/>
      <c r="I194" s="297"/>
      <c r="J194" s="297"/>
      <c r="K194" s="297"/>
      <c r="L194" s="297"/>
      <c r="M194" s="297"/>
      <c r="N194" s="297"/>
      <c r="O194" s="297"/>
      <c r="P194" s="297"/>
      <c r="Q194" s="297"/>
      <c r="R194" s="297"/>
      <c r="S194" s="297"/>
      <c r="T194" s="297"/>
      <c r="U194" s="297"/>
      <c r="V194" s="297"/>
      <c r="W194" s="297"/>
      <c r="X194" s="297"/>
      <c r="Y194" s="297"/>
      <c r="Z194" s="297"/>
      <c r="AA194" s="297"/>
      <c r="AB194" s="297"/>
      <c r="AC194" s="297"/>
      <c r="AD194" s="297"/>
      <c r="AE194" s="297"/>
      <c r="AF194" s="297"/>
      <c r="AG194" s="297"/>
      <c r="AH194" s="297"/>
      <c r="AI194" s="297"/>
      <c r="AJ194" s="297"/>
      <c r="AK194" s="297"/>
      <c r="AL194" s="297"/>
      <c r="AM194" s="297"/>
      <c r="AN194" s="297"/>
      <c r="AO194" s="297"/>
      <c r="AP194" s="297"/>
      <c r="AQ194" s="297"/>
      <c r="AR194" s="297"/>
      <c r="AS194" s="297"/>
      <c r="AT194" s="297"/>
      <c r="AU194" s="297"/>
      <c r="AV194" s="297"/>
      <c r="AW194" s="297"/>
      <c r="AX194" s="297"/>
      <c r="AY194" s="297"/>
      <c r="AZ194" s="297"/>
      <c r="BA194" s="297"/>
      <c r="BB194" s="297"/>
      <c r="BC194" s="297"/>
      <c r="BD194" s="297"/>
      <c r="BE194" s="297"/>
      <c r="BF194" s="297"/>
      <c r="BG194" s="297"/>
      <c r="BH194" s="297"/>
      <c r="BI194" s="297"/>
    </row>
    <row r="196" spans="1:61" ht="7.4" customHeight="1" x14ac:dyDescent="0.5">
      <c r="A196" s="298" t="s">
        <v>57</v>
      </c>
      <c r="B196" s="298"/>
      <c r="C196" s="298"/>
      <c r="D196" s="298"/>
      <c r="E196" s="298"/>
      <c r="F196" s="298"/>
      <c r="G196" s="298"/>
      <c r="H196" s="298"/>
      <c r="I196" s="298"/>
      <c r="J196" s="298"/>
      <c r="K196" s="298"/>
      <c r="L196" s="298"/>
      <c r="M196" s="298"/>
      <c r="N196" s="298"/>
      <c r="O196" s="298"/>
      <c r="P196" s="298"/>
      <c r="Q196" s="298"/>
      <c r="R196" s="298"/>
      <c r="S196" s="298"/>
      <c r="T196" s="298"/>
      <c r="U196" s="298"/>
      <c r="V196" s="298"/>
      <c r="W196" s="298"/>
      <c r="X196" s="298"/>
      <c r="Y196" s="298"/>
      <c r="Z196" s="298"/>
      <c r="AA196" s="298"/>
      <c r="AB196" s="298"/>
      <c r="AC196" s="298"/>
      <c r="AD196" s="298"/>
      <c r="AE196" s="298"/>
      <c r="AF196" s="298"/>
      <c r="AG196" s="298"/>
      <c r="AH196" s="298"/>
      <c r="AI196" s="298"/>
      <c r="AJ196" s="298"/>
      <c r="AK196" s="298"/>
      <c r="AL196" s="298"/>
      <c r="AM196" s="298"/>
      <c r="AN196" s="298"/>
      <c r="AO196" s="298"/>
      <c r="AP196" s="298"/>
      <c r="AQ196" s="298"/>
      <c r="AR196" s="298"/>
      <c r="AS196" s="298"/>
      <c r="AT196" s="298"/>
      <c r="AU196" s="298"/>
      <c r="AV196" s="298"/>
      <c r="AW196" s="298"/>
      <c r="AX196" s="298"/>
      <c r="AY196" s="298"/>
      <c r="AZ196" s="298"/>
      <c r="BA196" s="298"/>
      <c r="BB196" s="298"/>
      <c r="BC196" s="298"/>
      <c r="BD196" s="298"/>
      <c r="BE196" s="298"/>
      <c r="BF196" s="298"/>
      <c r="BG196" s="298"/>
      <c r="BH196" s="298"/>
      <c r="BI196" s="298"/>
    </row>
    <row r="197" spans="1:61" ht="7.4" customHeight="1" x14ac:dyDescent="0.5">
      <c r="A197" s="298"/>
      <c r="B197" s="298"/>
      <c r="C197" s="298"/>
      <c r="D197" s="298"/>
      <c r="E197" s="298"/>
      <c r="F197" s="298"/>
      <c r="G197" s="298"/>
      <c r="H197" s="298"/>
      <c r="I197" s="298"/>
      <c r="J197" s="298"/>
      <c r="K197" s="298"/>
      <c r="L197" s="298"/>
      <c r="M197" s="298"/>
      <c r="N197" s="298"/>
      <c r="O197" s="298"/>
      <c r="P197" s="298"/>
      <c r="Q197" s="298"/>
      <c r="R197" s="298"/>
      <c r="S197" s="298"/>
      <c r="T197" s="298"/>
      <c r="U197" s="298"/>
      <c r="V197" s="298"/>
      <c r="W197" s="298"/>
      <c r="X197" s="298"/>
      <c r="Y197" s="298"/>
      <c r="Z197" s="298"/>
      <c r="AA197" s="298"/>
      <c r="AB197" s="298"/>
      <c r="AC197" s="298"/>
      <c r="AD197" s="298"/>
      <c r="AE197" s="298"/>
      <c r="AF197" s="298"/>
      <c r="AG197" s="298"/>
      <c r="AH197" s="298"/>
      <c r="AI197" s="298"/>
      <c r="AJ197" s="298"/>
      <c r="AK197" s="298"/>
      <c r="AL197" s="298"/>
      <c r="AM197" s="298"/>
      <c r="AN197" s="298"/>
      <c r="AO197" s="298"/>
      <c r="AP197" s="298"/>
      <c r="AQ197" s="298"/>
      <c r="AR197" s="298"/>
      <c r="AS197" s="298"/>
      <c r="AT197" s="298"/>
      <c r="AU197" s="298"/>
      <c r="AV197" s="298"/>
      <c r="AW197" s="298"/>
      <c r="AX197" s="298"/>
      <c r="AY197" s="298"/>
      <c r="AZ197" s="298"/>
      <c r="BA197" s="298"/>
      <c r="BB197" s="298"/>
      <c r="BC197" s="298"/>
      <c r="BD197" s="298"/>
      <c r="BE197" s="298"/>
      <c r="BF197" s="298"/>
      <c r="BG197" s="298"/>
      <c r="BH197" s="298"/>
      <c r="BI197" s="298"/>
    </row>
  </sheetData>
  <sheetProtection algorithmName="SHA-512" hashValue="dYiMGIqoTN/VmJBWscIs9eT+fed4pnxmgkhQv0syDU8KpSWoECG7yAXLrmiM7F1zVqFKaqVYj2Jr5X7b2MErBw==" saltValue="i3GV3JRitnSvjyhqcmS7Ng==" spinCount="100000" sheet="1" selectLockedCells="1"/>
  <mergeCells count="860">
    <mergeCell ref="C183:D184"/>
    <mergeCell ref="G183:R184"/>
    <mergeCell ref="T183:AJ184"/>
    <mergeCell ref="AL183:AO184"/>
    <mergeCell ref="AR183:BG184"/>
    <mergeCell ref="BK183:BM184"/>
    <mergeCell ref="C1:AI9"/>
    <mergeCell ref="AN1:BH2"/>
    <mergeCell ref="AN3:BH4"/>
    <mergeCell ref="AN5:BH6"/>
    <mergeCell ref="AN7:BH8"/>
    <mergeCell ref="A10:AL15"/>
    <mergeCell ref="AN11:AV12"/>
    <mergeCell ref="AX11:BH12"/>
    <mergeCell ref="AN13:AV14"/>
    <mergeCell ref="AX13:BH14"/>
    <mergeCell ref="T21:AP22"/>
    <mergeCell ref="B25:AC27"/>
    <mergeCell ref="AE25:BH27"/>
    <mergeCell ref="C28:R30"/>
    <mergeCell ref="T28:AC30"/>
    <mergeCell ref="AF28:AM30"/>
    <mergeCell ref="AO28:AU30"/>
    <mergeCell ref="AV28:BC30"/>
    <mergeCell ref="C17:F18"/>
    <mergeCell ref="G17:X18"/>
    <mergeCell ref="Y17:AC18"/>
    <mergeCell ref="AD17:AS18"/>
    <mergeCell ref="AT17:AW18"/>
    <mergeCell ref="AX17:BH18"/>
    <mergeCell ref="BP31:BR31"/>
    <mergeCell ref="BK32:BL32"/>
    <mergeCell ref="BM32:BO32"/>
    <mergeCell ref="BK30:BL30"/>
    <mergeCell ref="BM30:BO30"/>
    <mergeCell ref="BP30:BR30"/>
    <mergeCell ref="C31:R33"/>
    <mergeCell ref="T31:AC33"/>
    <mergeCell ref="AF31:AM33"/>
    <mergeCell ref="AO31:AP33"/>
    <mergeCell ref="AQ31:AW33"/>
    <mergeCell ref="AX31:AZ33"/>
    <mergeCell ref="BA31:BB33"/>
    <mergeCell ref="BK34:BL34"/>
    <mergeCell ref="BM34:BO34"/>
    <mergeCell ref="AO35:AQ36"/>
    <mergeCell ref="AR35:BH36"/>
    <mergeCell ref="BK35:BL35"/>
    <mergeCell ref="BC31:BH33"/>
    <mergeCell ref="BK31:BL31"/>
    <mergeCell ref="BM31:BO31"/>
    <mergeCell ref="BK33:BL33"/>
    <mergeCell ref="BM33:BO33"/>
    <mergeCell ref="AK51:AM52"/>
    <mergeCell ref="BF51:BH52"/>
    <mergeCell ref="AN51:AP52"/>
    <mergeCell ref="AQ51:AS52"/>
    <mergeCell ref="AT51:AV52"/>
    <mergeCell ref="AW51:AY52"/>
    <mergeCell ref="AZ51:BB52"/>
    <mergeCell ref="BC51:BE52"/>
    <mergeCell ref="AF34:AM37"/>
    <mergeCell ref="BF54:BH55"/>
    <mergeCell ref="AN54:AP55"/>
    <mergeCell ref="AQ54:AS55"/>
    <mergeCell ref="AT54:AV55"/>
    <mergeCell ref="AW54:AY55"/>
    <mergeCell ref="B39:BH41"/>
    <mergeCell ref="C43:G45"/>
    <mergeCell ref="J43:N45"/>
    <mergeCell ref="Q43:T45"/>
    <mergeCell ref="W43:AS44"/>
    <mergeCell ref="AV43:AZ45"/>
    <mergeCell ref="BC43:BG45"/>
    <mergeCell ref="W45:Z45"/>
    <mergeCell ref="AE45:AH45"/>
    <mergeCell ref="AM45:AP45"/>
    <mergeCell ref="B48:BH50"/>
    <mergeCell ref="M51:O52"/>
    <mergeCell ref="P51:R52"/>
    <mergeCell ref="S51:U52"/>
    <mergeCell ref="V51:X52"/>
    <mergeCell ref="Y51:AA52"/>
    <mergeCell ref="AB51:AD52"/>
    <mergeCell ref="AE51:AG52"/>
    <mergeCell ref="AH51:AJ52"/>
    <mergeCell ref="AK54:AM55"/>
    <mergeCell ref="Y54:AA55"/>
    <mergeCell ref="AB54:AD55"/>
    <mergeCell ref="AE54:AG55"/>
    <mergeCell ref="AH54:AJ55"/>
    <mergeCell ref="BC54:BE55"/>
    <mergeCell ref="C54:L55"/>
    <mergeCell ref="M54:O55"/>
    <mergeCell ref="P54:R55"/>
    <mergeCell ref="S54:U55"/>
    <mergeCell ref="V54:X55"/>
    <mergeCell ref="AZ54:BB55"/>
    <mergeCell ref="BK61:BQ63"/>
    <mergeCell ref="C62:T64"/>
    <mergeCell ref="X62:AO64"/>
    <mergeCell ref="AS62:BG64"/>
    <mergeCell ref="AH58:AJ59"/>
    <mergeCell ref="AK58:AM59"/>
    <mergeCell ref="AN58:AP59"/>
    <mergeCell ref="AQ58:AS59"/>
    <mergeCell ref="AT58:AV59"/>
    <mergeCell ref="AW58:AY59"/>
    <mergeCell ref="Y58:AA59"/>
    <mergeCell ref="AB58:AD59"/>
    <mergeCell ref="AE58:AG59"/>
    <mergeCell ref="C58:L59"/>
    <mergeCell ref="M58:O59"/>
    <mergeCell ref="P58:R59"/>
    <mergeCell ref="S58:U59"/>
    <mergeCell ref="V58:X59"/>
    <mergeCell ref="AZ58:BB59"/>
    <mergeCell ref="BC58:BE59"/>
    <mergeCell ref="BF58:BH59"/>
    <mergeCell ref="BL65:BN66"/>
    <mergeCell ref="BO65:BP66"/>
    <mergeCell ref="C66:M67"/>
    <mergeCell ref="N66:R67"/>
    <mergeCell ref="S66:U67"/>
    <mergeCell ref="X66:AH67"/>
    <mergeCell ref="AJ66:AM67"/>
    <mergeCell ref="AN66:AN67"/>
    <mergeCell ref="AS66:BD67"/>
    <mergeCell ref="BF66:BH69"/>
    <mergeCell ref="AS72:BD73"/>
    <mergeCell ref="BF72:BH73"/>
    <mergeCell ref="C73:M75"/>
    <mergeCell ref="BL73:BU75"/>
    <mergeCell ref="N74:U75"/>
    <mergeCell ref="W74:AP76"/>
    <mergeCell ref="AS68:BD69"/>
    <mergeCell ref="C69:M71"/>
    <mergeCell ref="N70:U71"/>
    <mergeCell ref="X70:AH71"/>
    <mergeCell ref="AJ70:AM71"/>
    <mergeCell ref="AN70:AP71"/>
    <mergeCell ref="BW74:CA75"/>
    <mergeCell ref="CB74:CD75"/>
    <mergeCell ref="AS76:BD77"/>
    <mergeCell ref="BF76:BH77"/>
    <mergeCell ref="C78:M79"/>
    <mergeCell ref="N78:U79"/>
    <mergeCell ref="X78:AO79"/>
    <mergeCell ref="BK79:BM80"/>
    <mergeCell ref="BN79:BP80"/>
    <mergeCell ref="BQ79:BS80"/>
    <mergeCell ref="DD79:DF80"/>
    <mergeCell ref="BK81:BM82"/>
    <mergeCell ref="BN81:BP82"/>
    <mergeCell ref="BQ81:BS82"/>
    <mergeCell ref="BT81:BV82"/>
    <mergeCell ref="BW81:BY82"/>
    <mergeCell ref="BZ81:CB82"/>
    <mergeCell ref="CC81:CE82"/>
    <mergeCell ref="CF81:CH82"/>
    <mergeCell ref="CL79:CN80"/>
    <mergeCell ref="CO79:CQ80"/>
    <mergeCell ref="CR79:CT80"/>
    <mergeCell ref="CU79:CW80"/>
    <mergeCell ref="CX79:CZ80"/>
    <mergeCell ref="DA79:DC80"/>
    <mergeCell ref="BT79:BV80"/>
    <mergeCell ref="BW79:BY80"/>
    <mergeCell ref="BZ79:CB80"/>
    <mergeCell ref="CC79:CE80"/>
    <mergeCell ref="CF79:CH80"/>
    <mergeCell ref="CI79:CK80"/>
    <mergeCell ref="DA81:DC82"/>
    <mergeCell ref="DD81:DF82"/>
    <mergeCell ref="DT81:DU82"/>
    <mergeCell ref="BK83:BM84"/>
    <mergeCell ref="BN83:BP84"/>
    <mergeCell ref="BQ83:BS84"/>
    <mergeCell ref="BT83:BV84"/>
    <mergeCell ref="BW83:BY84"/>
    <mergeCell ref="CI81:CK82"/>
    <mergeCell ref="CL81:CN82"/>
    <mergeCell ref="CO81:CQ82"/>
    <mergeCell ref="CR81:CT82"/>
    <mergeCell ref="CU81:CW82"/>
    <mergeCell ref="CX81:CZ82"/>
    <mergeCell ref="DJ83:DS84"/>
    <mergeCell ref="CR83:CT84"/>
    <mergeCell ref="CU83:CW84"/>
    <mergeCell ref="CX83:CZ84"/>
    <mergeCell ref="DA83:DC84"/>
    <mergeCell ref="DD83:DF84"/>
    <mergeCell ref="DH83:DI84"/>
    <mergeCell ref="BZ83:CB84"/>
    <mergeCell ref="CC83:CE84"/>
    <mergeCell ref="CF83:CH84"/>
    <mergeCell ref="CI83:CK84"/>
    <mergeCell ref="DH81:DS82"/>
    <mergeCell ref="CL83:CN84"/>
    <mergeCell ref="CO83:CQ84"/>
    <mergeCell ref="DD85:DF86"/>
    <mergeCell ref="DH85:DI86"/>
    <mergeCell ref="DJ85:DS86"/>
    <mergeCell ref="CR85:CT86"/>
    <mergeCell ref="CU85:CW86"/>
    <mergeCell ref="CX85:CZ86"/>
    <mergeCell ref="DA85:DC86"/>
    <mergeCell ref="A87:BI88"/>
    <mergeCell ref="BK87:BM88"/>
    <mergeCell ref="BN87:BP88"/>
    <mergeCell ref="BQ87:BS88"/>
    <mergeCell ref="BT87:BV88"/>
    <mergeCell ref="BW87:BY88"/>
    <mergeCell ref="BZ87:CB88"/>
    <mergeCell ref="CL85:CN86"/>
    <mergeCell ref="CO85:CQ86"/>
    <mergeCell ref="BN85:BP86"/>
    <mergeCell ref="BQ85:BS86"/>
    <mergeCell ref="BT85:BV86"/>
    <mergeCell ref="BW85:BY86"/>
    <mergeCell ref="BZ85:CB86"/>
    <mergeCell ref="CC85:CE86"/>
    <mergeCell ref="CF85:CH86"/>
    <mergeCell ref="CI85:CK86"/>
    <mergeCell ref="CU87:CW88"/>
    <mergeCell ref="CX87:CZ88"/>
    <mergeCell ref="DA87:DC88"/>
    <mergeCell ref="DD87:DF88"/>
    <mergeCell ref="DH87:DS88"/>
    <mergeCell ref="BK85:BM86"/>
    <mergeCell ref="DT87:DU88"/>
    <mergeCell ref="CC87:CE88"/>
    <mergeCell ref="CF87:CH88"/>
    <mergeCell ref="CI87:CK88"/>
    <mergeCell ref="CL87:CN88"/>
    <mergeCell ref="CO87:CQ88"/>
    <mergeCell ref="CR87:CT88"/>
    <mergeCell ref="CU89:CW90"/>
    <mergeCell ref="CX89:CZ90"/>
    <mergeCell ref="DA89:DC90"/>
    <mergeCell ref="DD89:DF90"/>
    <mergeCell ref="DH89:DS90"/>
    <mergeCell ref="CO89:CQ90"/>
    <mergeCell ref="CR89:CT90"/>
    <mergeCell ref="BK91:BM92"/>
    <mergeCell ref="BN91:BP92"/>
    <mergeCell ref="BQ91:BS92"/>
    <mergeCell ref="BT91:BV92"/>
    <mergeCell ref="BW91:BY92"/>
    <mergeCell ref="CC89:CE90"/>
    <mergeCell ref="CF89:CH90"/>
    <mergeCell ref="CI89:CK90"/>
    <mergeCell ref="CL89:CN90"/>
    <mergeCell ref="BK89:BM90"/>
    <mergeCell ref="BN89:BP90"/>
    <mergeCell ref="BQ89:BS90"/>
    <mergeCell ref="BT89:BV90"/>
    <mergeCell ref="BW89:BY90"/>
    <mergeCell ref="BZ89:CB90"/>
    <mergeCell ref="CR91:CT92"/>
    <mergeCell ref="CU91:CW92"/>
    <mergeCell ref="CX91:CZ92"/>
    <mergeCell ref="DA91:DC92"/>
    <mergeCell ref="DD91:DF92"/>
    <mergeCell ref="DH91:DS92"/>
    <mergeCell ref="BZ91:CB92"/>
    <mergeCell ref="CC91:CE92"/>
    <mergeCell ref="CF91:CH92"/>
    <mergeCell ref="CI91:CK92"/>
    <mergeCell ref="CL91:CN92"/>
    <mergeCell ref="CO91:CQ92"/>
    <mergeCell ref="DA93:DC94"/>
    <mergeCell ref="DD93:DF94"/>
    <mergeCell ref="DH93:DV94"/>
    <mergeCell ref="BK105:BP106"/>
    <mergeCell ref="BQ105:BW106"/>
    <mergeCell ref="BX105:CC106"/>
    <mergeCell ref="CC93:CE94"/>
    <mergeCell ref="CF93:CH94"/>
    <mergeCell ref="CI93:CK94"/>
    <mergeCell ref="CL93:CN94"/>
    <mergeCell ref="CO93:CQ94"/>
    <mergeCell ref="CR93:CT94"/>
    <mergeCell ref="BK93:BM94"/>
    <mergeCell ref="BN93:BP94"/>
    <mergeCell ref="BQ93:BS94"/>
    <mergeCell ref="BT93:BV94"/>
    <mergeCell ref="BW93:BY94"/>
    <mergeCell ref="BZ93:CB94"/>
    <mergeCell ref="BK107:BP108"/>
    <mergeCell ref="BQ107:BW108"/>
    <mergeCell ref="BX107:CC108"/>
    <mergeCell ref="BK109:BP110"/>
    <mergeCell ref="BQ109:BV110"/>
    <mergeCell ref="BW109:CB110"/>
    <mergeCell ref="CC109:CH110"/>
    <mergeCell ref="CU93:CW94"/>
    <mergeCell ref="CX93:CZ94"/>
    <mergeCell ref="CO113:CT113"/>
    <mergeCell ref="C114:E117"/>
    <mergeCell ref="G114:R117"/>
    <mergeCell ref="T114:AJ117"/>
    <mergeCell ref="AL114:AP117"/>
    <mergeCell ref="BK115:BM116"/>
    <mergeCell ref="BN115:BP116"/>
    <mergeCell ref="BQ115:BS116"/>
    <mergeCell ref="CI109:CN110"/>
    <mergeCell ref="CO109:CT110"/>
    <mergeCell ref="T110:AP111"/>
    <mergeCell ref="BK111:BP112"/>
    <mergeCell ref="BQ111:BV112"/>
    <mergeCell ref="BW111:CB112"/>
    <mergeCell ref="CC111:CH112"/>
    <mergeCell ref="CI111:CN112"/>
    <mergeCell ref="CO111:CT112"/>
    <mergeCell ref="DD115:DF116"/>
    <mergeCell ref="DH115:DK116"/>
    <mergeCell ref="DL115:DT116"/>
    <mergeCell ref="BK118:BM118"/>
    <mergeCell ref="BN118:BP118"/>
    <mergeCell ref="BQ118:BS118"/>
    <mergeCell ref="BT118:BV118"/>
    <mergeCell ref="BW118:BY118"/>
    <mergeCell ref="BZ118:CB118"/>
    <mergeCell ref="CC118:CE118"/>
    <mergeCell ref="CL115:CN116"/>
    <mergeCell ref="CO115:CQ116"/>
    <mergeCell ref="CR115:CT116"/>
    <mergeCell ref="CU115:CW116"/>
    <mergeCell ref="CX115:CZ116"/>
    <mergeCell ref="DA115:DC116"/>
    <mergeCell ref="BT115:BV116"/>
    <mergeCell ref="BW115:BY116"/>
    <mergeCell ref="BZ115:CB116"/>
    <mergeCell ref="CC115:CE116"/>
    <mergeCell ref="CF115:CH116"/>
    <mergeCell ref="CI115:CK116"/>
    <mergeCell ref="CX118:CZ118"/>
    <mergeCell ref="DA118:DC118"/>
    <mergeCell ref="DD118:DF118"/>
    <mergeCell ref="C119:D120"/>
    <mergeCell ref="G119:R120"/>
    <mergeCell ref="T119:AC120"/>
    <mergeCell ref="AF119:AI120"/>
    <mergeCell ref="AL119:AO120"/>
    <mergeCell ref="CF118:CH118"/>
    <mergeCell ref="CI118:CK118"/>
    <mergeCell ref="CL118:CN118"/>
    <mergeCell ref="CO118:CQ118"/>
    <mergeCell ref="CR118:CT118"/>
    <mergeCell ref="CU118:CW118"/>
    <mergeCell ref="DH119:DK120"/>
    <mergeCell ref="DL119:DS120"/>
    <mergeCell ref="C121:D121"/>
    <mergeCell ref="AL121:AO121"/>
    <mergeCell ref="BK121:BM121"/>
    <mergeCell ref="BN121:BP121"/>
    <mergeCell ref="BQ121:BS121"/>
    <mergeCell ref="BT121:BV121"/>
    <mergeCell ref="CO119:CQ120"/>
    <mergeCell ref="CR119:CT120"/>
    <mergeCell ref="CU119:CW120"/>
    <mergeCell ref="CX119:CZ120"/>
    <mergeCell ref="DA119:DC120"/>
    <mergeCell ref="DD119:DF120"/>
    <mergeCell ref="BW119:BY120"/>
    <mergeCell ref="BZ119:CB120"/>
    <mergeCell ref="CC119:CE120"/>
    <mergeCell ref="CF119:CH120"/>
    <mergeCell ref="CI119:CK120"/>
    <mergeCell ref="CL119:CN120"/>
    <mergeCell ref="BK119:BM120"/>
    <mergeCell ref="BN119:BP120"/>
    <mergeCell ref="BQ119:BS120"/>
    <mergeCell ref="BT119:BV120"/>
    <mergeCell ref="DH121:DK121"/>
    <mergeCell ref="DL121:DS121"/>
    <mergeCell ref="AL122:AO122"/>
    <mergeCell ref="BK122:BM122"/>
    <mergeCell ref="BN122:BP122"/>
    <mergeCell ref="BQ122:BS122"/>
    <mergeCell ref="BT122:BV122"/>
    <mergeCell ref="BW122:BY122"/>
    <mergeCell ref="CO121:CQ121"/>
    <mergeCell ref="CR121:CT121"/>
    <mergeCell ref="CU121:CW121"/>
    <mergeCell ref="CX121:CZ121"/>
    <mergeCell ref="DA121:DC121"/>
    <mergeCell ref="DD121:DF121"/>
    <mergeCell ref="BW121:BY121"/>
    <mergeCell ref="BZ121:CB121"/>
    <mergeCell ref="CC121:CE121"/>
    <mergeCell ref="CF121:CH121"/>
    <mergeCell ref="CI121:CK121"/>
    <mergeCell ref="CL121:CN121"/>
    <mergeCell ref="CR122:CT122"/>
    <mergeCell ref="CU122:CW122"/>
    <mergeCell ref="CX122:CZ122"/>
    <mergeCell ref="DA122:DC122"/>
    <mergeCell ref="CF123:CH124"/>
    <mergeCell ref="BK123:BM124"/>
    <mergeCell ref="BN123:BP124"/>
    <mergeCell ref="DD122:DF122"/>
    <mergeCell ref="C123:D124"/>
    <mergeCell ref="G123:R124"/>
    <mergeCell ref="T123:AC124"/>
    <mergeCell ref="AF123:AI124"/>
    <mergeCell ref="AL123:AO124"/>
    <mergeCell ref="BZ122:CB122"/>
    <mergeCell ref="CC122:CE122"/>
    <mergeCell ref="CF122:CH122"/>
    <mergeCell ref="CI122:CK122"/>
    <mergeCell ref="CL122:CN122"/>
    <mergeCell ref="CO122:CQ122"/>
    <mergeCell ref="AL126:AO126"/>
    <mergeCell ref="C127:D128"/>
    <mergeCell ref="G127:R128"/>
    <mergeCell ref="T127:AJ128"/>
    <mergeCell ref="AL127:AO128"/>
    <mergeCell ref="DA123:DC124"/>
    <mergeCell ref="DD123:DF124"/>
    <mergeCell ref="DH123:DK124"/>
    <mergeCell ref="DL123:DS124"/>
    <mergeCell ref="C125:D125"/>
    <mergeCell ref="AL125:AO125"/>
    <mergeCell ref="DH125:DK125"/>
    <mergeCell ref="DL125:DS125"/>
    <mergeCell ref="CI123:CK124"/>
    <mergeCell ref="CL123:CN124"/>
    <mergeCell ref="CO123:CQ124"/>
    <mergeCell ref="CR123:CT124"/>
    <mergeCell ref="CU123:CW124"/>
    <mergeCell ref="CX123:CZ124"/>
    <mergeCell ref="BQ123:BS124"/>
    <mergeCell ref="BT123:BV124"/>
    <mergeCell ref="BW123:BY124"/>
    <mergeCell ref="BZ123:CB124"/>
    <mergeCell ref="CC123:CE124"/>
    <mergeCell ref="DL127:DS128"/>
    <mergeCell ref="AL129:AO129"/>
    <mergeCell ref="DH129:DK129"/>
    <mergeCell ref="DL129:DS129"/>
    <mergeCell ref="CR127:CT128"/>
    <mergeCell ref="CU127:CW128"/>
    <mergeCell ref="CX127:CZ128"/>
    <mergeCell ref="DA127:DC128"/>
    <mergeCell ref="DD127:DF128"/>
    <mergeCell ref="DH127:DK128"/>
    <mergeCell ref="BZ127:CB128"/>
    <mergeCell ref="CC127:CE128"/>
    <mergeCell ref="CF127:CH128"/>
    <mergeCell ref="CI127:CK128"/>
    <mergeCell ref="CL127:CN128"/>
    <mergeCell ref="CO127:CQ128"/>
    <mergeCell ref="BK127:BM128"/>
    <mergeCell ref="BN127:BP128"/>
    <mergeCell ref="BQ127:BS128"/>
    <mergeCell ref="BT127:BV128"/>
    <mergeCell ref="BW127:BY128"/>
    <mergeCell ref="CO131:CQ132"/>
    <mergeCell ref="BK131:BM132"/>
    <mergeCell ref="BN131:BP132"/>
    <mergeCell ref="BQ131:BS132"/>
    <mergeCell ref="BT131:BV132"/>
    <mergeCell ref="BW131:BY132"/>
    <mergeCell ref="AL130:AO130"/>
    <mergeCell ref="C131:D132"/>
    <mergeCell ref="G131:R132"/>
    <mergeCell ref="T131:AJ132"/>
    <mergeCell ref="AL131:AO132"/>
    <mergeCell ref="BQ135:BS136"/>
    <mergeCell ref="BT135:BV136"/>
    <mergeCell ref="BW135:BY136"/>
    <mergeCell ref="AL134:AO134"/>
    <mergeCell ref="C135:D136"/>
    <mergeCell ref="G135:R136"/>
    <mergeCell ref="T135:AJ136"/>
    <mergeCell ref="AL135:AO136"/>
    <mergeCell ref="DL131:DS132"/>
    <mergeCell ref="C133:D133"/>
    <mergeCell ref="AL133:AO133"/>
    <mergeCell ref="DH133:DK133"/>
    <mergeCell ref="DL133:DS133"/>
    <mergeCell ref="CR131:CT132"/>
    <mergeCell ref="CU131:CW132"/>
    <mergeCell ref="CX131:CZ132"/>
    <mergeCell ref="DA131:DC132"/>
    <mergeCell ref="DD131:DF132"/>
    <mergeCell ref="DH131:DK132"/>
    <mergeCell ref="BZ131:CB132"/>
    <mergeCell ref="CC131:CE132"/>
    <mergeCell ref="CF131:CH132"/>
    <mergeCell ref="CI131:CK132"/>
    <mergeCell ref="CL131:CN132"/>
    <mergeCell ref="AL138:AO138"/>
    <mergeCell ref="C139:D140"/>
    <mergeCell ref="G139:R140"/>
    <mergeCell ref="T139:AJ140"/>
    <mergeCell ref="AL139:AO140"/>
    <mergeCell ref="DL135:DS136"/>
    <mergeCell ref="C137:D137"/>
    <mergeCell ref="AL137:AO137"/>
    <mergeCell ref="DH137:DK137"/>
    <mergeCell ref="DL137:DS137"/>
    <mergeCell ref="CR135:CT136"/>
    <mergeCell ref="CU135:CW136"/>
    <mergeCell ref="CX135:CZ136"/>
    <mergeCell ref="DA135:DC136"/>
    <mergeCell ref="DD135:DF136"/>
    <mergeCell ref="DH135:DK136"/>
    <mergeCell ref="BZ135:CB136"/>
    <mergeCell ref="CC135:CE136"/>
    <mergeCell ref="CF135:CH136"/>
    <mergeCell ref="CI135:CK136"/>
    <mergeCell ref="CL135:CN136"/>
    <mergeCell ref="CO135:CQ136"/>
    <mergeCell ref="BK135:BM136"/>
    <mergeCell ref="BN135:BP136"/>
    <mergeCell ref="DL139:DS140"/>
    <mergeCell ref="AL141:AO141"/>
    <mergeCell ref="DH141:DK141"/>
    <mergeCell ref="DL141:DS141"/>
    <mergeCell ref="CR139:CT140"/>
    <mergeCell ref="CU139:CW140"/>
    <mergeCell ref="CX139:CZ140"/>
    <mergeCell ref="DA139:DC140"/>
    <mergeCell ref="DD139:DF140"/>
    <mergeCell ref="DH139:DK140"/>
    <mergeCell ref="BZ139:CB140"/>
    <mergeCell ref="CC139:CE140"/>
    <mergeCell ref="CF139:CH140"/>
    <mergeCell ref="CI139:CK140"/>
    <mergeCell ref="CL139:CN140"/>
    <mergeCell ref="CO139:CQ140"/>
    <mergeCell ref="BK139:BM140"/>
    <mergeCell ref="BN139:BP140"/>
    <mergeCell ref="BQ139:BS140"/>
    <mergeCell ref="BT139:BV140"/>
    <mergeCell ref="BW139:BY140"/>
    <mergeCell ref="CO143:CQ144"/>
    <mergeCell ref="BK143:BM144"/>
    <mergeCell ref="BN143:BP144"/>
    <mergeCell ref="BQ143:BS144"/>
    <mergeCell ref="BT143:BV144"/>
    <mergeCell ref="BW143:BY144"/>
    <mergeCell ref="AL142:AO142"/>
    <mergeCell ref="C143:D144"/>
    <mergeCell ref="G143:R144"/>
    <mergeCell ref="T143:AJ144"/>
    <mergeCell ref="AL143:AO144"/>
    <mergeCell ref="BT147:BV148"/>
    <mergeCell ref="BW147:BY148"/>
    <mergeCell ref="AL146:AO146"/>
    <mergeCell ref="C147:D148"/>
    <mergeCell ref="G147:R148"/>
    <mergeCell ref="T147:AJ148"/>
    <mergeCell ref="AL147:AO148"/>
    <mergeCell ref="DL143:DS144"/>
    <mergeCell ref="C145:D145"/>
    <mergeCell ref="AL145:AO145"/>
    <mergeCell ref="DH145:DK145"/>
    <mergeCell ref="DL145:DS145"/>
    <mergeCell ref="AR143:BG144"/>
    <mergeCell ref="CR143:CT144"/>
    <mergeCell ref="CU143:CW144"/>
    <mergeCell ref="CX143:CZ144"/>
    <mergeCell ref="DA143:DC144"/>
    <mergeCell ref="DD143:DF144"/>
    <mergeCell ref="DH143:DK144"/>
    <mergeCell ref="BZ143:CB144"/>
    <mergeCell ref="CC143:CE144"/>
    <mergeCell ref="CF143:CH144"/>
    <mergeCell ref="CI143:CK144"/>
    <mergeCell ref="CL143:CN144"/>
    <mergeCell ref="G151:R152"/>
    <mergeCell ref="T151:AJ152"/>
    <mergeCell ref="AL151:AO152"/>
    <mergeCell ref="DL147:DS148"/>
    <mergeCell ref="C149:D149"/>
    <mergeCell ref="AL149:AO149"/>
    <mergeCell ref="DH149:DK149"/>
    <mergeCell ref="DL149:DS149"/>
    <mergeCell ref="AR147:BG148"/>
    <mergeCell ref="CR147:CT148"/>
    <mergeCell ref="CU147:CW148"/>
    <mergeCell ref="CX147:CZ148"/>
    <mergeCell ref="DA147:DC148"/>
    <mergeCell ref="DD147:DF148"/>
    <mergeCell ref="DH147:DK148"/>
    <mergeCell ref="BZ147:CB148"/>
    <mergeCell ref="CC147:CE148"/>
    <mergeCell ref="CF147:CH148"/>
    <mergeCell ref="CI147:CK148"/>
    <mergeCell ref="CL147:CN148"/>
    <mergeCell ref="CO147:CQ148"/>
    <mergeCell ref="BK147:BM148"/>
    <mergeCell ref="BN147:BP148"/>
    <mergeCell ref="BQ147:BS148"/>
    <mergeCell ref="DL151:DS152"/>
    <mergeCell ref="C153:D153"/>
    <mergeCell ref="AL153:AO153"/>
    <mergeCell ref="DH153:DK153"/>
    <mergeCell ref="DL153:DS153"/>
    <mergeCell ref="AR151:BG152"/>
    <mergeCell ref="CR151:CT152"/>
    <mergeCell ref="CU151:CW152"/>
    <mergeCell ref="CX151:CZ152"/>
    <mergeCell ref="DA151:DC152"/>
    <mergeCell ref="DD151:DF152"/>
    <mergeCell ref="DH151:DK152"/>
    <mergeCell ref="BZ151:CB152"/>
    <mergeCell ref="CC151:CE152"/>
    <mergeCell ref="CF151:CH152"/>
    <mergeCell ref="CI151:CK152"/>
    <mergeCell ref="CL151:CN152"/>
    <mergeCell ref="CO151:CQ152"/>
    <mergeCell ref="BK151:BM152"/>
    <mergeCell ref="BN151:BP152"/>
    <mergeCell ref="BQ151:BS152"/>
    <mergeCell ref="BT151:BV152"/>
    <mergeCell ref="BW151:BY152"/>
    <mergeCell ref="C151:D152"/>
    <mergeCell ref="BT155:BV156"/>
    <mergeCell ref="C155:D156"/>
    <mergeCell ref="G155:R156"/>
    <mergeCell ref="T155:AJ156"/>
    <mergeCell ref="AL155:AO156"/>
    <mergeCell ref="C154:D154"/>
    <mergeCell ref="AL154:AO154"/>
    <mergeCell ref="DH154:DK154"/>
    <mergeCell ref="DL154:DS154"/>
    <mergeCell ref="DH158:DK158"/>
    <mergeCell ref="DL158:DS158"/>
    <mergeCell ref="DH155:DK156"/>
    <mergeCell ref="DL155:DS156"/>
    <mergeCell ref="C157:D157"/>
    <mergeCell ref="AL157:AO157"/>
    <mergeCell ref="DH157:DK157"/>
    <mergeCell ref="DL157:DS157"/>
    <mergeCell ref="AR155:BG156"/>
    <mergeCell ref="CO155:CQ156"/>
    <mergeCell ref="CR155:CT156"/>
    <mergeCell ref="CU155:CW156"/>
    <mergeCell ref="CX155:CZ156"/>
    <mergeCell ref="DA155:DC156"/>
    <mergeCell ref="DD155:DF156"/>
    <mergeCell ref="BW155:BY156"/>
    <mergeCell ref="BZ155:CB156"/>
    <mergeCell ref="CC155:CE156"/>
    <mergeCell ref="CF155:CH156"/>
    <mergeCell ref="CI155:CK156"/>
    <mergeCell ref="CL155:CN156"/>
    <mergeCell ref="BK155:BM156"/>
    <mergeCell ref="BN155:BP156"/>
    <mergeCell ref="BQ155:BS156"/>
    <mergeCell ref="DH159:DK160"/>
    <mergeCell ref="DL159:DS160"/>
    <mergeCell ref="C161:D161"/>
    <mergeCell ref="AL161:AO161"/>
    <mergeCell ref="DH161:DK161"/>
    <mergeCell ref="DL161:DS161"/>
    <mergeCell ref="AR159:BG160"/>
    <mergeCell ref="CO159:CQ160"/>
    <mergeCell ref="CR159:CT160"/>
    <mergeCell ref="CU159:CW160"/>
    <mergeCell ref="CX159:CZ160"/>
    <mergeCell ref="DA159:DC160"/>
    <mergeCell ref="DD159:DF160"/>
    <mergeCell ref="BW159:BY160"/>
    <mergeCell ref="BZ159:CB160"/>
    <mergeCell ref="CC159:CE160"/>
    <mergeCell ref="CF159:CH160"/>
    <mergeCell ref="CI159:CK160"/>
    <mergeCell ref="CL159:CN160"/>
    <mergeCell ref="BK159:BM160"/>
    <mergeCell ref="BN159:BP160"/>
    <mergeCell ref="BQ159:BS160"/>
    <mergeCell ref="BT159:BV160"/>
    <mergeCell ref="C159:D160"/>
    <mergeCell ref="BT163:BV164"/>
    <mergeCell ref="C163:D164"/>
    <mergeCell ref="G163:R164"/>
    <mergeCell ref="T163:AJ164"/>
    <mergeCell ref="AL163:AO164"/>
    <mergeCell ref="C162:D162"/>
    <mergeCell ref="AL162:AO162"/>
    <mergeCell ref="DH162:DK162"/>
    <mergeCell ref="DL162:DS162"/>
    <mergeCell ref="DH166:DK166"/>
    <mergeCell ref="DL166:DS166"/>
    <mergeCell ref="DH163:DK164"/>
    <mergeCell ref="DL163:DS164"/>
    <mergeCell ref="C165:D165"/>
    <mergeCell ref="AL165:AO165"/>
    <mergeCell ref="DH165:DK165"/>
    <mergeCell ref="DL165:DS165"/>
    <mergeCell ref="AR163:BG164"/>
    <mergeCell ref="CO163:CQ164"/>
    <mergeCell ref="CR163:CT164"/>
    <mergeCell ref="CU163:CW164"/>
    <mergeCell ref="CX163:CZ164"/>
    <mergeCell ref="DA163:DC164"/>
    <mergeCell ref="DD163:DF164"/>
    <mergeCell ref="BW163:BY164"/>
    <mergeCell ref="BZ163:CB164"/>
    <mergeCell ref="CC163:CE164"/>
    <mergeCell ref="CF163:CH164"/>
    <mergeCell ref="CI163:CK164"/>
    <mergeCell ref="CL163:CN164"/>
    <mergeCell ref="BK163:BM164"/>
    <mergeCell ref="BN163:BP164"/>
    <mergeCell ref="BQ163:BS164"/>
    <mergeCell ref="DH167:DK168"/>
    <mergeCell ref="DL167:DS168"/>
    <mergeCell ref="C169:D169"/>
    <mergeCell ref="AL169:AO169"/>
    <mergeCell ref="DH169:DK169"/>
    <mergeCell ref="DL169:DS169"/>
    <mergeCell ref="AR167:BG168"/>
    <mergeCell ref="CO167:CQ168"/>
    <mergeCell ref="CR167:CT168"/>
    <mergeCell ref="CU167:CW168"/>
    <mergeCell ref="CX167:CZ168"/>
    <mergeCell ref="DA167:DC168"/>
    <mergeCell ref="DD167:DF168"/>
    <mergeCell ref="BW167:BY168"/>
    <mergeCell ref="BZ167:CB168"/>
    <mergeCell ref="CC167:CE168"/>
    <mergeCell ref="CF167:CH168"/>
    <mergeCell ref="CI167:CK168"/>
    <mergeCell ref="CL167:CN168"/>
    <mergeCell ref="BK167:BM168"/>
    <mergeCell ref="BN167:BP168"/>
    <mergeCell ref="BQ167:BS168"/>
    <mergeCell ref="BT167:BV168"/>
    <mergeCell ref="C167:D168"/>
    <mergeCell ref="BT171:BV172"/>
    <mergeCell ref="C171:D172"/>
    <mergeCell ref="G171:R172"/>
    <mergeCell ref="T171:AJ172"/>
    <mergeCell ref="AL171:AO172"/>
    <mergeCell ref="C170:D170"/>
    <mergeCell ref="AL170:AO170"/>
    <mergeCell ref="DH170:DK170"/>
    <mergeCell ref="DL170:DS170"/>
    <mergeCell ref="DH174:DK174"/>
    <mergeCell ref="DL174:DS174"/>
    <mergeCell ref="DH171:DK172"/>
    <mergeCell ref="DL171:DS172"/>
    <mergeCell ref="C173:D173"/>
    <mergeCell ref="AL173:AO173"/>
    <mergeCell ref="DH173:DK173"/>
    <mergeCell ref="DL173:DS173"/>
    <mergeCell ref="AR171:BG172"/>
    <mergeCell ref="CO171:CQ172"/>
    <mergeCell ref="CR171:CT172"/>
    <mergeCell ref="CU171:CW172"/>
    <mergeCell ref="CX171:CZ172"/>
    <mergeCell ref="DA171:DC172"/>
    <mergeCell ref="DD171:DF172"/>
    <mergeCell ref="BW171:BY172"/>
    <mergeCell ref="BZ171:CB172"/>
    <mergeCell ref="CC171:CE172"/>
    <mergeCell ref="CF171:CH172"/>
    <mergeCell ref="CI171:CK172"/>
    <mergeCell ref="CL171:CN172"/>
    <mergeCell ref="BK171:BM172"/>
    <mergeCell ref="BN171:BP172"/>
    <mergeCell ref="BQ171:BS172"/>
    <mergeCell ref="CL175:CN176"/>
    <mergeCell ref="BK175:BM176"/>
    <mergeCell ref="BN175:BP176"/>
    <mergeCell ref="BQ175:BS176"/>
    <mergeCell ref="BT175:BV176"/>
    <mergeCell ref="C175:D176"/>
    <mergeCell ref="G175:R176"/>
    <mergeCell ref="T175:AJ176"/>
    <mergeCell ref="AL175:AO176"/>
    <mergeCell ref="DH178:DK178"/>
    <mergeCell ref="DL178:DS178"/>
    <mergeCell ref="C179:D180"/>
    <mergeCell ref="G179:R180"/>
    <mergeCell ref="T179:AJ180"/>
    <mergeCell ref="AL179:AO180"/>
    <mergeCell ref="DH175:DK176"/>
    <mergeCell ref="DL175:DS176"/>
    <mergeCell ref="C177:D177"/>
    <mergeCell ref="AL177:AO177"/>
    <mergeCell ref="DH177:DK177"/>
    <mergeCell ref="DL177:DS177"/>
    <mergeCell ref="AR175:BG176"/>
    <mergeCell ref="CO175:CQ176"/>
    <mergeCell ref="CR175:CT176"/>
    <mergeCell ref="CU175:CW176"/>
    <mergeCell ref="CX175:CZ176"/>
    <mergeCell ref="DA175:DC176"/>
    <mergeCell ref="DD175:DF176"/>
    <mergeCell ref="BW175:BY176"/>
    <mergeCell ref="BZ175:CB176"/>
    <mergeCell ref="CC175:CE176"/>
    <mergeCell ref="CF175:CH176"/>
    <mergeCell ref="CI175:CK176"/>
    <mergeCell ref="DH182:DK182"/>
    <mergeCell ref="DL182:DS182"/>
    <mergeCell ref="DD179:DF180"/>
    <mergeCell ref="DH179:DK180"/>
    <mergeCell ref="DL179:DS180"/>
    <mergeCell ref="AL181:AO181"/>
    <mergeCell ref="DH181:DK181"/>
    <mergeCell ref="DL181:DS181"/>
    <mergeCell ref="AR179:BG180"/>
    <mergeCell ref="CL179:CN180"/>
    <mergeCell ref="CO179:CQ180"/>
    <mergeCell ref="CR179:CT180"/>
    <mergeCell ref="CU179:CW180"/>
    <mergeCell ref="CX179:CZ180"/>
    <mergeCell ref="DA179:DC180"/>
    <mergeCell ref="BT179:BV180"/>
    <mergeCell ref="BW179:BY180"/>
    <mergeCell ref="BZ179:CB180"/>
    <mergeCell ref="CC179:CE180"/>
    <mergeCell ref="CF179:CH180"/>
    <mergeCell ref="CI179:CK180"/>
    <mergeCell ref="BK179:BM180"/>
    <mergeCell ref="BN179:BP180"/>
    <mergeCell ref="BQ179:BS180"/>
    <mergeCell ref="DH187:DK187"/>
    <mergeCell ref="DL187:DS187"/>
    <mergeCell ref="AL190:AO190"/>
    <mergeCell ref="DH190:DK190"/>
    <mergeCell ref="DL190:DS190"/>
    <mergeCell ref="C187:D188"/>
    <mergeCell ref="G187:R188"/>
    <mergeCell ref="T187:AJ188"/>
    <mergeCell ref="AL187:AO188"/>
    <mergeCell ref="AR187:BG188"/>
    <mergeCell ref="A193:BI194"/>
    <mergeCell ref="A196:BI197"/>
    <mergeCell ref="AQ114:BH117"/>
    <mergeCell ref="AR119:BG120"/>
    <mergeCell ref="AR123:BG124"/>
    <mergeCell ref="AR127:BG128"/>
    <mergeCell ref="AR131:BG132"/>
    <mergeCell ref="AR135:BG136"/>
    <mergeCell ref="AR139:BG140"/>
    <mergeCell ref="AL182:AO182"/>
    <mergeCell ref="AL178:AO178"/>
    <mergeCell ref="C174:D174"/>
    <mergeCell ref="AL174:AO174"/>
    <mergeCell ref="G167:R168"/>
    <mergeCell ref="T167:AJ168"/>
    <mergeCell ref="AL167:AO168"/>
    <mergeCell ref="C166:D166"/>
    <mergeCell ref="AL166:AO166"/>
    <mergeCell ref="G159:R160"/>
    <mergeCell ref="T159:AJ160"/>
    <mergeCell ref="AL159:AO160"/>
    <mergeCell ref="C158:D158"/>
    <mergeCell ref="AL158:AO158"/>
    <mergeCell ref="AL150:AO150"/>
  </mergeCells>
  <conditionalFormatting sqref="N74:U75">
    <cfRule type="expression" dxfId="2" priority="1">
      <formula>AND($X$78="Frameless",$N$74="Included")</formula>
    </cfRule>
  </conditionalFormatting>
  <dataValidations count="7">
    <dataValidation type="list" allowBlank="1" showInputMessage="1" showErrorMessage="1" sqref="X78:AO79" xr:uid="{2C482D80-6B07-464D-B9C0-5AB1100C7C9C}">
      <formula1>"Framed,Frameless"</formula1>
    </dataValidation>
    <dataValidation type="list" allowBlank="1" showInputMessage="1" showErrorMessage="1" sqref="CI111:CN112" xr:uid="{9FE98B60-BAAB-49B6-B77A-6CBDF7B93100}">
      <formula1>"EUR,USD,ZAR"</formula1>
    </dataValidation>
    <dataValidation type="list" allowBlank="1" showInputMessage="1" showErrorMessage="1" sqref="AO31" xr:uid="{FE041E58-D1DA-4378-8C37-FF12F2D2814B}">
      <formula1>"10,15"</formula1>
    </dataValidation>
    <dataValidation type="list" allowBlank="1" showInputMessage="1" showErrorMessage="1" sqref="AV28" xr:uid="{772748B2-6FCB-46FC-AA38-51AF37F41EE5}">
      <formula1>"Mono-pitch,Duo-pitch"</formula1>
    </dataValidation>
    <dataValidation type="list" allowBlank="1" showInputMessage="1" showErrorMessage="1" sqref="N74 N70" xr:uid="{1131A5AC-8305-42F8-B3A4-08027CC7F457}">
      <formula1>"Included,Not Included"</formula1>
    </dataValidation>
    <dataValidation type="list" allowBlank="1" showInputMessage="1" showErrorMessage="1" sqref="N66:R67" xr:uid="{81456554-FBBC-4AB1-8098-7034C9A2EE5F}">
      <formula1>$DW$111:$DW$113</formula1>
    </dataValidation>
    <dataValidation type="list" allowBlank="1" showInputMessage="1" showErrorMessage="1" sqref="N78:U79" xr:uid="{8C95E7AC-ED76-44F0-BF18-0C931334E125}">
      <formula1>"Chromadek,Aluminium,Not Included"</formula1>
    </dataValidation>
  </dataValidations>
  <pageMargins left="0.7" right="0.7" top="0.75" bottom="0.75" header="0.3" footer="0.3"/>
  <pageSetup paperSize="9" scale="85" fitToWidth="0" fitToHeight="0" orientation="portrait" r:id="rId1"/>
  <headerFooter>
    <oddFooter>&amp;R&amp;"Yu Gothic Medium,Regular"&amp;10Page &amp;P of &amp;N</oddFooter>
  </headerFooter>
  <rowBreaks count="1" manualBreakCount="1">
    <brk id="108" max="6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E5563-ADE4-4398-86C2-60993AE498AE}">
  <sheetPr codeName="Sheet38">
    <tabColor theme="5"/>
  </sheetPr>
  <dimension ref="A1:ME297"/>
  <sheetViews>
    <sheetView tabSelected="1" view="pageBreakPreview" zoomScaleNormal="100" zoomScaleSheetLayoutView="100" workbookViewId="0">
      <selection activeCell="AX11" sqref="AX11:BH12"/>
    </sheetView>
  </sheetViews>
  <sheetFormatPr defaultColWidth="1.54296875" defaultRowHeight="15" customHeight="1" x14ac:dyDescent="0.5"/>
  <cols>
    <col min="1" max="2" width="1.54296875" style="24"/>
    <col min="3" max="3" width="1.54296875" style="24" customWidth="1"/>
    <col min="4" max="4" width="1.1796875" style="24" customWidth="1"/>
    <col min="5" max="6" width="1.54296875" style="24"/>
    <col min="7" max="7" width="1.54296875" style="24" customWidth="1"/>
    <col min="8" max="19" width="1.54296875" style="24"/>
    <col min="20" max="20" width="1.54296875" style="24" customWidth="1"/>
    <col min="21" max="22" width="1.54296875" style="24"/>
    <col min="23" max="23" width="1.54296875" style="24" customWidth="1"/>
    <col min="24" max="30" width="1.54296875" style="24"/>
    <col min="31" max="31" width="2.453125" style="24" bestFit="1" customWidth="1"/>
    <col min="32" max="42" width="1.54296875" style="24"/>
    <col min="43" max="44" width="1.54296875" style="24" customWidth="1"/>
    <col min="45" max="47" width="1.54296875" style="24"/>
    <col min="48" max="51" width="1.54296875" style="24" customWidth="1"/>
    <col min="52" max="54" width="1.54296875" style="24"/>
    <col min="55" max="55" width="1.453125" style="24" customWidth="1"/>
    <col min="56" max="61" width="1.54296875" style="24"/>
    <col min="62" max="62" width="0" style="24" hidden="1" customWidth="1"/>
    <col min="63" max="63" width="1.54296875" style="24" hidden="1" customWidth="1"/>
    <col min="64" max="64" width="0" style="24" hidden="1" customWidth="1"/>
    <col min="65" max="65" width="1.54296875" style="24" hidden="1" customWidth="1"/>
    <col min="66" max="67" width="0" style="24" hidden="1" customWidth="1"/>
    <col min="68" max="68" width="1.453125" style="24" hidden="1" customWidth="1"/>
    <col min="69" max="75" width="0" style="24" hidden="1" customWidth="1"/>
    <col min="76" max="76" width="1.453125" style="24" hidden="1" customWidth="1"/>
    <col min="77" max="92" width="0" style="24" hidden="1" customWidth="1"/>
    <col min="93" max="93" width="1.453125" style="24" hidden="1" customWidth="1"/>
    <col min="94" max="111" width="0" style="24" hidden="1" customWidth="1"/>
    <col min="112" max="116" width="0" style="75" hidden="1" customWidth="1"/>
    <col min="117" max="126" width="0" style="24" hidden="1" customWidth="1"/>
    <col min="127" max="127" width="4" style="24" hidden="1" customWidth="1"/>
    <col min="128" max="343" width="3.54296875" style="24" hidden="1" customWidth="1"/>
    <col min="344" max="16384" width="1.54296875" style="24"/>
  </cols>
  <sheetData>
    <row r="1" spans="1:63" ht="7.4" customHeight="1" x14ac:dyDescent="0.5">
      <c r="C1" s="333" t="e" vm="3">
        <v>#VALUE!</v>
      </c>
      <c r="D1" s="333"/>
      <c r="E1" s="333"/>
      <c r="F1" s="333"/>
      <c r="G1" s="333"/>
      <c r="H1" s="333"/>
      <c r="I1" s="333"/>
      <c r="J1" s="333"/>
      <c r="K1" s="333"/>
      <c r="L1" s="333"/>
      <c r="M1" s="333"/>
      <c r="N1" s="333"/>
      <c r="O1" s="333"/>
      <c r="P1" s="333"/>
      <c r="Q1" s="333"/>
      <c r="R1" s="333"/>
      <c r="S1" s="333"/>
      <c r="T1" s="333"/>
      <c r="U1" s="333"/>
      <c r="V1" s="333"/>
      <c r="W1" s="333"/>
      <c r="X1" s="333"/>
      <c r="Y1" s="333"/>
      <c r="Z1" s="333"/>
      <c r="AA1" s="333"/>
      <c r="AB1" s="333"/>
      <c r="AC1" s="333"/>
      <c r="AD1" s="333"/>
      <c r="AE1" s="333"/>
      <c r="AF1" s="333"/>
      <c r="AG1" s="333"/>
      <c r="AH1" s="333"/>
      <c r="AI1" s="333"/>
      <c r="AN1" s="405" t="s">
        <v>0</v>
      </c>
      <c r="AO1" s="405"/>
      <c r="AP1" s="405"/>
      <c r="AQ1" s="405"/>
      <c r="AR1" s="405"/>
      <c r="AS1" s="405"/>
      <c r="AT1" s="405"/>
      <c r="AU1" s="405"/>
      <c r="AV1" s="405"/>
      <c r="AW1" s="405"/>
      <c r="AX1" s="405"/>
      <c r="AY1" s="405"/>
      <c r="AZ1" s="405"/>
      <c r="BA1" s="405"/>
      <c r="BB1" s="405"/>
      <c r="BC1" s="405"/>
      <c r="BD1" s="405"/>
      <c r="BE1" s="405"/>
      <c r="BF1" s="405"/>
      <c r="BG1" s="405"/>
      <c r="BH1" s="405"/>
      <c r="BK1" s="24" t="s">
        <v>1</v>
      </c>
    </row>
    <row r="2" spans="1:63" ht="7.4" customHeight="1" x14ac:dyDescent="0.5">
      <c r="C2" s="333"/>
      <c r="D2" s="333"/>
      <c r="E2" s="333"/>
      <c r="F2" s="333"/>
      <c r="G2" s="333"/>
      <c r="H2" s="333"/>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N2" s="405"/>
      <c r="AO2" s="405"/>
      <c r="AP2" s="405"/>
      <c r="AQ2" s="405"/>
      <c r="AR2" s="405"/>
      <c r="AS2" s="405"/>
      <c r="AT2" s="405"/>
      <c r="AU2" s="405"/>
      <c r="AV2" s="405"/>
      <c r="AW2" s="405"/>
      <c r="AX2" s="405"/>
      <c r="AY2" s="405"/>
      <c r="AZ2" s="405"/>
      <c r="BA2" s="405"/>
      <c r="BB2" s="405"/>
      <c r="BC2" s="405"/>
      <c r="BD2" s="405"/>
      <c r="BE2" s="405"/>
      <c r="BF2" s="405"/>
      <c r="BG2" s="405"/>
      <c r="BH2" s="405"/>
      <c r="BK2" s="24" t="s">
        <v>2</v>
      </c>
    </row>
    <row r="3" spans="1:63" ht="7.4" customHeight="1" x14ac:dyDescent="0.5">
      <c r="C3" s="333"/>
      <c r="D3" s="333"/>
      <c r="E3" s="333"/>
      <c r="F3" s="333"/>
      <c r="G3" s="333"/>
      <c r="H3" s="333"/>
      <c r="I3" s="333"/>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N3" s="314" t="s">
        <v>3</v>
      </c>
      <c r="AO3" s="314"/>
      <c r="AP3" s="314"/>
      <c r="AQ3" s="314"/>
      <c r="AR3" s="314"/>
      <c r="AS3" s="314"/>
      <c r="AT3" s="314"/>
      <c r="AU3" s="314"/>
      <c r="AV3" s="314"/>
      <c r="AW3" s="314"/>
      <c r="AX3" s="314"/>
      <c r="AY3" s="314"/>
      <c r="AZ3" s="314"/>
      <c r="BA3" s="314"/>
      <c r="BB3" s="314"/>
      <c r="BC3" s="314"/>
      <c r="BD3" s="314"/>
      <c r="BE3" s="314"/>
      <c r="BF3" s="314"/>
      <c r="BG3" s="314"/>
      <c r="BH3" s="314"/>
      <c r="BK3" s="24" t="s">
        <v>4</v>
      </c>
    </row>
    <row r="4" spans="1:63" ht="7.4" customHeight="1" x14ac:dyDescent="0.5">
      <c r="C4" s="333"/>
      <c r="D4" s="333"/>
      <c r="E4" s="333"/>
      <c r="F4" s="333"/>
      <c r="G4" s="333"/>
      <c r="H4" s="333"/>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N4" s="314"/>
      <c r="AO4" s="314"/>
      <c r="AP4" s="314"/>
      <c r="AQ4" s="314"/>
      <c r="AR4" s="314"/>
      <c r="AS4" s="314"/>
      <c r="AT4" s="314"/>
      <c r="AU4" s="314"/>
      <c r="AV4" s="314"/>
      <c r="AW4" s="314"/>
      <c r="AX4" s="314"/>
      <c r="AY4" s="314"/>
      <c r="AZ4" s="314"/>
      <c r="BA4" s="314"/>
      <c r="BB4" s="314"/>
      <c r="BC4" s="314"/>
      <c r="BD4" s="314"/>
      <c r="BE4" s="314"/>
      <c r="BF4" s="314"/>
      <c r="BG4" s="314"/>
      <c r="BH4" s="314"/>
      <c r="BK4" s="24" t="s">
        <v>122</v>
      </c>
    </row>
    <row r="5" spans="1:63" ht="7.4" customHeight="1" x14ac:dyDescent="0.5">
      <c r="C5" s="333"/>
      <c r="D5" s="333"/>
      <c r="E5" s="333"/>
      <c r="F5" s="333"/>
      <c r="G5" s="333"/>
      <c r="H5" s="333"/>
      <c r="I5" s="333"/>
      <c r="J5" s="333"/>
      <c r="K5" s="333"/>
      <c r="L5" s="333"/>
      <c r="M5" s="333"/>
      <c r="N5" s="333"/>
      <c r="O5" s="333"/>
      <c r="P5" s="333"/>
      <c r="Q5" s="333"/>
      <c r="R5" s="333"/>
      <c r="S5" s="333"/>
      <c r="T5" s="333"/>
      <c r="U5" s="333"/>
      <c r="V5" s="333"/>
      <c r="W5" s="333"/>
      <c r="X5" s="333"/>
      <c r="Y5" s="333"/>
      <c r="Z5" s="333"/>
      <c r="AA5" s="333"/>
      <c r="AB5" s="333"/>
      <c r="AC5" s="333"/>
      <c r="AD5" s="333"/>
      <c r="AE5" s="333"/>
      <c r="AF5" s="333"/>
      <c r="AG5" s="333"/>
      <c r="AH5" s="333"/>
      <c r="AI5" s="333"/>
      <c r="AN5" s="406" t="s">
        <v>6</v>
      </c>
      <c r="AO5" s="314"/>
      <c r="AP5" s="314"/>
      <c r="AQ5" s="314"/>
      <c r="AR5" s="314"/>
      <c r="AS5" s="314"/>
      <c r="AT5" s="314"/>
      <c r="AU5" s="314"/>
      <c r="AV5" s="314"/>
      <c r="AW5" s="314"/>
      <c r="AX5" s="314"/>
      <c r="AY5" s="314"/>
      <c r="AZ5" s="314"/>
      <c r="BA5" s="314"/>
      <c r="BB5" s="314"/>
      <c r="BC5" s="314"/>
      <c r="BD5" s="314"/>
      <c r="BE5" s="314"/>
      <c r="BF5" s="314"/>
      <c r="BG5" s="314"/>
      <c r="BH5" s="314"/>
      <c r="BK5" s="24" t="s">
        <v>5</v>
      </c>
    </row>
    <row r="6" spans="1:63" ht="7.4" customHeight="1" x14ac:dyDescent="0.5">
      <c r="C6" s="333"/>
      <c r="D6" s="333"/>
      <c r="E6" s="333"/>
      <c r="F6" s="333"/>
      <c r="G6" s="333"/>
      <c r="H6" s="333"/>
      <c r="I6" s="333"/>
      <c r="J6" s="333"/>
      <c r="K6" s="333"/>
      <c r="L6" s="333"/>
      <c r="M6" s="333"/>
      <c r="N6" s="333"/>
      <c r="O6" s="333"/>
      <c r="P6" s="333"/>
      <c r="Q6" s="333"/>
      <c r="R6" s="333"/>
      <c r="S6" s="333"/>
      <c r="T6" s="333"/>
      <c r="U6" s="333"/>
      <c r="V6" s="333"/>
      <c r="W6" s="333"/>
      <c r="X6" s="333"/>
      <c r="Y6" s="333"/>
      <c r="Z6" s="333"/>
      <c r="AA6" s="333"/>
      <c r="AB6" s="333"/>
      <c r="AC6" s="333"/>
      <c r="AD6" s="333"/>
      <c r="AE6" s="333"/>
      <c r="AF6" s="333"/>
      <c r="AG6" s="333"/>
      <c r="AH6" s="333"/>
      <c r="AI6" s="333"/>
      <c r="AN6" s="314"/>
      <c r="AO6" s="314"/>
      <c r="AP6" s="314"/>
      <c r="AQ6" s="314"/>
      <c r="AR6" s="314"/>
      <c r="AS6" s="314"/>
      <c r="AT6" s="314"/>
      <c r="AU6" s="314"/>
      <c r="AV6" s="314"/>
      <c r="AW6" s="314"/>
      <c r="AX6" s="314"/>
      <c r="AY6" s="314"/>
      <c r="AZ6" s="314"/>
      <c r="BA6" s="314"/>
      <c r="BB6" s="314"/>
      <c r="BC6" s="314"/>
      <c r="BD6" s="314"/>
      <c r="BE6" s="314"/>
      <c r="BF6" s="314"/>
      <c r="BG6" s="314"/>
      <c r="BH6" s="314"/>
      <c r="BK6" s="24" t="s">
        <v>123</v>
      </c>
    </row>
    <row r="7" spans="1:63" ht="7.4" customHeight="1" x14ac:dyDescent="0.5">
      <c r="C7" s="333"/>
      <c r="D7" s="333"/>
      <c r="E7" s="333"/>
      <c r="F7" s="333"/>
      <c r="G7" s="333"/>
      <c r="H7" s="333"/>
      <c r="I7" s="333"/>
      <c r="J7" s="333"/>
      <c r="K7" s="333"/>
      <c r="L7" s="333"/>
      <c r="M7" s="333"/>
      <c r="N7" s="333"/>
      <c r="O7" s="333"/>
      <c r="P7" s="333"/>
      <c r="Q7" s="333"/>
      <c r="R7" s="333"/>
      <c r="S7" s="333"/>
      <c r="T7" s="333"/>
      <c r="U7" s="333"/>
      <c r="V7" s="333"/>
      <c r="W7" s="333"/>
      <c r="X7" s="333"/>
      <c r="Y7" s="333"/>
      <c r="Z7" s="333"/>
      <c r="AA7" s="333"/>
      <c r="AB7" s="333"/>
      <c r="AC7" s="333"/>
      <c r="AD7" s="333"/>
      <c r="AE7" s="333"/>
      <c r="AF7" s="333"/>
      <c r="AG7" s="333"/>
      <c r="AH7" s="333"/>
      <c r="AI7" s="333"/>
      <c r="AN7" s="405" t="s">
        <v>9</v>
      </c>
      <c r="AO7" s="405"/>
      <c r="AP7" s="405"/>
      <c r="AQ7" s="405"/>
      <c r="AR7" s="405"/>
      <c r="AS7" s="405"/>
      <c r="AT7" s="405"/>
      <c r="AU7" s="405"/>
      <c r="AV7" s="405"/>
      <c r="AW7" s="405"/>
      <c r="AX7" s="405"/>
      <c r="AY7" s="405"/>
      <c r="AZ7" s="405"/>
      <c r="BA7" s="405"/>
      <c r="BB7" s="405"/>
      <c r="BC7" s="405"/>
      <c r="BD7" s="405"/>
      <c r="BE7" s="405"/>
      <c r="BF7" s="405"/>
      <c r="BG7" s="405"/>
      <c r="BH7" s="405"/>
      <c r="BK7" s="24" t="s">
        <v>8</v>
      </c>
    </row>
    <row r="8" spans="1:63" ht="7.4" customHeight="1" x14ac:dyDescent="0.5">
      <c r="C8" s="333"/>
      <c r="D8" s="333"/>
      <c r="E8" s="333"/>
      <c r="F8" s="333"/>
      <c r="G8" s="333"/>
      <c r="H8" s="333"/>
      <c r="I8" s="333"/>
      <c r="J8" s="333"/>
      <c r="K8" s="333"/>
      <c r="L8" s="333"/>
      <c r="M8" s="333"/>
      <c r="N8" s="333"/>
      <c r="O8" s="333"/>
      <c r="P8" s="333"/>
      <c r="Q8" s="333"/>
      <c r="R8" s="333"/>
      <c r="S8" s="333"/>
      <c r="T8" s="333"/>
      <c r="U8" s="333"/>
      <c r="V8" s="333"/>
      <c r="W8" s="333"/>
      <c r="X8" s="333"/>
      <c r="Y8" s="333"/>
      <c r="Z8" s="333"/>
      <c r="AA8" s="333"/>
      <c r="AB8" s="333"/>
      <c r="AC8" s="333"/>
      <c r="AD8" s="333"/>
      <c r="AE8" s="333"/>
      <c r="AF8" s="333"/>
      <c r="AG8" s="333"/>
      <c r="AH8" s="333"/>
      <c r="AI8" s="333"/>
      <c r="AN8" s="405"/>
      <c r="AO8" s="405"/>
      <c r="AP8" s="405"/>
      <c r="AQ8" s="405"/>
      <c r="AR8" s="405"/>
      <c r="AS8" s="405"/>
      <c r="AT8" s="405"/>
      <c r="AU8" s="405"/>
      <c r="AV8" s="405"/>
      <c r="AW8" s="405"/>
      <c r="AX8" s="405"/>
      <c r="AY8" s="405"/>
      <c r="AZ8" s="405"/>
      <c r="BA8" s="405"/>
      <c r="BB8" s="405"/>
      <c r="BC8" s="405"/>
      <c r="BD8" s="405"/>
      <c r="BE8" s="405"/>
      <c r="BF8" s="405"/>
      <c r="BG8" s="405"/>
      <c r="BH8" s="405"/>
      <c r="BK8" s="24" t="s">
        <v>10</v>
      </c>
    </row>
    <row r="9" spans="1:63" ht="7.4" customHeight="1" x14ac:dyDescent="0.5">
      <c r="C9" s="404"/>
      <c r="D9" s="404"/>
      <c r="E9" s="404"/>
      <c r="F9" s="404"/>
      <c r="G9" s="404"/>
      <c r="H9" s="404"/>
      <c r="I9" s="404"/>
      <c r="J9" s="404"/>
      <c r="K9" s="404"/>
      <c r="L9" s="404"/>
      <c r="M9" s="404"/>
      <c r="N9" s="404"/>
      <c r="O9" s="404"/>
      <c r="P9" s="404"/>
      <c r="Q9" s="404"/>
      <c r="R9" s="404"/>
      <c r="S9" s="404"/>
      <c r="T9" s="404"/>
      <c r="U9" s="404"/>
      <c r="V9" s="404"/>
      <c r="W9" s="404"/>
      <c r="X9" s="404"/>
      <c r="Y9" s="404"/>
      <c r="Z9" s="404"/>
      <c r="AA9" s="404"/>
      <c r="AB9" s="404"/>
      <c r="AC9" s="404"/>
      <c r="AD9" s="404"/>
      <c r="AE9" s="404"/>
      <c r="AF9" s="404"/>
      <c r="AG9" s="404"/>
      <c r="AH9" s="404"/>
      <c r="AI9" s="404"/>
      <c r="BK9" s="24" t="s">
        <v>11</v>
      </c>
    </row>
    <row r="10" spans="1:63" ht="7.4" customHeight="1" x14ac:dyDescent="0.5">
      <c r="A10" s="407" t="s">
        <v>13</v>
      </c>
      <c r="B10" s="407"/>
      <c r="C10" s="407"/>
      <c r="D10" s="407"/>
      <c r="E10" s="407"/>
      <c r="F10" s="407"/>
      <c r="G10" s="407"/>
      <c r="H10" s="407"/>
      <c r="I10" s="407"/>
      <c r="J10" s="407"/>
      <c r="K10" s="407"/>
      <c r="L10" s="407"/>
      <c r="M10" s="407"/>
      <c r="N10" s="407"/>
      <c r="O10" s="407"/>
      <c r="P10" s="407"/>
      <c r="Q10" s="407"/>
      <c r="R10" s="407"/>
      <c r="S10" s="407"/>
      <c r="T10" s="407"/>
      <c r="U10" s="407"/>
      <c r="V10" s="407"/>
      <c r="W10" s="407"/>
      <c r="X10" s="407"/>
      <c r="Y10" s="407"/>
      <c r="Z10" s="407"/>
      <c r="AA10" s="407"/>
      <c r="AB10" s="407"/>
      <c r="AC10" s="407"/>
      <c r="AD10" s="407"/>
      <c r="AE10" s="407"/>
      <c r="AF10" s="407"/>
      <c r="AG10" s="407"/>
      <c r="AH10" s="407"/>
      <c r="AI10" s="407"/>
      <c r="AJ10" s="407"/>
      <c r="AK10" s="407"/>
      <c r="AL10" s="407"/>
      <c r="AM10" s="30"/>
      <c r="AN10" s="30"/>
      <c r="AO10" s="30"/>
      <c r="AP10" s="30"/>
      <c r="AQ10" s="30"/>
      <c r="AR10" s="30"/>
      <c r="AS10" s="30"/>
      <c r="AT10" s="30"/>
      <c r="AU10" s="30"/>
      <c r="AV10" s="30"/>
      <c r="AW10" s="30"/>
      <c r="AX10" s="30"/>
      <c r="AY10" s="30"/>
      <c r="AZ10" s="30"/>
      <c r="BA10" s="30"/>
      <c r="BB10" s="30"/>
      <c r="BC10" s="30"/>
      <c r="BD10" s="30"/>
      <c r="BE10" s="30"/>
      <c r="BF10" s="30"/>
      <c r="BG10" s="30"/>
      <c r="BH10" s="30"/>
      <c r="BI10" s="31"/>
      <c r="BK10" s="24" t="s">
        <v>12</v>
      </c>
    </row>
    <row r="11" spans="1:63" ht="7.4" customHeight="1" x14ac:dyDescent="0.5">
      <c r="A11" s="407"/>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407"/>
      <c r="AE11" s="407"/>
      <c r="AF11" s="407"/>
      <c r="AG11" s="407"/>
      <c r="AH11" s="407"/>
      <c r="AI11" s="407"/>
      <c r="AJ11" s="407"/>
      <c r="AK11" s="407"/>
      <c r="AL11" s="407"/>
      <c r="AM11" s="33"/>
      <c r="AN11" s="408" t="s">
        <v>15</v>
      </c>
      <c r="AO11" s="408"/>
      <c r="AP11" s="408"/>
      <c r="AQ11" s="408"/>
      <c r="AR11" s="408"/>
      <c r="AS11" s="408"/>
      <c r="AT11" s="408"/>
      <c r="AU11" s="408"/>
      <c r="AV11" s="408"/>
      <c r="AW11" s="33"/>
      <c r="AX11" s="409" t="s">
        <v>124</v>
      </c>
      <c r="AY11" s="409"/>
      <c r="AZ11" s="409"/>
      <c r="BA11" s="409"/>
      <c r="BB11" s="409"/>
      <c r="BC11" s="409"/>
      <c r="BD11" s="409"/>
      <c r="BE11" s="409"/>
      <c r="BF11" s="409"/>
      <c r="BG11" s="409"/>
      <c r="BH11" s="409"/>
      <c r="BI11" s="34"/>
      <c r="BK11" s="24" t="s">
        <v>125</v>
      </c>
    </row>
    <row r="12" spans="1:63" ht="7.4" customHeight="1" x14ac:dyDescent="0.5">
      <c r="A12" s="407"/>
      <c r="B12" s="407"/>
      <c r="C12" s="407"/>
      <c r="D12" s="407"/>
      <c r="E12" s="407"/>
      <c r="F12" s="407"/>
      <c r="G12" s="407"/>
      <c r="H12" s="407"/>
      <c r="I12" s="407"/>
      <c r="J12" s="407"/>
      <c r="K12" s="407"/>
      <c r="L12" s="407"/>
      <c r="M12" s="407"/>
      <c r="N12" s="407"/>
      <c r="O12" s="407"/>
      <c r="P12" s="407"/>
      <c r="Q12" s="407"/>
      <c r="R12" s="407"/>
      <c r="S12" s="407"/>
      <c r="T12" s="407"/>
      <c r="U12" s="407"/>
      <c r="V12" s="407"/>
      <c r="W12" s="407"/>
      <c r="X12" s="407"/>
      <c r="Y12" s="407"/>
      <c r="Z12" s="407"/>
      <c r="AA12" s="407"/>
      <c r="AB12" s="407"/>
      <c r="AC12" s="407"/>
      <c r="AD12" s="407"/>
      <c r="AE12" s="407"/>
      <c r="AF12" s="407"/>
      <c r="AG12" s="407"/>
      <c r="AH12" s="407"/>
      <c r="AI12" s="407"/>
      <c r="AJ12" s="407"/>
      <c r="AK12" s="407"/>
      <c r="AL12" s="407"/>
      <c r="AM12" s="33"/>
      <c r="AN12" s="408"/>
      <c r="AO12" s="408"/>
      <c r="AP12" s="408"/>
      <c r="AQ12" s="408"/>
      <c r="AR12" s="408"/>
      <c r="AS12" s="408"/>
      <c r="AT12" s="408"/>
      <c r="AU12" s="408"/>
      <c r="AV12" s="408"/>
      <c r="AW12" s="33"/>
      <c r="AX12" s="409"/>
      <c r="AY12" s="409"/>
      <c r="AZ12" s="409"/>
      <c r="BA12" s="409"/>
      <c r="BB12" s="409"/>
      <c r="BC12" s="409"/>
      <c r="BD12" s="409"/>
      <c r="BE12" s="409"/>
      <c r="BF12" s="409"/>
      <c r="BG12" s="409"/>
      <c r="BH12" s="409"/>
      <c r="BI12" s="34"/>
      <c r="BK12" s="24" t="s">
        <v>14</v>
      </c>
    </row>
    <row r="13" spans="1:63" ht="7.4" customHeight="1" x14ac:dyDescent="0.5">
      <c r="A13" s="407"/>
      <c r="B13" s="407"/>
      <c r="C13" s="407"/>
      <c r="D13" s="407"/>
      <c r="E13" s="407"/>
      <c r="F13" s="407"/>
      <c r="G13" s="407"/>
      <c r="H13" s="407"/>
      <c r="I13" s="407"/>
      <c r="J13" s="407"/>
      <c r="K13" s="407"/>
      <c r="L13" s="407"/>
      <c r="M13" s="407"/>
      <c r="N13" s="407"/>
      <c r="O13" s="407"/>
      <c r="P13" s="407"/>
      <c r="Q13" s="407"/>
      <c r="R13" s="407"/>
      <c r="S13" s="407"/>
      <c r="T13" s="407"/>
      <c r="U13" s="407"/>
      <c r="V13" s="407"/>
      <c r="W13" s="407"/>
      <c r="X13" s="407"/>
      <c r="Y13" s="407"/>
      <c r="Z13" s="407"/>
      <c r="AA13" s="407"/>
      <c r="AB13" s="407"/>
      <c r="AC13" s="407"/>
      <c r="AD13" s="407"/>
      <c r="AE13" s="407"/>
      <c r="AF13" s="407"/>
      <c r="AG13" s="407"/>
      <c r="AH13" s="407"/>
      <c r="AI13" s="407"/>
      <c r="AJ13" s="407"/>
      <c r="AK13" s="407"/>
      <c r="AL13" s="407"/>
      <c r="AM13" s="33"/>
      <c r="AN13" s="408" t="s">
        <v>19</v>
      </c>
      <c r="AO13" s="408"/>
      <c r="AP13" s="408"/>
      <c r="AQ13" s="408"/>
      <c r="AR13" s="408"/>
      <c r="AS13" s="408"/>
      <c r="AT13" s="408"/>
      <c r="AU13" s="408"/>
      <c r="AV13" s="408"/>
      <c r="AW13" s="33"/>
      <c r="AX13" s="410" t="s">
        <v>20</v>
      </c>
      <c r="AY13" s="410"/>
      <c r="AZ13" s="410"/>
      <c r="BA13" s="410"/>
      <c r="BB13" s="410"/>
      <c r="BC13" s="410"/>
      <c r="BD13" s="410"/>
      <c r="BE13" s="410"/>
      <c r="BF13" s="410"/>
      <c r="BG13" s="410"/>
      <c r="BH13" s="410"/>
      <c r="BI13" s="34"/>
      <c r="BK13" s="24" t="s">
        <v>126</v>
      </c>
    </row>
    <row r="14" spans="1:63" ht="7.4" customHeight="1" x14ac:dyDescent="0.5">
      <c r="A14" s="407"/>
      <c r="B14" s="407"/>
      <c r="C14" s="407"/>
      <c r="D14" s="407"/>
      <c r="E14" s="407"/>
      <c r="F14" s="407"/>
      <c r="G14" s="407"/>
      <c r="H14" s="407"/>
      <c r="I14" s="407"/>
      <c r="J14" s="407"/>
      <c r="K14" s="407"/>
      <c r="L14" s="407"/>
      <c r="M14" s="407"/>
      <c r="N14" s="407"/>
      <c r="O14" s="407"/>
      <c r="P14" s="407"/>
      <c r="Q14" s="407"/>
      <c r="R14" s="407"/>
      <c r="S14" s="407"/>
      <c r="T14" s="407"/>
      <c r="U14" s="407"/>
      <c r="V14" s="407"/>
      <c r="W14" s="407"/>
      <c r="X14" s="407"/>
      <c r="Y14" s="407"/>
      <c r="Z14" s="407"/>
      <c r="AA14" s="407"/>
      <c r="AB14" s="407"/>
      <c r="AC14" s="407"/>
      <c r="AD14" s="407"/>
      <c r="AE14" s="407"/>
      <c r="AF14" s="407"/>
      <c r="AG14" s="407"/>
      <c r="AH14" s="407"/>
      <c r="AI14" s="407"/>
      <c r="AJ14" s="407"/>
      <c r="AK14" s="407"/>
      <c r="AL14" s="407"/>
      <c r="AM14" s="33"/>
      <c r="AN14" s="408"/>
      <c r="AO14" s="408"/>
      <c r="AP14" s="408"/>
      <c r="AQ14" s="408"/>
      <c r="AR14" s="408"/>
      <c r="AS14" s="408"/>
      <c r="AT14" s="408"/>
      <c r="AU14" s="408"/>
      <c r="AV14" s="408"/>
      <c r="AW14" s="33"/>
      <c r="AX14" s="410"/>
      <c r="AY14" s="410"/>
      <c r="AZ14" s="410"/>
      <c r="BA14" s="410"/>
      <c r="BB14" s="410"/>
      <c r="BC14" s="410"/>
      <c r="BD14" s="410"/>
      <c r="BE14" s="410"/>
      <c r="BF14" s="410"/>
      <c r="BG14" s="410"/>
      <c r="BH14" s="410"/>
      <c r="BI14" s="34"/>
      <c r="BK14" s="24" t="s">
        <v>17</v>
      </c>
    </row>
    <row r="15" spans="1:63" ht="7.4" customHeight="1" x14ac:dyDescent="0.5">
      <c r="A15" s="407"/>
      <c r="B15" s="407"/>
      <c r="C15" s="407"/>
      <c r="D15" s="407"/>
      <c r="E15" s="407"/>
      <c r="F15" s="407"/>
      <c r="G15" s="407"/>
      <c r="H15" s="407"/>
      <c r="I15" s="407"/>
      <c r="J15" s="407"/>
      <c r="K15" s="407"/>
      <c r="L15" s="407"/>
      <c r="M15" s="407"/>
      <c r="N15" s="407"/>
      <c r="O15" s="407"/>
      <c r="P15" s="407"/>
      <c r="Q15" s="407"/>
      <c r="R15" s="407"/>
      <c r="S15" s="407"/>
      <c r="T15" s="407"/>
      <c r="U15" s="407"/>
      <c r="V15" s="407"/>
      <c r="W15" s="407"/>
      <c r="X15" s="407"/>
      <c r="Y15" s="407"/>
      <c r="Z15" s="407"/>
      <c r="AA15" s="407"/>
      <c r="AB15" s="407"/>
      <c r="AC15" s="407"/>
      <c r="AD15" s="407"/>
      <c r="AE15" s="407"/>
      <c r="AF15" s="407"/>
      <c r="AG15" s="407"/>
      <c r="AH15" s="407"/>
      <c r="AI15" s="407"/>
      <c r="AJ15" s="407"/>
      <c r="AK15" s="407"/>
      <c r="AL15" s="407"/>
      <c r="AM15" s="36"/>
      <c r="AN15" s="36"/>
      <c r="AO15" s="36"/>
      <c r="AP15" s="36"/>
      <c r="AQ15" s="36"/>
      <c r="AR15" s="36"/>
      <c r="AS15" s="36"/>
      <c r="AT15" s="36"/>
      <c r="AU15" s="36"/>
      <c r="AV15" s="36"/>
      <c r="AW15" s="36"/>
      <c r="AX15" s="36"/>
      <c r="AY15" s="36"/>
      <c r="AZ15" s="36"/>
      <c r="BA15" s="36"/>
      <c r="BB15" s="36"/>
      <c r="BC15" s="36"/>
      <c r="BD15" s="36"/>
      <c r="BE15" s="36"/>
      <c r="BF15" s="36"/>
      <c r="BG15" s="36"/>
      <c r="BH15" s="36"/>
      <c r="BI15" s="37"/>
      <c r="BK15" s="24" t="s">
        <v>127</v>
      </c>
    </row>
    <row r="16" spans="1:63" ht="7.4" customHeight="1" x14ac:dyDescent="0.5">
      <c r="A16" s="58"/>
      <c r="B16" s="59"/>
      <c r="C16" s="59"/>
      <c r="D16" s="59"/>
      <c r="E16" s="59"/>
      <c r="F16" s="59"/>
      <c r="G16" s="59"/>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60"/>
      <c r="BK16" s="24" t="s">
        <v>18</v>
      </c>
    </row>
    <row r="17" spans="1:70" ht="7.4" customHeight="1" x14ac:dyDescent="0.5">
      <c r="A17" s="61"/>
      <c r="B17" s="62"/>
      <c r="C17" s="400" t="s">
        <v>25</v>
      </c>
      <c r="D17" s="400"/>
      <c r="E17" s="400"/>
      <c r="F17" s="400"/>
      <c r="G17" s="401"/>
      <c r="H17" s="401"/>
      <c r="I17" s="401"/>
      <c r="J17" s="401"/>
      <c r="K17" s="401"/>
      <c r="L17" s="401"/>
      <c r="M17" s="401"/>
      <c r="N17" s="401"/>
      <c r="O17" s="401"/>
      <c r="P17" s="401"/>
      <c r="Q17" s="401"/>
      <c r="R17" s="401"/>
      <c r="S17" s="401"/>
      <c r="T17" s="401"/>
      <c r="U17" s="401"/>
      <c r="V17" s="401"/>
      <c r="W17" s="401"/>
      <c r="X17" s="401"/>
      <c r="Y17" s="400" t="s">
        <v>26</v>
      </c>
      <c r="Z17" s="400"/>
      <c r="AA17" s="400"/>
      <c r="AB17" s="400"/>
      <c r="AC17" s="400"/>
      <c r="AD17" s="401"/>
      <c r="AE17" s="401"/>
      <c r="AF17" s="401"/>
      <c r="AG17" s="401"/>
      <c r="AH17" s="401"/>
      <c r="AI17" s="401"/>
      <c r="AJ17" s="401"/>
      <c r="AK17" s="401"/>
      <c r="AL17" s="401"/>
      <c r="AM17" s="401"/>
      <c r="AN17" s="401"/>
      <c r="AO17" s="401"/>
      <c r="AP17" s="401"/>
      <c r="AQ17" s="401"/>
      <c r="AR17" s="401"/>
      <c r="AS17" s="401"/>
      <c r="AT17" s="400" t="s">
        <v>27</v>
      </c>
      <c r="AU17" s="400"/>
      <c r="AV17" s="400"/>
      <c r="AW17" s="400"/>
      <c r="AX17" s="402">
        <f ca="1">TODAY()</f>
        <v>45960</v>
      </c>
      <c r="AY17" s="402"/>
      <c r="AZ17" s="402"/>
      <c r="BA17" s="402"/>
      <c r="BB17" s="402"/>
      <c r="BC17" s="402"/>
      <c r="BD17" s="402"/>
      <c r="BE17" s="402"/>
      <c r="BF17" s="402"/>
      <c r="BG17" s="402"/>
      <c r="BH17" s="402"/>
      <c r="BI17" s="63"/>
      <c r="BK17" s="24" t="s">
        <v>21</v>
      </c>
    </row>
    <row r="18" spans="1:70" ht="7.4" customHeight="1" x14ac:dyDescent="0.5">
      <c r="A18" s="61"/>
      <c r="B18" s="62"/>
      <c r="C18" s="400"/>
      <c r="D18" s="400"/>
      <c r="E18" s="400"/>
      <c r="F18" s="400"/>
      <c r="G18" s="401"/>
      <c r="H18" s="401"/>
      <c r="I18" s="401"/>
      <c r="J18" s="401"/>
      <c r="K18" s="401"/>
      <c r="L18" s="401"/>
      <c r="M18" s="401"/>
      <c r="N18" s="401"/>
      <c r="O18" s="401"/>
      <c r="P18" s="401"/>
      <c r="Q18" s="401"/>
      <c r="R18" s="401"/>
      <c r="S18" s="401"/>
      <c r="T18" s="401"/>
      <c r="U18" s="401"/>
      <c r="V18" s="401"/>
      <c r="W18" s="401"/>
      <c r="X18" s="401"/>
      <c r="Y18" s="400"/>
      <c r="Z18" s="400"/>
      <c r="AA18" s="400"/>
      <c r="AB18" s="400"/>
      <c r="AC18" s="400"/>
      <c r="AD18" s="401"/>
      <c r="AE18" s="401"/>
      <c r="AF18" s="401"/>
      <c r="AG18" s="401"/>
      <c r="AH18" s="401"/>
      <c r="AI18" s="401"/>
      <c r="AJ18" s="401"/>
      <c r="AK18" s="401"/>
      <c r="AL18" s="401"/>
      <c r="AM18" s="401"/>
      <c r="AN18" s="401"/>
      <c r="AO18" s="401"/>
      <c r="AP18" s="401"/>
      <c r="AQ18" s="401"/>
      <c r="AR18" s="401"/>
      <c r="AS18" s="401"/>
      <c r="AT18" s="400"/>
      <c r="AU18" s="400"/>
      <c r="AV18" s="400"/>
      <c r="AW18" s="400"/>
      <c r="AX18" s="403"/>
      <c r="AY18" s="402"/>
      <c r="AZ18" s="402"/>
      <c r="BA18" s="402"/>
      <c r="BB18" s="402"/>
      <c r="BC18" s="402"/>
      <c r="BD18" s="402"/>
      <c r="BE18" s="402"/>
      <c r="BF18" s="402"/>
      <c r="BG18" s="402"/>
      <c r="BH18" s="402"/>
      <c r="BI18" s="63"/>
      <c r="BK18" s="24" t="s">
        <v>22</v>
      </c>
    </row>
    <row r="19" spans="1:70" ht="7.4" customHeight="1" x14ac:dyDescent="0.5">
      <c r="A19" s="64"/>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6"/>
      <c r="BK19" s="24" t="s">
        <v>23</v>
      </c>
    </row>
    <row r="20" spans="1:70" ht="7.5" customHeight="1" x14ac:dyDescent="0.5">
      <c r="A20" s="38"/>
      <c r="B20" s="39"/>
      <c r="C20" s="39"/>
      <c r="D20" s="39"/>
      <c r="E20" s="39"/>
      <c r="F20" s="39"/>
      <c r="G20" s="39"/>
      <c r="H20" s="39"/>
      <c r="I20" s="39"/>
      <c r="J20" s="39"/>
      <c r="K20" s="39"/>
      <c r="L20" s="39"/>
      <c r="M20" s="39"/>
      <c r="N20" s="39"/>
      <c r="O20" s="39"/>
      <c r="P20" s="39"/>
      <c r="Q20" s="39"/>
      <c r="R20" s="39"/>
      <c r="S20" s="67"/>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9"/>
      <c r="AR20" s="39"/>
      <c r="AS20" s="39"/>
      <c r="AT20" s="39"/>
      <c r="AU20" s="39"/>
      <c r="AV20" s="39"/>
      <c r="AW20" s="39"/>
      <c r="AX20" s="39"/>
      <c r="AY20" s="39"/>
      <c r="AZ20" s="39"/>
      <c r="BA20" s="39"/>
      <c r="BB20" s="39"/>
      <c r="BC20" s="39"/>
      <c r="BD20" s="39"/>
      <c r="BE20" s="39"/>
      <c r="BF20" s="39"/>
      <c r="BG20" s="39"/>
      <c r="BH20" s="39"/>
      <c r="BI20" s="40"/>
      <c r="BK20" s="24" t="s">
        <v>24</v>
      </c>
    </row>
    <row r="21" spans="1:70" ht="7.5" customHeight="1" x14ac:dyDescent="0.5">
      <c r="A21" s="42"/>
      <c r="S21" s="70"/>
      <c r="T21" s="509" t="str">
        <f>"Roof Top Raised Railed ("&amp;$AO$35&amp;")"</f>
        <v>Roof Top Raised Railed (IBR)</v>
      </c>
      <c r="U21" s="509"/>
      <c r="V21" s="509"/>
      <c r="W21" s="509"/>
      <c r="X21" s="509"/>
      <c r="Y21" s="509"/>
      <c r="Z21" s="509"/>
      <c r="AA21" s="509"/>
      <c r="AB21" s="509"/>
      <c r="AC21" s="509"/>
      <c r="AD21" s="509"/>
      <c r="AE21" s="509"/>
      <c r="AF21" s="509"/>
      <c r="AG21" s="509"/>
      <c r="AH21" s="509"/>
      <c r="AI21" s="509"/>
      <c r="AJ21" s="509"/>
      <c r="AK21" s="509"/>
      <c r="AL21" s="509"/>
      <c r="AM21" s="509"/>
      <c r="AN21" s="509"/>
      <c r="AO21" s="509"/>
      <c r="AP21" s="509"/>
      <c r="AQ21" s="71"/>
      <c r="BI21" s="41"/>
      <c r="BK21" s="24" t="s">
        <v>28</v>
      </c>
    </row>
    <row r="22" spans="1:70" ht="7.5" customHeight="1" x14ac:dyDescent="0.5">
      <c r="A22" s="42"/>
      <c r="S22" s="70"/>
      <c r="T22" s="509"/>
      <c r="U22" s="509"/>
      <c r="V22" s="509"/>
      <c r="W22" s="509"/>
      <c r="X22" s="509"/>
      <c r="Y22" s="509"/>
      <c r="Z22" s="509"/>
      <c r="AA22" s="509"/>
      <c r="AB22" s="509"/>
      <c r="AC22" s="509"/>
      <c r="AD22" s="509"/>
      <c r="AE22" s="509"/>
      <c r="AF22" s="509"/>
      <c r="AG22" s="509"/>
      <c r="AH22" s="509"/>
      <c r="AI22" s="509"/>
      <c r="AJ22" s="509"/>
      <c r="AK22" s="509"/>
      <c r="AL22" s="509"/>
      <c r="AM22" s="509"/>
      <c r="AN22" s="509"/>
      <c r="AO22" s="509"/>
      <c r="AP22" s="509"/>
      <c r="AQ22" s="71"/>
      <c r="BI22" s="41"/>
    </row>
    <row r="23" spans="1:70" ht="7.5" customHeight="1" x14ac:dyDescent="0.5">
      <c r="A23" s="42"/>
      <c r="S23" s="72"/>
      <c r="T23" s="73"/>
      <c r="U23" s="73"/>
      <c r="V23" s="73"/>
      <c r="W23" s="73"/>
      <c r="X23" s="73"/>
      <c r="Y23" s="73"/>
      <c r="Z23" s="73"/>
      <c r="AA23" s="73"/>
      <c r="AB23" s="73"/>
      <c r="AC23" s="73"/>
      <c r="AD23" s="73"/>
      <c r="AE23" s="73"/>
      <c r="AF23" s="73"/>
      <c r="AG23" s="73"/>
      <c r="AH23" s="73"/>
      <c r="AI23" s="73"/>
      <c r="AJ23" s="73"/>
      <c r="AK23" s="73"/>
      <c r="AL23" s="73"/>
      <c r="AM23" s="73"/>
      <c r="AN23" s="73"/>
      <c r="AO23" s="73"/>
      <c r="AP23" s="73"/>
      <c r="AQ23" s="74"/>
      <c r="BI23" s="41"/>
    </row>
    <row r="24" spans="1:70" ht="7.5" customHeight="1" x14ac:dyDescent="0.5">
      <c r="A24" s="42"/>
      <c r="BI24" s="41"/>
    </row>
    <row r="25" spans="1:70" ht="7.4" customHeight="1" x14ac:dyDescent="0.5">
      <c r="A25" s="42"/>
      <c r="B25" s="29"/>
      <c r="C25" s="363" t="s">
        <v>59</v>
      </c>
      <c r="D25" s="363"/>
      <c r="E25" s="363"/>
      <c r="F25" s="363"/>
      <c r="G25" s="363"/>
      <c r="H25" s="363"/>
      <c r="I25" s="363"/>
      <c r="J25" s="363"/>
      <c r="K25" s="363"/>
      <c r="L25" s="363"/>
      <c r="M25" s="363"/>
      <c r="N25" s="363"/>
      <c r="O25" s="363"/>
      <c r="P25" s="363"/>
      <c r="Q25" s="363"/>
      <c r="R25" s="363"/>
      <c r="S25" s="363"/>
      <c r="T25" s="363"/>
      <c r="U25" s="363"/>
      <c r="V25" s="363"/>
      <c r="W25" s="363"/>
      <c r="X25" s="363"/>
      <c r="Y25" s="363"/>
      <c r="Z25" s="363"/>
      <c r="AA25" s="363"/>
      <c r="AB25" s="363"/>
      <c r="AC25" s="364"/>
      <c r="AE25" s="299" t="s">
        <v>60</v>
      </c>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4"/>
      <c r="BI25" s="41"/>
    </row>
    <row r="26" spans="1:70" ht="7.4" customHeight="1" x14ac:dyDescent="0.5">
      <c r="A26" s="42"/>
      <c r="B26" s="32"/>
      <c r="C26" s="366"/>
      <c r="D26" s="366"/>
      <c r="E26" s="366"/>
      <c r="F26" s="366"/>
      <c r="G26" s="366"/>
      <c r="H26" s="366"/>
      <c r="I26" s="366"/>
      <c r="J26" s="366"/>
      <c r="K26" s="366"/>
      <c r="L26" s="366"/>
      <c r="M26" s="366"/>
      <c r="N26" s="366"/>
      <c r="O26" s="366"/>
      <c r="P26" s="366"/>
      <c r="Q26" s="366"/>
      <c r="R26" s="366"/>
      <c r="S26" s="366"/>
      <c r="T26" s="366"/>
      <c r="U26" s="366"/>
      <c r="V26" s="366"/>
      <c r="W26" s="366"/>
      <c r="X26" s="366"/>
      <c r="Y26" s="366"/>
      <c r="Z26" s="366"/>
      <c r="AA26" s="366"/>
      <c r="AB26" s="366"/>
      <c r="AC26" s="367"/>
      <c r="AE26" s="365"/>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7"/>
      <c r="BI26" s="41"/>
    </row>
    <row r="27" spans="1:70" ht="7.4" customHeight="1" x14ac:dyDescent="0.5">
      <c r="A27" s="42"/>
      <c r="B27" s="32"/>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70"/>
      <c r="AE27" s="368"/>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70"/>
      <c r="BI27" s="41"/>
    </row>
    <row r="28" spans="1:70" ht="7.4" customHeight="1" x14ac:dyDescent="0.5">
      <c r="A28" s="42"/>
      <c r="B28" s="58"/>
      <c r="C28" s="59"/>
      <c r="D28" s="59"/>
      <c r="E28" s="59"/>
      <c r="F28" s="59"/>
      <c r="G28" s="59"/>
      <c r="H28" s="59"/>
      <c r="I28" s="59"/>
      <c r="J28" s="59"/>
      <c r="K28" s="59"/>
      <c r="L28" s="59"/>
      <c r="M28" s="59"/>
      <c r="N28" s="59"/>
      <c r="O28" s="59"/>
      <c r="P28" s="59"/>
      <c r="Q28" s="59"/>
      <c r="R28" s="60"/>
      <c r="S28" s="39"/>
      <c r="T28" s="380" t="str">
        <f>(J43*BC43)/1000 &amp; " kWp"</f>
        <v>150 kWp</v>
      </c>
      <c r="U28" s="380"/>
      <c r="V28" s="380"/>
      <c r="W28" s="380"/>
      <c r="X28" s="380"/>
      <c r="Y28" s="380"/>
      <c r="Z28" s="380"/>
      <c r="AA28" s="380"/>
      <c r="AB28" s="380"/>
      <c r="AC28" s="381"/>
      <c r="AD28" s="108"/>
      <c r="AE28" s="137"/>
      <c r="AF28" s="209"/>
      <c r="AG28" s="209"/>
      <c r="AH28" s="209"/>
      <c r="AI28" s="209"/>
      <c r="AJ28" s="59"/>
      <c r="AK28" s="210"/>
      <c r="AL28" s="210"/>
      <c r="AM28" s="150"/>
      <c r="AN28" s="77"/>
      <c r="AO28" s="489" t="s">
        <v>128</v>
      </c>
      <c r="AP28" s="489"/>
      <c r="AQ28" s="489"/>
      <c r="AR28" s="489"/>
      <c r="AS28" s="489"/>
      <c r="AT28" s="489"/>
      <c r="AU28" s="489"/>
      <c r="AV28" s="489"/>
      <c r="AW28" s="489"/>
      <c r="AX28" s="489"/>
      <c r="AY28" s="489"/>
      <c r="AZ28" s="489"/>
      <c r="BA28" s="489"/>
      <c r="BB28" s="489"/>
      <c r="BC28" s="489"/>
      <c r="BD28" s="489"/>
      <c r="BE28" s="489"/>
      <c r="BF28" s="489"/>
      <c r="BG28" s="489"/>
      <c r="BH28" s="490"/>
      <c r="BI28" s="124"/>
    </row>
    <row r="29" spans="1:70" ht="7.4" customHeight="1" x14ac:dyDescent="0.5">
      <c r="A29" s="42"/>
      <c r="B29" s="61"/>
      <c r="C29" s="400" t="s">
        <v>61</v>
      </c>
      <c r="D29" s="400"/>
      <c r="E29" s="400"/>
      <c r="F29" s="400"/>
      <c r="G29" s="400"/>
      <c r="H29" s="400"/>
      <c r="I29" s="400"/>
      <c r="J29" s="400"/>
      <c r="K29" s="400"/>
      <c r="L29" s="400"/>
      <c r="M29" s="400"/>
      <c r="N29" s="400"/>
      <c r="O29" s="400"/>
      <c r="P29" s="400"/>
      <c r="Q29" s="400"/>
      <c r="R29" s="448"/>
      <c r="S29" s="211"/>
      <c r="T29" s="382"/>
      <c r="U29" s="382"/>
      <c r="V29" s="382"/>
      <c r="W29" s="382"/>
      <c r="X29" s="382"/>
      <c r="Y29" s="382"/>
      <c r="Z29" s="382"/>
      <c r="AA29" s="382"/>
      <c r="AB29" s="382"/>
      <c r="AC29" s="383"/>
      <c r="AD29" s="25"/>
      <c r="AE29" s="139"/>
      <c r="AF29" s="400" t="s">
        <v>62</v>
      </c>
      <c r="AG29" s="400"/>
      <c r="AH29" s="400"/>
      <c r="AI29" s="400"/>
      <c r="AJ29" s="400"/>
      <c r="AK29" s="400"/>
      <c r="AL29" s="400"/>
      <c r="AM29" s="448"/>
      <c r="AN29" s="25"/>
      <c r="AO29" s="405"/>
      <c r="AP29" s="405"/>
      <c r="AQ29" s="405"/>
      <c r="AR29" s="405"/>
      <c r="AS29" s="405"/>
      <c r="AT29" s="405"/>
      <c r="AU29" s="405"/>
      <c r="AV29" s="405"/>
      <c r="AW29" s="405"/>
      <c r="AX29" s="405"/>
      <c r="AY29" s="405"/>
      <c r="AZ29" s="405"/>
      <c r="BA29" s="405"/>
      <c r="BB29" s="405"/>
      <c r="BC29" s="405"/>
      <c r="BD29" s="405"/>
      <c r="BE29" s="405"/>
      <c r="BF29" s="405"/>
      <c r="BG29" s="405"/>
      <c r="BH29" s="411"/>
      <c r="BI29" s="41"/>
    </row>
    <row r="30" spans="1:70" ht="7.4" customHeight="1" x14ac:dyDescent="0.5">
      <c r="A30" s="42"/>
      <c r="B30" s="61"/>
      <c r="C30" s="62"/>
      <c r="D30" s="62"/>
      <c r="E30" s="62"/>
      <c r="F30" s="62"/>
      <c r="G30" s="62"/>
      <c r="H30" s="62"/>
      <c r="I30" s="62"/>
      <c r="J30" s="62"/>
      <c r="K30" s="62"/>
      <c r="L30" s="62"/>
      <c r="M30" s="62"/>
      <c r="N30" s="62"/>
      <c r="O30" s="62"/>
      <c r="P30" s="62"/>
      <c r="Q30" s="62"/>
      <c r="R30" s="63"/>
      <c r="T30" s="388"/>
      <c r="U30" s="388"/>
      <c r="V30" s="388"/>
      <c r="W30" s="388"/>
      <c r="X30" s="388"/>
      <c r="Y30" s="388"/>
      <c r="Z30" s="388"/>
      <c r="AA30" s="388"/>
      <c r="AB30" s="388"/>
      <c r="AC30" s="389"/>
      <c r="AD30" s="25"/>
      <c r="AE30" s="139"/>
      <c r="AF30" s="160"/>
      <c r="AG30" s="160"/>
      <c r="AH30" s="160"/>
      <c r="AI30" s="160"/>
      <c r="AJ30" s="160"/>
      <c r="AK30" s="160"/>
      <c r="AL30" s="160"/>
      <c r="AM30" s="152"/>
      <c r="AN30" s="79"/>
      <c r="AO30" s="491"/>
      <c r="AP30" s="491"/>
      <c r="AQ30" s="491"/>
      <c r="AR30" s="491"/>
      <c r="AS30" s="491"/>
      <c r="AT30" s="491"/>
      <c r="AU30" s="491"/>
      <c r="AV30" s="491"/>
      <c r="AW30" s="491"/>
      <c r="AX30" s="491"/>
      <c r="AY30" s="491"/>
      <c r="AZ30" s="491"/>
      <c r="BA30" s="491"/>
      <c r="BB30" s="491"/>
      <c r="BC30" s="491"/>
      <c r="BD30" s="491"/>
      <c r="BE30" s="491"/>
      <c r="BF30" s="491"/>
      <c r="BG30" s="491"/>
      <c r="BH30" s="492"/>
      <c r="BI30" s="41"/>
      <c r="BK30" s="311">
        <v>10</v>
      </c>
      <c r="BL30" s="311"/>
      <c r="BM30" s="311">
        <v>1178</v>
      </c>
      <c r="BN30" s="311"/>
      <c r="BO30" s="311"/>
      <c r="BP30" s="311">
        <v>1370</v>
      </c>
      <c r="BQ30" s="311"/>
      <c r="BR30" s="311"/>
    </row>
    <row r="31" spans="1:70" ht="7.4" customHeight="1" x14ac:dyDescent="0.5">
      <c r="A31" s="42"/>
      <c r="B31" s="61"/>
      <c r="C31" s="62"/>
      <c r="D31" s="62"/>
      <c r="E31" s="62"/>
      <c r="F31" s="62"/>
      <c r="G31" s="62"/>
      <c r="H31" s="62"/>
      <c r="I31" s="62"/>
      <c r="J31" s="62"/>
      <c r="K31" s="62"/>
      <c r="L31" s="62"/>
      <c r="M31" s="62"/>
      <c r="N31" s="62"/>
      <c r="O31" s="62"/>
      <c r="P31" s="62"/>
      <c r="Q31" s="62"/>
      <c r="R31" s="63"/>
      <c r="S31" s="39"/>
      <c r="T31" s="489" t="s">
        <v>129</v>
      </c>
      <c r="U31" s="489"/>
      <c r="V31" s="489"/>
      <c r="W31" s="489"/>
      <c r="X31" s="489"/>
      <c r="Y31" s="489"/>
      <c r="Z31" s="489"/>
      <c r="AA31" s="489"/>
      <c r="AB31" s="489"/>
      <c r="AC31" s="490"/>
      <c r="AD31" s="25"/>
      <c r="AE31" s="139"/>
      <c r="AF31" s="160"/>
      <c r="AG31" s="160"/>
      <c r="AH31" s="160"/>
      <c r="AI31" s="160"/>
      <c r="AJ31" s="160"/>
      <c r="AK31" s="160"/>
      <c r="AL31" s="160"/>
      <c r="AM31" s="152"/>
      <c r="AN31" s="77"/>
      <c r="AO31" s="493">
        <v>10</v>
      </c>
      <c r="AP31" s="493"/>
      <c r="AQ31" s="495" t="s">
        <v>68</v>
      </c>
      <c r="AR31" s="495"/>
      <c r="AS31" s="495"/>
      <c r="AT31" s="495"/>
      <c r="AU31" s="495"/>
      <c r="AV31" s="495"/>
      <c r="AW31" s="495"/>
      <c r="AX31" s="380">
        <f>LOOKUP(AO31,BK30:BK35,IF(W45&lt;2200,BM30:BM35,BP30:BP35))</f>
        <v>1370</v>
      </c>
      <c r="AY31" s="380"/>
      <c r="AZ31" s="380"/>
      <c r="BA31" s="497" t="s">
        <v>69</v>
      </c>
      <c r="BB31" s="497"/>
      <c r="BC31" s="481" t="s">
        <v>130</v>
      </c>
      <c r="BD31" s="481"/>
      <c r="BE31" s="481"/>
      <c r="BF31" s="481"/>
      <c r="BG31" s="481"/>
      <c r="BH31" s="482"/>
      <c r="BI31" s="41"/>
      <c r="BK31" s="311">
        <v>15</v>
      </c>
      <c r="BL31" s="311"/>
      <c r="BM31" s="311">
        <v>1155</v>
      </c>
      <c r="BN31" s="311"/>
      <c r="BO31" s="311"/>
      <c r="BP31" s="311">
        <v>1344</v>
      </c>
      <c r="BQ31" s="311"/>
      <c r="BR31" s="311"/>
    </row>
    <row r="32" spans="1:70" ht="7.4" customHeight="1" x14ac:dyDescent="0.5">
      <c r="A32" s="42"/>
      <c r="B32" s="61"/>
      <c r="C32" s="400" t="s">
        <v>65</v>
      </c>
      <c r="D32" s="400"/>
      <c r="E32" s="400"/>
      <c r="F32" s="400"/>
      <c r="G32" s="400"/>
      <c r="H32" s="400"/>
      <c r="I32" s="400"/>
      <c r="J32" s="400"/>
      <c r="K32" s="400"/>
      <c r="L32" s="400"/>
      <c r="M32" s="400"/>
      <c r="N32" s="400"/>
      <c r="O32" s="400"/>
      <c r="P32" s="400"/>
      <c r="Q32" s="400"/>
      <c r="R32" s="448"/>
      <c r="S32" s="25"/>
      <c r="T32" s="405"/>
      <c r="U32" s="405"/>
      <c r="V32" s="405"/>
      <c r="W32" s="405"/>
      <c r="X32" s="405"/>
      <c r="Y32" s="405"/>
      <c r="Z32" s="405"/>
      <c r="AA32" s="405"/>
      <c r="AB32" s="405"/>
      <c r="AC32" s="411"/>
      <c r="AD32" s="25"/>
      <c r="AE32" s="139"/>
      <c r="AF32" s="400" t="s">
        <v>67</v>
      </c>
      <c r="AG32" s="400"/>
      <c r="AH32" s="400"/>
      <c r="AI32" s="400"/>
      <c r="AJ32" s="400"/>
      <c r="AK32" s="400"/>
      <c r="AL32" s="400"/>
      <c r="AM32" s="448"/>
      <c r="AN32" s="25"/>
      <c r="AO32" s="480"/>
      <c r="AP32" s="480"/>
      <c r="AQ32" s="314"/>
      <c r="AR32" s="314"/>
      <c r="AS32" s="314"/>
      <c r="AT32" s="314"/>
      <c r="AU32" s="314"/>
      <c r="AV32" s="314"/>
      <c r="AW32" s="314"/>
      <c r="AX32" s="382"/>
      <c r="AY32" s="382"/>
      <c r="AZ32" s="382"/>
      <c r="BA32" s="498"/>
      <c r="BB32" s="498"/>
      <c r="BC32" s="483"/>
      <c r="BD32" s="483"/>
      <c r="BE32" s="483"/>
      <c r="BF32" s="483"/>
      <c r="BG32" s="483"/>
      <c r="BH32" s="484"/>
      <c r="BI32" s="41"/>
      <c r="BK32" s="311">
        <v>20</v>
      </c>
      <c r="BL32" s="311"/>
      <c r="BM32" s="311">
        <v>1124</v>
      </c>
      <c r="BN32" s="311"/>
      <c r="BO32" s="311"/>
      <c r="BP32" s="311">
        <v>1307</v>
      </c>
      <c r="BQ32" s="311"/>
      <c r="BR32" s="311"/>
    </row>
    <row r="33" spans="1:70" ht="7.4" customHeight="1" x14ac:dyDescent="0.5">
      <c r="A33" s="42"/>
      <c r="B33" s="64"/>
      <c r="C33" s="65"/>
      <c r="D33" s="65"/>
      <c r="E33" s="65"/>
      <c r="F33" s="65"/>
      <c r="G33" s="65"/>
      <c r="H33" s="65"/>
      <c r="I33" s="65"/>
      <c r="J33" s="65"/>
      <c r="K33" s="65"/>
      <c r="L33" s="65"/>
      <c r="M33" s="65"/>
      <c r="N33" s="65"/>
      <c r="O33" s="65"/>
      <c r="P33" s="65"/>
      <c r="Q33" s="65"/>
      <c r="R33" s="66"/>
      <c r="S33" s="51"/>
      <c r="T33" s="491"/>
      <c r="U33" s="491"/>
      <c r="V33" s="491"/>
      <c r="W33" s="491"/>
      <c r="X33" s="491"/>
      <c r="Y33" s="491"/>
      <c r="Z33" s="491"/>
      <c r="AA33" s="491"/>
      <c r="AB33" s="491"/>
      <c r="AC33" s="492"/>
      <c r="AD33" s="25"/>
      <c r="AE33" s="139"/>
      <c r="AF33" s="160"/>
      <c r="AG33" s="160"/>
      <c r="AH33" s="160"/>
      <c r="AI33" s="160"/>
      <c r="AJ33" s="160"/>
      <c r="AK33" s="160"/>
      <c r="AL33" s="160"/>
      <c r="AM33" s="152"/>
      <c r="AN33" s="135"/>
      <c r="AO33" s="494"/>
      <c r="AP33" s="494"/>
      <c r="AQ33" s="496"/>
      <c r="AR33" s="496"/>
      <c r="AS33" s="496"/>
      <c r="AT33" s="496"/>
      <c r="AU33" s="496"/>
      <c r="AV33" s="496"/>
      <c r="AW33" s="496"/>
      <c r="AX33" s="388"/>
      <c r="AY33" s="388"/>
      <c r="AZ33" s="388"/>
      <c r="BA33" s="499"/>
      <c r="BB33" s="499"/>
      <c r="BC33" s="485"/>
      <c r="BD33" s="485"/>
      <c r="BE33" s="485"/>
      <c r="BF33" s="485"/>
      <c r="BG33" s="485"/>
      <c r="BH33" s="486"/>
      <c r="BI33" s="41"/>
      <c r="BK33" s="311">
        <v>25</v>
      </c>
      <c r="BL33" s="311"/>
      <c r="BM33" s="311">
        <v>1084</v>
      </c>
      <c r="BN33" s="311"/>
      <c r="BO33" s="311"/>
      <c r="BP33" s="311">
        <v>1261</v>
      </c>
      <c r="BQ33" s="311"/>
      <c r="BR33" s="311"/>
    </row>
    <row r="34" spans="1:70" ht="7.4" customHeight="1" x14ac:dyDescent="0.5">
      <c r="A34" s="42"/>
      <c r="T34" s="141"/>
      <c r="U34" s="141"/>
      <c r="V34" s="141"/>
      <c r="W34" s="141"/>
      <c r="X34" s="141"/>
      <c r="Y34" s="141"/>
      <c r="Z34" s="141"/>
      <c r="AA34" s="141"/>
      <c r="AB34" s="141"/>
      <c r="AC34" s="141"/>
      <c r="AD34" s="108"/>
      <c r="AE34" s="142"/>
      <c r="AF34" s="160"/>
      <c r="AG34" s="160"/>
      <c r="AH34" s="160"/>
      <c r="AI34" s="160"/>
      <c r="AJ34" s="160"/>
      <c r="AK34" s="160"/>
      <c r="AL34" s="160"/>
      <c r="AM34" s="152"/>
      <c r="AN34" s="79"/>
      <c r="AO34" s="79"/>
      <c r="AP34" s="79"/>
      <c r="AQ34" s="79"/>
      <c r="AR34" s="79"/>
      <c r="AS34" s="79"/>
      <c r="AT34" s="79"/>
      <c r="AU34" s="79"/>
      <c r="AV34" s="79"/>
      <c r="AW34" s="79"/>
      <c r="AX34" s="79"/>
      <c r="AY34" s="79"/>
      <c r="AZ34" s="79"/>
      <c r="BA34" s="79"/>
      <c r="BB34" s="79"/>
      <c r="BC34" s="481" t="s">
        <v>131</v>
      </c>
      <c r="BD34" s="481"/>
      <c r="BE34" s="481"/>
      <c r="BF34" s="481"/>
      <c r="BG34" s="481"/>
      <c r="BH34" s="482"/>
      <c r="BI34" s="124"/>
      <c r="BK34" s="311"/>
      <c r="BL34" s="311"/>
      <c r="BM34" s="311"/>
      <c r="BN34" s="311"/>
      <c r="BO34" s="311"/>
      <c r="BP34" s="311"/>
      <c r="BQ34" s="311"/>
      <c r="BR34" s="311"/>
    </row>
    <row r="35" spans="1:70" ht="7.4" customHeight="1" x14ac:dyDescent="0.5">
      <c r="A35" s="42"/>
      <c r="C35" s="79"/>
      <c r="D35" s="79"/>
      <c r="E35" s="79"/>
      <c r="F35" s="79"/>
      <c r="G35" s="79"/>
      <c r="H35" s="79"/>
      <c r="I35" s="79"/>
      <c r="J35" s="79"/>
      <c r="K35" s="79"/>
      <c r="L35" s="79"/>
      <c r="M35" s="79"/>
      <c r="N35" s="79"/>
      <c r="O35" s="79"/>
      <c r="P35" s="79"/>
      <c r="Q35" s="79"/>
      <c r="R35" s="79"/>
      <c r="S35" s="293"/>
      <c r="T35" s="141"/>
      <c r="U35" s="141"/>
      <c r="V35" s="141"/>
      <c r="W35" s="141"/>
      <c r="X35" s="141"/>
      <c r="Y35" s="141"/>
      <c r="Z35" s="141"/>
      <c r="AA35" s="141"/>
      <c r="AB35" s="141"/>
      <c r="AC35" s="141"/>
      <c r="AD35" s="25"/>
      <c r="AE35" s="139"/>
      <c r="AF35" s="400" t="s">
        <v>132</v>
      </c>
      <c r="AG35" s="400"/>
      <c r="AH35" s="400"/>
      <c r="AI35" s="400"/>
      <c r="AJ35" s="400"/>
      <c r="AK35" s="400"/>
      <c r="AL35" s="400"/>
      <c r="AM35" s="448"/>
      <c r="AN35" s="25"/>
      <c r="AO35" s="347" t="s">
        <v>14</v>
      </c>
      <c r="AP35" s="347"/>
      <c r="AQ35" s="347"/>
      <c r="AR35" s="347"/>
      <c r="AS35" s="347"/>
      <c r="AT35" s="347"/>
      <c r="AU35" s="347"/>
      <c r="AV35" s="347"/>
      <c r="AW35" s="333" t="s">
        <v>133</v>
      </c>
      <c r="AX35" s="318">
        <v>1500</v>
      </c>
      <c r="AY35" s="318"/>
      <c r="AZ35" s="318"/>
      <c r="BA35" s="460" t="s">
        <v>69</v>
      </c>
      <c r="BB35" s="460"/>
      <c r="BC35" s="483"/>
      <c r="BD35" s="483"/>
      <c r="BE35" s="483"/>
      <c r="BF35" s="483"/>
      <c r="BG35" s="483"/>
      <c r="BH35" s="484"/>
      <c r="BI35" s="41"/>
      <c r="BK35" s="311"/>
      <c r="BL35" s="311"/>
    </row>
    <row r="36" spans="1:70" ht="7.4" customHeight="1" x14ac:dyDescent="0.5">
      <c r="A36" s="42"/>
      <c r="C36" s="79"/>
      <c r="D36" s="79"/>
      <c r="E36" s="79"/>
      <c r="F36" s="79"/>
      <c r="G36" s="79"/>
      <c r="H36" s="79"/>
      <c r="I36" s="79"/>
      <c r="J36" s="79"/>
      <c r="K36" s="79"/>
      <c r="L36" s="79"/>
      <c r="M36" s="79"/>
      <c r="N36" s="79"/>
      <c r="O36" s="79"/>
      <c r="P36" s="79"/>
      <c r="Q36" s="79"/>
      <c r="R36" s="79"/>
      <c r="S36" s="293"/>
      <c r="T36" s="141"/>
      <c r="U36" s="141"/>
      <c r="V36" s="141"/>
      <c r="W36" s="141"/>
      <c r="X36" s="141"/>
      <c r="Y36" s="141"/>
      <c r="Z36" s="141"/>
      <c r="AA36" s="141"/>
      <c r="AB36" s="141"/>
      <c r="AC36" s="141"/>
      <c r="AD36" s="25"/>
      <c r="AE36" s="139"/>
      <c r="AF36" s="400"/>
      <c r="AG36" s="400"/>
      <c r="AH36" s="400"/>
      <c r="AI36" s="400"/>
      <c r="AJ36" s="400"/>
      <c r="AK36" s="400"/>
      <c r="AL36" s="400"/>
      <c r="AM36" s="448"/>
      <c r="AN36" s="25"/>
      <c r="AO36" s="347"/>
      <c r="AP36" s="347"/>
      <c r="AQ36" s="347"/>
      <c r="AR36" s="347"/>
      <c r="AS36" s="347"/>
      <c r="AT36" s="347"/>
      <c r="AU36" s="347"/>
      <c r="AV36" s="347"/>
      <c r="AW36" s="333"/>
      <c r="AX36" s="318"/>
      <c r="AY36" s="318"/>
      <c r="AZ36" s="318"/>
      <c r="BA36" s="460"/>
      <c r="BB36" s="460"/>
      <c r="BC36" s="483"/>
      <c r="BD36" s="483"/>
      <c r="BE36" s="483"/>
      <c r="BF36" s="483"/>
      <c r="BG36" s="483"/>
      <c r="BH36" s="484"/>
      <c r="BI36" s="41"/>
      <c r="BK36" s="75"/>
      <c r="BL36" s="75"/>
    </row>
    <row r="37" spans="1:70" ht="7.4" customHeight="1" x14ac:dyDescent="0.5">
      <c r="A37" s="42"/>
      <c r="T37" s="141"/>
      <c r="U37" s="141"/>
      <c r="V37" s="141"/>
      <c r="W37" s="141"/>
      <c r="X37" s="141"/>
      <c r="Y37" s="141"/>
      <c r="Z37" s="141"/>
      <c r="AA37" s="141"/>
      <c r="AB37" s="141"/>
      <c r="AC37" s="141"/>
      <c r="AD37" s="25"/>
      <c r="AE37" s="145"/>
      <c r="AF37" s="96"/>
      <c r="AG37" s="96"/>
      <c r="AH37" s="96"/>
      <c r="AI37" s="96"/>
      <c r="AJ37" s="65"/>
      <c r="AK37" s="173"/>
      <c r="AL37" s="173"/>
      <c r="AM37" s="157"/>
      <c r="AN37" s="135"/>
      <c r="AO37" s="135"/>
      <c r="AP37" s="135"/>
      <c r="AQ37" s="51"/>
      <c r="AR37" s="51"/>
      <c r="AS37" s="135"/>
      <c r="AT37" s="135"/>
      <c r="AU37" s="135"/>
      <c r="AV37" s="135"/>
      <c r="AW37" s="135"/>
      <c r="AX37" s="135"/>
      <c r="AY37" s="135"/>
      <c r="AZ37" s="135"/>
      <c r="BA37" s="135"/>
      <c r="BB37" s="135"/>
      <c r="BC37" s="485"/>
      <c r="BD37" s="485"/>
      <c r="BE37" s="485"/>
      <c r="BF37" s="485"/>
      <c r="BG37" s="485"/>
      <c r="BH37" s="486"/>
      <c r="BI37" s="41"/>
    </row>
    <row r="38" spans="1:70" ht="7.4" customHeight="1" x14ac:dyDescent="0.5">
      <c r="A38" s="42"/>
      <c r="X38" s="25"/>
      <c r="Y38" s="25"/>
      <c r="Z38" s="25"/>
      <c r="AA38" s="25"/>
      <c r="AB38" s="25"/>
      <c r="AC38" s="25"/>
      <c r="AD38" s="25"/>
      <c r="AE38" s="25"/>
      <c r="AF38" s="25"/>
      <c r="AG38" s="25"/>
      <c r="AH38" s="25"/>
      <c r="AI38" s="25"/>
      <c r="AJ38" s="25"/>
      <c r="AL38" s="79"/>
      <c r="AM38" s="79"/>
      <c r="AN38" s="79"/>
      <c r="AO38" s="79"/>
      <c r="AP38" s="79"/>
      <c r="AQ38" s="79"/>
      <c r="AR38" s="79"/>
      <c r="AS38" s="79"/>
      <c r="AV38" s="79"/>
      <c r="AW38" s="79"/>
      <c r="AX38" s="79"/>
      <c r="AY38" s="79"/>
      <c r="AZ38" s="79"/>
      <c r="BA38" s="79"/>
      <c r="BB38" s="79"/>
      <c r="BC38" s="79"/>
      <c r="BD38" s="79"/>
      <c r="BE38" s="79"/>
      <c r="BF38" s="79"/>
      <c r="BG38" s="79"/>
      <c r="BH38" s="79"/>
      <c r="BI38" s="41"/>
    </row>
    <row r="39" spans="1:70" ht="7.4" customHeight="1" x14ac:dyDescent="0.5">
      <c r="A39" s="42"/>
      <c r="B39" s="299" t="s">
        <v>73</v>
      </c>
      <c r="C39" s="363"/>
      <c r="D39" s="363"/>
      <c r="E39" s="363"/>
      <c r="F39" s="363"/>
      <c r="G39" s="363"/>
      <c r="H39" s="363"/>
      <c r="I39" s="363"/>
      <c r="J39" s="363"/>
      <c r="K39" s="363"/>
      <c r="L39" s="363"/>
      <c r="M39" s="363"/>
      <c r="N39" s="363"/>
      <c r="O39" s="363"/>
      <c r="P39" s="363"/>
      <c r="Q39" s="363"/>
      <c r="R39" s="363"/>
      <c r="S39" s="363"/>
      <c r="T39" s="363"/>
      <c r="U39" s="363"/>
      <c r="V39" s="363"/>
      <c r="W39" s="363"/>
      <c r="X39" s="363"/>
      <c r="Y39" s="363"/>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363"/>
      <c r="BC39" s="363"/>
      <c r="BD39" s="363"/>
      <c r="BE39" s="363"/>
      <c r="BF39" s="363"/>
      <c r="BG39" s="363"/>
      <c r="BH39" s="364"/>
      <c r="BI39" s="41"/>
    </row>
    <row r="40" spans="1:70" ht="7.4" customHeight="1" x14ac:dyDescent="0.5">
      <c r="A40" s="42"/>
      <c r="B40" s="365"/>
      <c r="C40" s="366"/>
      <c r="D40" s="366"/>
      <c r="E40" s="366"/>
      <c r="F40" s="366"/>
      <c r="G40" s="366"/>
      <c r="H40" s="366"/>
      <c r="I40" s="366"/>
      <c r="J40" s="366"/>
      <c r="K40" s="366"/>
      <c r="L40" s="366"/>
      <c r="M40" s="366"/>
      <c r="N40" s="366"/>
      <c r="O40" s="366"/>
      <c r="P40" s="366"/>
      <c r="Q40" s="366"/>
      <c r="R40" s="366"/>
      <c r="S40" s="366"/>
      <c r="T40" s="366"/>
      <c r="U40" s="366"/>
      <c r="V40" s="366"/>
      <c r="W40" s="366"/>
      <c r="X40" s="366"/>
      <c r="Y40" s="366"/>
      <c r="Z40" s="366"/>
      <c r="AA40" s="366"/>
      <c r="AB40" s="366"/>
      <c r="AC40" s="366"/>
      <c r="AD40" s="366"/>
      <c r="AE40" s="366"/>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7"/>
      <c r="BI40" s="41"/>
    </row>
    <row r="41" spans="1:70" ht="7.4" customHeight="1" x14ac:dyDescent="0.5">
      <c r="A41" s="42"/>
      <c r="B41" s="368"/>
      <c r="C41" s="369"/>
      <c r="D41" s="369"/>
      <c r="E41" s="369"/>
      <c r="F41" s="369"/>
      <c r="G41" s="369"/>
      <c r="H41" s="369"/>
      <c r="I41" s="369"/>
      <c r="J41" s="369"/>
      <c r="K41" s="369"/>
      <c r="L41" s="369"/>
      <c r="M41" s="369"/>
      <c r="N41" s="369"/>
      <c r="O41" s="369"/>
      <c r="P41" s="369"/>
      <c r="Q41" s="369"/>
      <c r="R41" s="369"/>
      <c r="S41" s="369"/>
      <c r="T41" s="369"/>
      <c r="U41" s="369"/>
      <c r="V41" s="369"/>
      <c r="W41" s="369"/>
      <c r="X41" s="369"/>
      <c r="Y41" s="369"/>
      <c r="Z41" s="369"/>
      <c r="AA41" s="369"/>
      <c r="AB41" s="369"/>
      <c r="AC41" s="369"/>
      <c r="AD41" s="369"/>
      <c r="AE41" s="369"/>
      <c r="AF41" s="369"/>
      <c r="AG41" s="369"/>
      <c r="AH41" s="369"/>
      <c r="AI41" s="369"/>
      <c r="AJ41" s="369"/>
      <c r="AK41" s="369"/>
      <c r="AL41" s="369"/>
      <c r="AM41" s="369"/>
      <c r="AN41" s="369"/>
      <c r="AO41" s="369"/>
      <c r="AP41" s="369"/>
      <c r="AQ41" s="369"/>
      <c r="AR41" s="369"/>
      <c r="AS41" s="369"/>
      <c r="AT41" s="369"/>
      <c r="AU41" s="369"/>
      <c r="AV41" s="369"/>
      <c r="AW41" s="369"/>
      <c r="AX41" s="369"/>
      <c r="AY41" s="369"/>
      <c r="AZ41" s="369"/>
      <c r="BA41" s="369"/>
      <c r="BB41" s="369"/>
      <c r="BC41" s="369"/>
      <c r="BD41" s="369"/>
      <c r="BE41" s="369"/>
      <c r="BF41" s="369"/>
      <c r="BG41" s="369"/>
      <c r="BH41" s="370"/>
      <c r="BI41" s="41"/>
    </row>
    <row r="42" spans="1:70" ht="7.4" customHeight="1" x14ac:dyDescent="0.5">
      <c r="A42" s="42"/>
      <c r="B42" s="58"/>
      <c r="C42" s="59"/>
      <c r="D42" s="59"/>
      <c r="E42" s="59"/>
      <c r="F42" s="59"/>
      <c r="G42" s="59"/>
      <c r="H42" s="60"/>
      <c r="I42" s="38"/>
      <c r="J42" s="39"/>
      <c r="K42" s="39"/>
      <c r="L42" s="39"/>
      <c r="M42" s="39"/>
      <c r="N42" s="39"/>
      <c r="O42" s="39"/>
      <c r="P42" s="58"/>
      <c r="Q42" s="59"/>
      <c r="R42" s="59"/>
      <c r="S42" s="148"/>
      <c r="T42" s="148"/>
      <c r="U42" s="149"/>
      <c r="V42" s="39"/>
      <c r="W42" s="89"/>
      <c r="X42" s="89"/>
      <c r="Y42" s="89"/>
      <c r="Z42" s="89"/>
      <c r="AA42" s="39"/>
      <c r="AB42" s="39"/>
      <c r="AC42" s="89"/>
      <c r="AD42" s="89"/>
      <c r="AE42" s="89"/>
      <c r="AF42" s="89"/>
      <c r="AG42" s="89"/>
      <c r="AH42" s="39"/>
      <c r="AI42" s="77"/>
      <c r="AJ42" s="77"/>
      <c r="AK42" s="77"/>
      <c r="AL42" s="77"/>
      <c r="AM42" s="77"/>
      <c r="AN42" s="77"/>
      <c r="AO42" s="77"/>
      <c r="AP42" s="77"/>
      <c r="AQ42" s="39"/>
      <c r="AR42" s="39"/>
      <c r="AS42" s="77"/>
      <c r="AT42" s="77"/>
      <c r="AU42" s="58"/>
      <c r="AV42" s="59"/>
      <c r="AW42" s="59"/>
      <c r="AX42" s="148"/>
      <c r="AY42" s="148"/>
      <c r="AZ42" s="148"/>
      <c r="BA42" s="150"/>
      <c r="BB42" s="39"/>
      <c r="BC42" s="39"/>
      <c r="BD42" s="39"/>
      <c r="BE42" s="77"/>
      <c r="BF42" s="77"/>
      <c r="BG42" s="77"/>
      <c r="BH42" s="138"/>
      <c r="BI42" s="41"/>
    </row>
    <row r="43" spans="1:70" ht="7.4" customHeight="1" x14ac:dyDescent="0.5">
      <c r="A43" s="42"/>
      <c r="B43" s="61"/>
      <c r="C43" s="344" t="s">
        <v>74</v>
      </c>
      <c r="D43" s="344"/>
      <c r="E43" s="344"/>
      <c r="F43" s="344"/>
      <c r="G43" s="344"/>
      <c r="H43" s="63"/>
      <c r="I43" s="42"/>
      <c r="J43" s="311">
        <f>M54*M58+P54*P58+S54*S58+V54*V58+Y54*Y58+AB54*AB58+AE54*AE58+AH54*AH58+AK54*AK58+AN54*AN58+AQ54*AQ58+AT54*AT58+AW54*AW58+AZ54*AZ58+BC54*BC58+BF54*BF58</f>
        <v>250</v>
      </c>
      <c r="K43" s="311"/>
      <c r="L43" s="311"/>
      <c r="M43" s="311"/>
      <c r="N43" s="311"/>
      <c r="P43" s="61"/>
      <c r="Q43" s="344" t="s">
        <v>75</v>
      </c>
      <c r="R43" s="344"/>
      <c r="S43" s="344"/>
      <c r="T43" s="344"/>
      <c r="U43" s="151"/>
      <c r="W43" s="453" t="s">
        <v>134</v>
      </c>
      <c r="X43" s="453"/>
      <c r="Y43" s="453"/>
      <c r="Z43" s="453"/>
      <c r="AA43" s="453"/>
      <c r="AB43" s="453"/>
      <c r="AC43" s="453"/>
      <c r="AD43" s="453"/>
      <c r="AE43" s="453"/>
      <c r="AF43" s="453"/>
      <c r="AG43" s="453"/>
      <c r="AH43" s="453"/>
      <c r="AI43" s="453"/>
      <c r="AJ43" s="453"/>
      <c r="AK43" s="453"/>
      <c r="AL43" s="453"/>
      <c r="AM43" s="453"/>
      <c r="AN43" s="453"/>
      <c r="AO43" s="453"/>
      <c r="AP43" s="453"/>
      <c r="AQ43" s="453"/>
      <c r="AR43" s="453"/>
      <c r="AS43" s="453"/>
      <c r="AT43" s="79"/>
      <c r="AU43" s="61"/>
      <c r="AV43" s="400" t="s">
        <v>77</v>
      </c>
      <c r="AW43" s="400"/>
      <c r="AX43" s="400"/>
      <c r="AY43" s="400"/>
      <c r="AZ43" s="400"/>
      <c r="BA43" s="152"/>
      <c r="BC43" s="471">
        <v>600</v>
      </c>
      <c r="BD43" s="471"/>
      <c r="BE43" s="471"/>
      <c r="BF43" s="471"/>
      <c r="BG43" s="471"/>
      <c r="BH43" s="124"/>
      <c r="BI43" s="41"/>
    </row>
    <row r="44" spans="1:70" ht="7.4" customHeight="1" x14ac:dyDescent="0.5">
      <c r="A44" s="42"/>
      <c r="B44" s="61"/>
      <c r="C44" s="344"/>
      <c r="D44" s="344"/>
      <c r="E44" s="344"/>
      <c r="F44" s="344"/>
      <c r="G44" s="344"/>
      <c r="H44" s="63"/>
      <c r="I44" s="42"/>
      <c r="J44" s="311"/>
      <c r="K44" s="311"/>
      <c r="L44" s="311"/>
      <c r="M44" s="311"/>
      <c r="N44" s="311"/>
      <c r="P44" s="61"/>
      <c r="Q44" s="344"/>
      <c r="R44" s="344"/>
      <c r="S44" s="344"/>
      <c r="T44" s="344"/>
      <c r="U44" s="151"/>
      <c r="W44" s="453"/>
      <c r="X44" s="453"/>
      <c r="Y44" s="453"/>
      <c r="Z44" s="453"/>
      <c r="AA44" s="453"/>
      <c r="AB44" s="453"/>
      <c r="AC44" s="453"/>
      <c r="AD44" s="453"/>
      <c r="AE44" s="453"/>
      <c r="AF44" s="453"/>
      <c r="AG44" s="453"/>
      <c r="AH44" s="453"/>
      <c r="AI44" s="453"/>
      <c r="AJ44" s="453"/>
      <c r="AK44" s="453"/>
      <c r="AL44" s="453"/>
      <c r="AM44" s="453"/>
      <c r="AN44" s="453"/>
      <c r="AO44" s="453"/>
      <c r="AP44" s="453"/>
      <c r="AQ44" s="453"/>
      <c r="AR44" s="453"/>
      <c r="AS44" s="453"/>
      <c r="AT44" s="79"/>
      <c r="AU44" s="61"/>
      <c r="AV44" s="400"/>
      <c r="AW44" s="400"/>
      <c r="AX44" s="400"/>
      <c r="AY44" s="400"/>
      <c r="AZ44" s="400"/>
      <c r="BA44" s="152"/>
      <c r="BC44" s="471"/>
      <c r="BD44" s="471"/>
      <c r="BE44" s="471"/>
      <c r="BF44" s="471"/>
      <c r="BG44" s="471"/>
      <c r="BH44" s="124"/>
      <c r="BI44" s="41"/>
    </row>
    <row r="45" spans="1:70" ht="7.4" customHeight="1" x14ac:dyDescent="0.5">
      <c r="A45" s="42"/>
      <c r="B45" s="61"/>
      <c r="C45" s="344"/>
      <c r="D45" s="344"/>
      <c r="E45" s="344"/>
      <c r="F45" s="344"/>
      <c r="G45" s="344"/>
      <c r="H45" s="63"/>
      <c r="I45" s="42"/>
      <c r="J45" s="311"/>
      <c r="K45" s="311"/>
      <c r="L45" s="311"/>
      <c r="M45" s="311"/>
      <c r="N45" s="311"/>
      <c r="P45" s="61"/>
      <c r="Q45" s="344"/>
      <c r="R45" s="344"/>
      <c r="S45" s="344"/>
      <c r="T45" s="344"/>
      <c r="U45" s="151"/>
      <c r="W45" s="472">
        <v>2278</v>
      </c>
      <c r="X45" s="472"/>
      <c r="Y45" s="472"/>
      <c r="Z45" s="472"/>
      <c r="AA45" s="153" t="s">
        <v>78</v>
      </c>
      <c r="AB45" s="153"/>
      <c r="AC45" s="154"/>
      <c r="AD45" s="154"/>
      <c r="AE45" s="472">
        <v>1134</v>
      </c>
      <c r="AF45" s="472"/>
      <c r="AG45" s="472"/>
      <c r="AH45" s="472"/>
      <c r="AI45" s="155" t="s">
        <v>79</v>
      </c>
      <c r="AJ45" s="155"/>
      <c r="AK45" s="155"/>
      <c r="AL45" s="155"/>
      <c r="AM45" s="472">
        <v>30</v>
      </c>
      <c r="AN45" s="472"/>
      <c r="AO45" s="472"/>
      <c r="AP45" s="472"/>
      <c r="AQ45" s="153" t="s">
        <v>80</v>
      </c>
      <c r="AR45" s="153"/>
      <c r="AS45" s="155"/>
      <c r="AT45" s="79"/>
      <c r="AU45" s="61"/>
      <c r="AV45" s="400"/>
      <c r="AW45" s="400"/>
      <c r="AX45" s="400"/>
      <c r="AY45" s="400"/>
      <c r="AZ45" s="400"/>
      <c r="BA45" s="152"/>
      <c r="BC45" s="471"/>
      <c r="BD45" s="471"/>
      <c r="BE45" s="471"/>
      <c r="BF45" s="471"/>
      <c r="BG45" s="471"/>
      <c r="BH45" s="124"/>
      <c r="BI45" s="41"/>
    </row>
    <row r="46" spans="1:70" ht="7.4" customHeight="1" x14ac:dyDescent="0.5">
      <c r="A46" s="42"/>
      <c r="B46" s="64"/>
      <c r="C46" s="65"/>
      <c r="D46" s="65"/>
      <c r="E46" s="65"/>
      <c r="F46" s="65"/>
      <c r="G46" s="65"/>
      <c r="H46" s="66"/>
      <c r="I46" s="50"/>
      <c r="J46" s="51"/>
      <c r="K46" s="51"/>
      <c r="L46" s="51"/>
      <c r="M46" s="51"/>
      <c r="N46" s="51"/>
      <c r="O46" s="51"/>
      <c r="P46" s="64"/>
      <c r="Q46" s="65"/>
      <c r="R46" s="65"/>
      <c r="S46" s="96"/>
      <c r="T46" s="96"/>
      <c r="U46" s="156"/>
      <c r="V46" s="51"/>
      <c r="W46" s="97"/>
      <c r="X46" s="97"/>
      <c r="Y46" s="97"/>
      <c r="Z46" s="97"/>
      <c r="AA46" s="51"/>
      <c r="AB46" s="51"/>
      <c r="AC46" s="97"/>
      <c r="AD46" s="97"/>
      <c r="AE46" s="97"/>
      <c r="AF46" s="97"/>
      <c r="AG46" s="97"/>
      <c r="AH46" s="51"/>
      <c r="AI46" s="135"/>
      <c r="AJ46" s="135"/>
      <c r="AK46" s="135"/>
      <c r="AL46" s="135"/>
      <c r="AM46" s="135"/>
      <c r="AN46" s="135"/>
      <c r="AO46" s="135"/>
      <c r="AP46" s="135"/>
      <c r="AQ46" s="51"/>
      <c r="AR46" s="51"/>
      <c r="AS46" s="135"/>
      <c r="AT46" s="135"/>
      <c r="AU46" s="64"/>
      <c r="AV46" s="65"/>
      <c r="AW46" s="65"/>
      <c r="AX46" s="96"/>
      <c r="AY46" s="96"/>
      <c r="AZ46" s="96"/>
      <c r="BA46" s="157"/>
      <c r="BB46" s="51"/>
      <c r="BC46" s="51"/>
      <c r="BD46" s="51"/>
      <c r="BE46" s="135"/>
      <c r="BF46" s="135"/>
      <c r="BG46" s="135"/>
      <c r="BH46" s="158"/>
      <c r="BI46" s="41"/>
    </row>
    <row r="47" spans="1:70" ht="7.4" customHeight="1" x14ac:dyDescent="0.5">
      <c r="A47" s="42"/>
      <c r="X47" s="25"/>
      <c r="Y47" s="25"/>
      <c r="Z47" s="25"/>
      <c r="AA47" s="25"/>
      <c r="AB47" s="25"/>
      <c r="AC47" s="25"/>
      <c r="AD47" s="25"/>
      <c r="AE47" s="25"/>
      <c r="AF47" s="25"/>
      <c r="AG47" s="25"/>
      <c r="AI47" s="79"/>
      <c r="AJ47" s="79"/>
      <c r="AK47" s="79"/>
      <c r="AL47" s="79"/>
      <c r="AM47" s="79"/>
      <c r="AN47" s="79"/>
      <c r="AO47" s="79"/>
      <c r="AP47" s="79"/>
      <c r="AS47" s="79"/>
      <c r="AT47" s="79"/>
      <c r="AU47" s="79"/>
      <c r="AV47" s="79"/>
      <c r="AW47" s="79"/>
      <c r="AX47" s="79"/>
      <c r="AY47" s="79"/>
      <c r="AZ47" s="79"/>
      <c r="BA47" s="79"/>
      <c r="BB47" s="79"/>
      <c r="BC47" s="79"/>
      <c r="BD47" s="79"/>
      <c r="BE47" s="79"/>
      <c r="BF47" s="79"/>
      <c r="BG47" s="79"/>
      <c r="BH47" s="79"/>
      <c r="BI47" s="41"/>
    </row>
    <row r="48" spans="1:70" ht="7.4" customHeight="1" x14ac:dyDescent="0.5">
      <c r="A48" s="42"/>
      <c r="B48" s="299" t="s">
        <v>81</v>
      </c>
      <c r="C48" s="363"/>
      <c r="D48" s="363"/>
      <c r="E48" s="363"/>
      <c r="F48" s="363"/>
      <c r="G48" s="363"/>
      <c r="H48" s="363"/>
      <c r="I48" s="363"/>
      <c r="J48" s="363"/>
      <c r="K48" s="363"/>
      <c r="L48" s="363"/>
      <c r="M48" s="363"/>
      <c r="N48" s="363"/>
      <c r="O48" s="363"/>
      <c r="P48" s="363"/>
      <c r="Q48" s="363"/>
      <c r="R48" s="363"/>
      <c r="S48" s="363"/>
      <c r="T48" s="363"/>
      <c r="U48" s="363"/>
      <c r="V48" s="363"/>
      <c r="W48" s="363"/>
      <c r="X48" s="363"/>
      <c r="Y48" s="363"/>
      <c r="Z48" s="363"/>
      <c r="AA48" s="363"/>
      <c r="AB48" s="363"/>
      <c r="AC48" s="363"/>
      <c r="AD48" s="363"/>
      <c r="AE48" s="363"/>
      <c r="AF48" s="363"/>
      <c r="AG48" s="363"/>
      <c r="AH48" s="363"/>
      <c r="AI48" s="363"/>
      <c r="AJ48" s="363"/>
      <c r="AK48" s="363"/>
      <c r="AL48" s="363"/>
      <c r="AM48" s="363"/>
      <c r="AN48" s="363"/>
      <c r="AO48" s="363"/>
      <c r="AP48" s="363"/>
      <c r="AQ48" s="363"/>
      <c r="AR48" s="363"/>
      <c r="AS48" s="363"/>
      <c r="AT48" s="363"/>
      <c r="AU48" s="363"/>
      <c r="AV48" s="363"/>
      <c r="AW48" s="363"/>
      <c r="AX48" s="363"/>
      <c r="AY48" s="363"/>
      <c r="AZ48" s="363"/>
      <c r="BA48" s="363"/>
      <c r="BB48" s="363"/>
      <c r="BC48" s="363"/>
      <c r="BD48" s="363"/>
      <c r="BE48" s="363"/>
      <c r="BF48" s="363"/>
      <c r="BG48" s="363"/>
      <c r="BH48" s="364"/>
      <c r="BI48" s="41"/>
    </row>
    <row r="49" spans="1:69" ht="7.4" customHeight="1" x14ac:dyDescent="0.5">
      <c r="A49" s="42"/>
      <c r="B49" s="365"/>
      <c r="C49" s="366"/>
      <c r="D49" s="366"/>
      <c r="E49" s="366"/>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7"/>
      <c r="BI49" s="41"/>
    </row>
    <row r="50" spans="1:69" ht="7.4" customHeight="1" x14ac:dyDescent="0.5">
      <c r="A50" s="42"/>
      <c r="B50" s="368"/>
      <c r="C50" s="369"/>
      <c r="D50" s="369"/>
      <c r="E50" s="369"/>
      <c r="F50" s="369"/>
      <c r="G50" s="369"/>
      <c r="H50" s="369"/>
      <c r="I50" s="369"/>
      <c r="J50" s="369"/>
      <c r="K50" s="369"/>
      <c r="L50" s="369"/>
      <c r="M50" s="369"/>
      <c r="N50" s="369"/>
      <c r="O50" s="369"/>
      <c r="P50" s="369"/>
      <c r="Q50" s="369"/>
      <c r="R50" s="369"/>
      <c r="S50" s="369"/>
      <c r="T50" s="369"/>
      <c r="U50" s="369"/>
      <c r="V50" s="369"/>
      <c r="W50" s="369"/>
      <c r="X50" s="369"/>
      <c r="Y50" s="369"/>
      <c r="Z50" s="369"/>
      <c r="AA50" s="369"/>
      <c r="AB50" s="369"/>
      <c r="AC50" s="369"/>
      <c r="AD50" s="369"/>
      <c r="AE50" s="369"/>
      <c r="AF50" s="369"/>
      <c r="AG50" s="369"/>
      <c r="AH50" s="369"/>
      <c r="AI50" s="369"/>
      <c r="AJ50" s="369"/>
      <c r="AK50" s="369"/>
      <c r="AL50" s="369"/>
      <c r="AM50" s="369"/>
      <c r="AN50" s="369"/>
      <c r="AO50" s="369"/>
      <c r="AP50" s="369"/>
      <c r="AQ50" s="369"/>
      <c r="AR50" s="369"/>
      <c r="AS50" s="369"/>
      <c r="AT50" s="369"/>
      <c r="AU50" s="369"/>
      <c r="AV50" s="369"/>
      <c r="AW50" s="369"/>
      <c r="AX50" s="369"/>
      <c r="AY50" s="369"/>
      <c r="AZ50" s="369"/>
      <c r="BA50" s="369"/>
      <c r="BB50" s="369"/>
      <c r="BC50" s="369"/>
      <c r="BD50" s="369"/>
      <c r="BE50" s="369"/>
      <c r="BF50" s="369"/>
      <c r="BG50" s="369"/>
      <c r="BH50" s="370"/>
      <c r="BI50" s="41"/>
    </row>
    <row r="51" spans="1:69" ht="7.4" customHeight="1" x14ac:dyDescent="0.5">
      <c r="A51" s="42"/>
      <c r="B51" s="61"/>
      <c r="C51" s="159"/>
      <c r="D51" s="159"/>
      <c r="E51" s="159"/>
      <c r="F51" s="159"/>
      <c r="G51" s="159"/>
      <c r="H51" s="159"/>
      <c r="I51" s="159"/>
      <c r="J51" s="159"/>
      <c r="K51" s="159"/>
      <c r="L51" s="151"/>
      <c r="M51" s="473">
        <v>1</v>
      </c>
      <c r="N51" s="474"/>
      <c r="O51" s="475"/>
      <c r="P51" s="473">
        <v>2</v>
      </c>
      <c r="Q51" s="474"/>
      <c r="R51" s="475"/>
      <c r="S51" s="473">
        <v>3</v>
      </c>
      <c r="T51" s="474"/>
      <c r="U51" s="475"/>
      <c r="V51" s="473">
        <v>4</v>
      </c>
      <c r="W51" s="474"/>
      <c r="X51" s="475"/>
      <c r="Y51" s="473">
        <v>5</v>
      </c>
      <c r="Z51" s="474"/>
      <c r="AA51" s="475"/>
      <c r="AB51" s="473">
        <v>6</v>
      </c>
      <c r="AC51" s="474"/>
      <c r="AD51" s="475"/>
      <c r="AE51" s="473">
        <v>7</v>
      </c>
      <c r="AF51" s="474"/>
      <c r="AG51" s="475"/>
      <c r="AH51" s="473">
        <v>8</v>
      </c>
      <c r="AI51" s="474"/>
      <c r="AJ51" s="475"/>
      <c r="AK51" s="473">
        <v>9</v>
      </c>
      <c r="AL51" s="474"/>
      <c r="AM51" s="475"/>
      <c r="AN51" s="473">
        <v>10</v>
      </c>
      <c r="AO51" s="474"/>
      <c r="AP51" s="475"/>
      <c r="AQ51" s="473">
        <v>11</v>
      </c>
      <c r="AR51" s="474"/>
      <c r="AS51" s="475"/>
      <c r="AT51" s="473">
        <v>12</v>
      </c>
      <c r="AU51" s="474"/>
      <c r="AV51" s="475"/>
      <c r="AW51" s="473">
        <v>13</v>
      </c>
      <c r="AX51" s="474"/>
      <c r="AY51" s="475"/>
      <c r="AZ51" s="473">
        <v>14</v>
      </c>
      <c r="BA51" s="474"/>
      <c r="BB51" s="475"/>
      <c r="BC51" s="473">
        <v>15</v>
      </c>
      <c r="BD51" s="474"/>
      <c r="BE51" s="475"/>
      <c r="BF51" s="473">
        <v>16</v>
      </c>
      <c r="BG51" s="474"/>
      <c r="BH51" s="475"/>
      <c r="BI51" s="41"/>
    </row>
    <row r="52" spans="1:69" ht="7.4" customHeight="1" x14ac:dyDescent="0.5">
      <c r="A52" s="42"/>
      <c r="B52" s="61"/>
      <c r="C52" s="159"/>
      <c r="D52" s="159"/>
      <c r="E52" s="159"/>
      <c r="F52" s="159"/>
      <c r="G52" s="159"/>
      <c r="H52" s="159"/>
      <c r="I52" s="159"/>
      <c r="J52" s="159"/>
      <c r="K52" s="159"/>
      <c r="L52" s="151"/>
      <c r="M52" s="473"/>
      <c r="N52" s="474"/>
      <c r="O52" s="475"/>
      <c r="P52" s="473"/>
      <c r="Q52" s="474"/>
      <c r="R52" s="475"/>
      <c r="S52" s="473"/>
      <c r="T52" s="474"/>
      <c r="U52" s="475"/>
      <c r="V52" s="473"/>
      <c r="W52" s="474"/>
      <c r="X52" s="475"/>
      <c r="Y52" s="473"/>
      <c r="Z52" s="474"/>
      <c r="AA52" s="475"/>
      <c r="AB52" s="473"/>
      <c r="AC52" s="474"/>
      <c r="AD52" s="475"/>
      <c r="AE52" s="473"/>
      <c r="AF52" s="474"/>
      <c r="AG52" s="475"/>
      <c r="AH52" s="473"/>
      <c r="AI52" s="474"/>
      <c r="AJ52" s="475"/>
      <c r="AK52" s="473"/>
      <c r="AL52" s="474"/>
      <c r="AM52" s="475"/>
      <c r="AN52" s="473"/>
      <c r="AO52" s="474"/>
      <c r="AP52" s="475"/>
      <c r="AQ52" s="473"/>
      <c r="AR52" s="474"/>
      <c r="AS52" s="475"/>
      <c r="AT52" s="473"/>
      <c r="AU52" s="474"/>
      <c r="AV52" s="475"/>
      <c r="AW52" s="473"/>
      <c r="AX52" s="474"/>
      <c r="AY52" s="475"/>
      <c r="AZ52" s="473"/>
      <c r="BA52" s="474"/>
      <c r="BB52" s="475"/>
      <c r="BC52" s="473"/>
      <c r="BD52" s="474"/>
      <c r="BE52" s="475"/>
      <c r="BF52" s="473"/>
      <c r="BG52" s="474"/>
      <c r="BH52" s="475"/>
      <c r="BI52" s="41"/>
    </row>
    <row r="53" spans="1:69" ht="7.4" customHeight="1" x14ac:dyDescent="0.5">
      <c r="A53" s="42"/>
      <c r="B53" s="61"/>
      <c r="C53" s="159"/>
      <c r="D53" s="159"/>
      <c r="E53" s="159"/>
      <c r="F53" s="159"/>
      <c r="G53" s="62"/>
      <c r="H53" s="160"/>
      <c r="I53" s="160"/>
      <c r="J53" s="160"/>
      <c r="K53" s="160"/>
      <c r="L53" s="152"/>
      <c r="M53" s="81"/>
      <c r="N53" s="77"/>
      <c r="O53" s="40"/>
      <c r="P53" s="81"/>
      <c r="Q53" s="77"/>
      <c r="R53" s="40"/>
      <c r="S53" s="81"/>
      <c r="T53" s="77"/>
      <c r="U53" s="40"/>
      <c r="V53" s="81"/>
      <c r="W53" s="77"/>
      <c r="X53" s="40"/>
      <c r="Y53" s="81"/>
      <c r="Z53" s="77"/>
      <c r="AA53" s="40"/>
      <c r="AB53" s="81"/>
      <c r="AC53" s="77"/>
      <c r="AD53" s="40"/>
      <c r="AE53" s="81"/>
      <c r="AF53" s="77"/>
      <c r="AG53" s="40"/>
      <c r="AH53" s="81"/>
      <c r="AI53" s="77"/>
      <c r="AJ53" s="40"/>
      <c r="AK53" s="81"/>
      <c r="AL53" s="77"/>
      <c r="AM53" s="40"/>
      <c r="AN53" s="81"/>
      <c r="AO53" s="77"/>
      <c r="AP53" s="40"/>
      <c r="AQ53" s="81"/>
      <c r="AR53" s="77"/>
      <c r="AS53" s="40"/>
      <c r="AT53" s="81"/>
      <c r="AU53" s="77"/>
      <c r="AV53" s="40"/>
      <c r="AW53" s="81"/>
      <c r="AX53" s="77"/>
      <c r="AY53" s="40"/>
      <c r="AZ53" s="81"/>
      <c r="BA53" s="77"/>
      <c r="BB53" s="40"/>
      <c r="BC53" s="81"/>
      <c r="BD53" s="77"/>
      <c r="BE53" s="40"/>
      <c r="BF53" s="81"/>
      <c r="BG53" s="77"/>
      <c r="BH53" s="40"/>
      <c r="BI53" s="41"/>
    </row>
    <row r="54" spans="1:69" ht="7.4" customHeight="1" x14ac:dyDescent="0.5">
      <c r="A54" s="42"/>
      <c r="B54" s="61"/>
      <c r="C54" s="400" t="s">
        <v>135</v>
      </c>
      <c r="D54" s="400"/>
      <c r="E54" s="400"/>
      <c r="F54" s="400"/>
      <c r="G54" s="400"/>
      <c r="H54" s="400"/>
      <c r="I54" s="400"/>
      <c r="J54" s="400"/>
      <c r="K54" s="400"/>
      <c r="L54" s="448"/>
      <c r="M54" s="349">
        <v>10</v>
      </c>
      <c r="N54" s="318"/>
      <c r="O54" s="350"/>
      <c r="P54" s="349">
        <v>0</v>
      </c>
      <c r="Q54" s="318"/>
      <c r="R54" s="350"/>
      <c r="S54" s="349">
        <v>0</v>
      </c>
      <c r="T54" s="318"/>
      <c r="U54" s="350"/>
      <c r="V54" s="349">
        <v>0</v>
      </c>
      <c r="W54" s="318"/>
      <c r="X54" s="350"/>
      <c r="Y54" s="349">
        <v>0</v>
      </c>
      <c r="Z54" s="318"/>
      <c r="AA54" s="350"/>
      <c r="AB54" s="349">
        <v>0</v>
      </c>
      <c r="AC54" s="318"/>
      <c r="AD54" s="350"/>
      <c r="AE54" s="349">
        <v>0</v>
      </c>
      <c r="AF54" s="318"/>
      <c r="AG54" s="350"/>
      <c r="AH54" s="349">
        <v>0</v>
      </c>
      <c r="AI54" s="318"/>
      <c r="AJ54" s="350"/>
      <c r="AK54" s="349">
        <v>0</v>
      </c>
      <c r="AL54" s="318"/>
      <c r="AM54" s="350"/>
      <c r="AN54" s="349">
        <v>0</v>
      </c>
      <c r="AO54" s="318"/>
      <c r="AP54" s="350"/>
      <c r="AQ54" s="349">
        <v>0</v>
      </c>
      <c r="AR54" s="318"/>
      <c r="AS54" s="350"/>
      <c r="AT54" s="349">
        <v>0</v>
      </c>
      <c r="AU54" s="318"/>
      <c r="AV54" s="350"/>
      <c r="AW54" s="349">
        <v>0</v>
      </c>
      <c r="AX54" s="318"/>
      <c r="AY54" s="350"/>
      <c r="AZ54" s="349">
        <v>0</v>
      </c>
      <c r="BA54" s="318"/>
      <c r="BB54" s="350"/>
      <c r="BC54" s="349">
        <v>0</v>
      </c>
      <c r="BD54" s="318"/>
      <c r="BE54" s="350"/>
      <c r="BF54" s="349">
        <v>0</v>
      </c>
      <c r="BG54" s="318"/>
      <c r="BH54" s="350"/>
      <c r="BI54" s="41"/>
    </row>
    <row r="55" spans="1:69" ht="7.4" customHeight="1" x14ac:dyDescent="0.5">
      <c r="A55" s="42"/>
      <c r="B55" s="61"/>
      <c r="C55" s="400"/>
      <c r="D55" s="400"/>
      <c r="E55" s="400"/>
      <c r="F55" s="400"/>
      <c r="G55" s="400"/>
      <c r="H55" s="400"/>
      <c r="I55" s="400"/>
      <c r="J55" s="400"/>
      <c r="K55" s="400"/>
      <c r="L55" s="448"/>
      <c r="M55" s="349"/>
      <c r="N55" s="318"/>
      <c r="O55" s="350"/>
      <c r="P55" s="349"/>
      <c r="Q55" s="318"/>
      <c r="R55" s="350"/>
      <c r="S55" s="349"/>
      <c r="T55" s="318"/>
      <c r="U55" s="350"/>
      <c r="V55" s="349"/>
      <c r="W55" s="318"/>
      <c r="X55" s="350"/>
      <c r="Y55" s="349"/>
      <c r="Z55" s="318"/>
      <c r="AA55" s="350"/>
      <c r="AB55" s="349"/>
      <c r="AC55" s="318"/>
      <c r="AD55" s="350"/>
      <c r="AE55" s="349"/>
      <c r="AF55" s="318"/>
      <c r="AG55" s="350"/>
      <c r="AH55" s="349"/>
      <c r="AI55" s="318"/>
      <c r="AJ55" s="350"/>
      <c r="AK55" s="349"/>
      <c r="AL55" s="318"/>
      <c r="AM55" s="350"/>
      <c r="AN55" s="349"/>
      <c r="AO55" s="318"/>
      <c r="AP55" s="350"/>
      <c r="AQ55" s="349"/>
      <c r="AR55" s="318"/>
      <c r="AS55" s="350"/>
      <c r="AT55" s="349"/>
      <c r="AU55" s="318"/>
      <c r="AV55" s="350"/>
      <c r="AW55" s="349"/>
      <c r="AX55" s="318"/>
      <c r="AY55" s="350"/>
      <c r="AZ55" s="349"/>
      <c r="BA55" s="318"/>
      <c r="BB55" s="350"/>
      <c r="BC55" s="349"/>
      <c r="BD55" s="318"/>
      <c r="BE55" s="350"/>
      <c r="BF55" s="349"/>
      <c r="BG55" s="318"/>
      <c r="BH55" s="350"/>
      <c r="BI55" s="41"/>
    </row>
    <row r="56" spans="1:69" ht="7.4" customHeight="1" x14ac:dyDescent="0.5">
      <c r="A56" s="42"/>
      <c r="B56" s="61"/>
      <c r="C56" s="159"/>
      <c r="D56" s="159"/>
      <c r="E56" s="159"/>
      <c r="F56" s="159"/>
      <c r="G56" s="62"/>
      <c r="H56" s="160"/>
      <c r="I56" s="160"/>
      <c r="J56" s="160"/>
      <c r="K56" s="160"/>
      <c r="L56" s="152"/>
      <c r="M56" s="161"/>
      <c r="N56" s="162"/>
      <c r="O56" s="163"/>
      <c r="P56" s="161"/>
      <c r="Q56" s="162"/>
      <c r="R56" s="163"/>
      <c r="S56" s="161"/>
      <c r="T56" s="162"/>
      <c r="U56" s="163"/>
      <c r="V56" s="161"/>
      <c r="W56" s="162"/>
      <c r="X56" s="163"/>
      <c r="Y56" s="161"/>
      <c r="Z56" s="162"/>
      <c r="AA56" s="163"/>
      <c r="AB56" s="164"/>
      <c r="AC56" s="165"/>
      <c r="AD56" s="166"/>
      <c r="AE56" s="164"/>
      <c r="AF56" s="165"/>
      <c r="AG56" s="166"/>
      <c r="AH56" s="164"/>
      <c r="AI56" s="165"/>
      <c r="AJ56" s="166"/>
      <c r="AK56" s="164"/>
      <c r="AL56" s="165"/>
      <c r="AM56" s="166"/>
      <c r="AN56" s="164"/>
      <c r="AO56" s="165"/>
      <c r="AP56" s="166"/>
      <c r="AQ56" s="164"/>
      <c r="AR56" s="165"/>
      <c r="AS56" s="166"/>
      <c r="AT56" s="164"/>
      <c r="AU56" s="165"/>
      <c r="AV56" s="166"/>
      <c r="AW56" s="164"/>
      <c r="AX56" s="165"/>
      <c r="AY56" s="166"/>
      <c r="AZ56" s="164"/>
      <c r="BA56" s="165"/>
      <c r="BB56" s="166"/>
      <c r="BC56" s="164"/>
      <c r="BD56" s="165"/>
      <c r="BE56" s="166"/>
      <c r="BF56" s="164"/>
      <c r="BG56" s="165"/>
      <c r="BH56" s="166"/>
      <c r="BI56" s="41"/>
    </row>
    <row r="57" spans="1:69" ht="7.4" customHeight="1" x14ac:dyDescent="0.5">
      <c r="A57" s="42"/>
      <c r="B57" s="61"/>
      <c r="C57" s="159"/>
      <c r="D57" s="159"/>
      <c r="E57" s="159"/>
      <c r="F57" s="159"/>
      <c r="G57" s="62"/>
      <c r="H57" s="160"/>
      <c r="I57" s="160"/>
      <c r="J57" s="160"/>
      <c r="K57" s="160"/>
      <c r="L57" s="152"/>
      <c r="M57" s="167"/>
      <c r="N57" s="168"/>
      <c r="O57" s="169"/>
      <c r="P57" s="167"/>
      <c r="Q57" s="168"/>
      <c r="R57" s="169"/>
      <c r="S57" s="167"/>
      <c r="T57" s="168"/>
      <c r="U57" s="169"/>
      <c r="V57" s="167"/>
      <c r="W57" s="168"/>
      <c r="X57" s="169"/>
      <c r="Y57" s="167"/>
      <c r="Z57" s="168"/>
      <c r="AA57" s="169"/>
      <c r="AB57" s="170"/>
      <c r="AC57" s="171"/>
      <c r="AD57" s="172"/>
      <c r="AE57" s="170"/>
      <c r="AF57" s="171"/>
      <c r="AG57" s="172"/>
      <c r="AH57" s="170"/>
      <c r="AI57" s="171"/>
      <c r="AJ57" s="172"/>
      <c r="AK57" s="170"/>
      <c r="AL57" s="171"/>
      <c r="AM57" s="172"/>
      <c r="AN57" s="170"/>
      <c r="AO57" s="171"/>
      <c r="AP57" s="172"/>
      <c r="AQ57" s="170"/>
      <c r="AR57" s="171"/>
      <c r="AS57" s="172"/>
      <c r="AT57" s="170"/>
      <c r="AU57" s="171"/>
      <c r="AV57" s="172"/>
      <c r="AW57" s="170"/>
      <c r="AX57" s="171"/>
      <c r="AY57" s="172"/>
      <c r="AZ57" s="170"/>
      <c r="BA57" s="171"/>
      <c r="BB57" s="172"/>
      <c r="BC57" s="170"/>
      <c r="BD57" s="171"/>
      <c r="BE57" s="172"/>
      <c r="BF57" s="170"/>
      <c r="BG57" s="171"/>
      <c r="BH57" s="172"/>
      <c r="BI57" s="41"/>
    </row>
    <row r="58" spans="1:69" ht="7.4" customHeight="1" x14ac:dyDescent="0.5">
      <c r="A58" s="42"/>
      <c r="B58" s="61"/>
      <c r="C58" s="400" t="s">
        <v>136</v>
      </c>
      <c r="D58" s="400"/>
      <c r="E58" s="400"/>
      <c r="F58" s="400"/>
      <c r="G58" s="400"/>
      <c r="H58" s="400"/>
      <c r="I58" s="400"/>
      <c r="J58" s="400"/>
      <c r="K58" s="400"/>
      <c r="L58" s="448"/>
      <c r="M58" s="349">
        <v>25</v>
      </c>
      <c r="N58" s="318"/>
      <c r="O58" s="350"/>
      <c r="P58" s="349">
        <v>0</v>
      </c>
      <c r="Q58" s="318"/>
      <c r="R58" s="350"/>
      <c r="S58" s="349">
        <v>0</v>
      </c>
      <c r="T58" s="318"/>
      <c r="U58" s="350"/>
      <c r="V58" s="349">
        <v>0</v>
      </c>
      <c r="W58" s="318"/>
      <c r="X58" s="350"/>
      <c r="Y58" s="349">
        <v>0</v>
      </c>
      <c r="Z58" s="318"/>
      <c r="AA58" s="350"/>
      <c r="AB58" s="349">
        <v>0</v>
      </c>
      <c r="AC58" s="318"/>
      <c r="AD58" s="350"/>
      <c r="AE58" s="349">
        <v>0</v>
      </c>
      <c r="AF58" s="318"/>
      <c r="AG58" s="350"/>
      <c r="AH58" s="349">
        <v>0</v>
      </c>
      <c r="AI58" s="318"/>
      <c r="AJ58" s="350"/>
      <c r="AK58" s="349">
        <v>0</v>
      </c>
      <c r="AL58" s="318"/>
      <c r="AM58" s="350"/>
      <c r="AN58" s="349">
        <v>0</v>
      </c>
      <c r="AO58" s="318"/>
      <c r="AP58" s="350"/>
      <c r="AQ58" s="349">
        <v>0</v>
      </c>
      <c r="AR58" s="318"/>
      <c r="AS58" s="350"/>
      <c r="AT58" s="349">
        <v>0</v>
      </c>
      <c r="AU58" s="318"/>
      <c r="AV58" s="350"/>
      <c r="AW58" s="349">
        <v>0</v>
      </c>
      <c r="AX58" s="318"/>
      <c r="AY58" s="350"/>
      <c r="AZ58" s="349">
        <v>0</v>
      </c>
      <c r="BA58" s="318"/>
      <c r="BB58" s="350"/>
      <c r="BC58" s="349">
        <v>0</v>
      </c>
      <c r="BD58" s="318"/>
      <c r="BE58" s="350"/>
      <c r="BF58" s="349">
        <v>0</v>
      </c>
      <c r="BG58" s="318"/>
      <c r="BH58" s="350"/>
      <c r="BI58" s="41"/>
    </row>
    <row r="59" spans="1:69" ht="7.4" customHeight="1" x14ac:dyDescent="0.5">
      <c r="A59" s="42"/>
      <c r="B59" s="61"/>
      <c r="C59" s="400"/>
      <c r="D59" s="400"/>
      <c r="E59" s="400"/>
      <c r="F59" s="400"/>
      <c r="G59" s="400"/>
      <c r="H59" s="400"/>
      <c r="I59" s="400"/>
      <c r="J59" s="400"/>
      <c r="K59" s="400"/>
      <c r="L59" s="448"/>
      <c r="M59" s="349"/>
      <c r="N59" s="318"/>
      <c r="O59" s="350"/>
      <c r="P59" s="349"/>
      <c r="Q59" s="318"/>
      <c r="R59" s="350"/>
      <c r="S59" s="349"/>
      <c r="T59" s="318"/>
      <c r="U59" s="350"/>
      <c r="V59" s="349"/>
      <c r="W59" s="318"/>
      <c r="X59" s="350"/>
      <c r="Y59" s="349"/>
      <c r="Z59" s="318"/>
      <c r="AA59" s="350"/>
      <c r="AB59" s="349"/>
      <c r="AC59" s="318"/>
      <c r="AD59" s="350"/>
      <c r="AE59" s="349"/>
      <c r="AF59" s="318"/>
      <c r="AG59" s="350"/>
      <c r="AH59" s="349"/>
      <c r="AI59" s="318"/>
      <c r="AJ59" s="350"/>
      <c r="AK59" s="349"/>
      <c r="AL59" s="318"/>
      <c r="AM59" s="350"/>
      <c r="AN59" s="349"/>
      <c r="AO59" s="318"/>
      <c r="AP59" s="350"/>
      <c r="AQ59" s="349"/>
      <c r="AR59" s="318"/>
      <c r="AS59" s="350"/>
      <c r="AT59" s="349"/>
      <c r="AU59" s="318"/>
      <c r="AV59" s="350"/>
      <c r="AW59" s="349"/>
      <c r="AX59" s="318"/>
      <c r="AY59" s="350"/>
      <c r="AZ59" s="349"/>
      <c r="BA59" s="318"/>
      <c r="BB59" s="350"/>
      <c r="BC59" s="349"/>
      <c r="BD59" s="318"/>
      <c r="BE59" s="350"/>
      <c r="BF59" s="349"/>
      <c r="BG59" s="318"/>
      <c r="BH59" s="350"/>
      <c r="BI59" s="41"/>
    </row>
    <row r="60" spans="1:69" ht="7.4" customHeight="1" x14ac:dyDescent="0.5">
      <c r="A60" s="42"/>
      <c r="B60" s="61"/>
      <c r="C60" s="159"/>
      <c r="D60" s="159"/>
      <c r="E60" s="159"/>
      <c r="F60" s="159"/>
      <c r="G60" s="62"/>
      <c r="H60" s="160"/>
      <c r="I60" s="160"/>
      <c r="J60" s="160"/>
      <c r="K60" s="160"/>
      <c r="L60" s="152"/>
      <c r="M60" s="174"/>
      <c r="N60" s="135"/>
      <c r="O60" s="52"/>
      <c r="P60" s="174"/>
      <c r="Q60" s="135"/>
      <c r="R60" s="52"/>
      <c r="S60" s="174"/>
      <c r="T60" s="135"/>
      <c r="U60" s="52"/>
      <c r="V60" s="174"/>
      <c r="W60" s="135"/>
      <c r="X60" s="52"/>
      <c r="Y60" s="174"/>
      <c r="Z60" s="135"/>
      <c r="AA60" s="52"/>
      <c r="AB60" s="174"/>
      <c r="AC60" s="135"/>
      <c r="AD60" s="52"/>
      <c r="AE60" s="174"/>
      <c r="AF60" s="135"/>
      <c r="AG60" s="52"/>
      <c r="AH60" s="174"/>
      <c r="AI60" s="135"/>
      <c r="AJ60" s="52"/>
      <c r="AK60" s="174"/>
      <c r="AL60" s="135"/>
      <c r="AM60" s="52"/>
      <c r="AN60" s="174"/>
      <c r="AO60" s="135"/>
      <c r="AP60" s="52"/>
      <c r="AQ60" s="174"/>
      <c r="AR60" s="135"/>
      <c r="AS60" s="52"/>
      <c r="AT60" s="174"/>
      <c r="AU60" s="135"/>
      <c r="AV60" s="52"/>
      <c r="AW60" s="174"/>
      <c r="AX60" s="135"/>
      <c r="AY60" s="52"/>
      <c r="AZ60" s="174"/>
      <c r="BA60" s="135"/>
      <c r="BB60" s="52"/>
      <c r="BC60" s="174"/>
      <c r="BD60" s="135"/>
      <c r="BE60" s="52"/>
      <c r="BF60" s="174"/>
      <c r="BG60" s="135"/>
      <c r="BH60" s="52"/>
      <c r="BI60" s="41"/>
    </row>
    <row r="61" spans="1:69" ht="7.4" customHeight="1" x14ac:dyDescent="0.5">
      <c r="A61" s="42"/>
      <c r="B61" s="61"/>
      <c r="C61" s="159"/>
      <c r="D61" s="159"/>
      <c r="E61" s="159"/>
      <c r="F61" s="159"/>
      <c r="G61" s="62"/>
      <c r="H61" s="160"/>
      <c r="I61" s="160"/>
      <c r="J61" s="160"/>
      <c r="K61" s="160"/>
      <c r="L61" s="152"/>
      <c r="M61" s="212"/>
      <c r="N61" s="212"/>
      <c r="O61" s="76"/>
      <c r="P61" s="212"/>
      <c r="Q61" s="212"/>
      <c r="R61" s="76"/>
      <c r="S61" s="212"/>
      <c r="T61" s="212"/>
      <c r="U61" s="76"/>
      <c r="V61" s="212"/>
      <c r="W61" s="212"/>
      <c r="X61" s="76"/>
      <c r="Y61" s="212"/>
      <c r="Z61" s="212"/>
      <c r="AA61" s="76"/>
      <c r="AB61" s="212"/>
      <c r="AC61" s="212"/>
      <c r="AD61" s="76"/>
      <c r="AE61" s="212"/>
      <c r="AF61" s="212"/>
      <c r="AG61" s="76"/>
      <c r="AH61" s="212"/>
      <c r="AI61" s="212"/>
      <c r="AJ61" s="76"/>
      <c r="AK61" s="212"/>
      <c r="AL61" s="212"/>
      <c r="AM61" s="76"/>
      <c r="AN61" s="212"/>
      <c r="AO61" s="212"/>
      <c r="AP61" s="76"/>
      <c r="AQ61" s="212"/>
      <c r="AR61" s="212"/>
      <c r="AS61" s="76"/>
      <c r="AT61" s="212"/>
      <c r="AU61" s="212"/>
      <c r="AV61" s="76"/>
      <c r="AW61" s="212"/>
      <c r="AX61" s="212"/>
      <c r="AY61" s="76"/>
      <c r="AZ61" s="212"/>
      <c r="BA61" s="212"/>
      <c r="BB61" s="76"/>
      <c r="BC61" s="212"/>
      <c r="BD61" s="212"/>
      <c r="BE61" s="76"/>
      <c r="BF61" s="212"/>
      <c r="BG61" s="212"/>
      <c r="BH61" s="76"/>
      <c r="BI61" s="41"/>
      <c r="BK61" s="463" t="s">
        <v>82</v>
      </c>
      <c r="BL61" s="464"/>
      <c r="BM61" s="464"/>
      <c r="BN61" s="464"/>
      <c r="BO61" s="464"/>
      <c r="BP61" s="464"/>
      <c r="BQ61" s="465"/>
    </row>
    <row r="62" spans="1:69" ht="7.4" customHeight="1" x14ac:dyDescent="0.5">
      <c r="A62" s="42"/>
      <c r="B62" s="61"/>
      <c r="C62" s="400" t="s">
        <v>137</v>
      </c>
      <c r="D62" s="400"/>
      <c r="E62" s="400"/>
      <c r="F62" s="400"/>
      <c r="G62" s="400"/>
      <c r="H62" s="400"/>
      <c r="I62" s="400"/>
      <c r="J62" s="400"/>
      <c r="K62" s="400"/>
      <c r="L62" s="448"/>
      <c r="M62" s="311">
        <f>IF(M54&gt;0,BK143/2/M54,0)</f>
        <v>20</v>
      </c>
      <c r="N62" s="311"/>
      <c r="O62" s="312"/>
      <c r="P62" s="311">
        <f>IF(P54&gt;0,BN143/2/P54,0)</f>
        <v>0</v>
      </c>
      <c r="Q62" s="311"/>
      <c r="R62" s="312"/>
      <c r="S62" s="311">
        <f>IF(S54&gt;0,BQ143/2/S54,0)</f>
        <v>0</v>
      </c>
      <c r="T62" s="311"/>
      <c r="U62" s="312"/>
      <c r="V62" s="311">
        <f>IF(V54&gt;0,BT143/2/V54,0)</f>
        <v>0</v>
      </c>
      <c r="W62" s="311"/>
      <c r="X62" s="312"/>
      <c r="Y62" s="311">
        <f>IF(Y54&gt;0,BW143/2/Y54,0)</f>
        <v>0</v>
      </c>
      <c r="Z62" s="311"/>
      <c r="AA62" s="312"/>
      <c r="AB62" s="311">
        <f>IF(AB54&gt;0,BZ143/2/AB54,0)</f>
        <v>0</v>
      </c>
      <c r="AC62" s="311"/>
      <c r="AD62" s="312"/>
      <c r="AE62" s="311">
        <f>IF(AE54&gt;0,CC143/2/AE54,0)</f>
        <v>0</v>
      </c>
      <c r="AF62" s="311"/>
      <c r="AG62" s="312"/>
      <c r="AH62" s="311">
        <f>IF(AH54&gt;0,CF143/2/AH54,0)</f>
        <v>0</v>
      </c>
      <c r="AI62" s="311"/>
      <c r="AJ62" s="312"/>
      <c r="AK62" s="311">
        <f>IF(AK54&gt;0,CI143/2/AK54,0)</f>
        <v>0</v>
      </c>
      <c r="AL62" s="311"/>
      <c r="AM62" s="312"/>
      <c r="AN62" s="311">
        <f>IF(AN54&gt;0,CL143/2/AN54,0)</f>
        <v>0</v>
      </c>
      <c r="AO62" s="311"/>
      <c r="AP62" s="312"/>
      <c r="AQ62" s="311">
        <f>IF(AQ54&gt;0,CO143/2/AQ54,0)</f>
        <v>0</v>
      </c>
      <c r="AR62" s="311"/>
      <c r="AS62" s="312"/>
      <c r="AT62" s="311">
        <f>IF(AT54&gt;0,CR143/2/AT54,0)</f>
        <v>0</v>
      </c>
      <c r="AU62" s="311"/>
      <c r="AV62" s="312"/>
      <c r="AW62" s="311">
        <f>IF(AW54&gt;0,CU143/2/AW54,0)</f>
        <v>0</v>
      </c>
      <c r="AX62" s="311"/>
      <c r="AY62" s="312"/>
      <c r="AZ62" s="311">
        <f>IF(AZ54&gt;0,CX143/2/AZ54,0)</f>
        <v>0</v>
      </c>
      <c r="BA62" s="311"/>
      <c r="BB62" s="312"/>
      <c r="BC62" s="311">
        <f>IF(BC54&gt;0,DA143/2/BC54,0)</f>
        <v>0</v>
      </c>
      <c r="BD62" s="311"/>
      <c r="BE62" s="312"/>
      <c r="BF62" s="311">
        <f>IF(BF54&gt;0,DD143/2/BF54,0)</f>
        <v>0</v>
      </c>
      <c r="BG62" s="311"/>
      <c r="BH62" s="312"/>
      <c r="BI62" s="41"/>
      <c r="BK62" s="466"/>
      <c r="BL62" s="467"/>
      <c r="BM62" s="467"/>
      <c r="BN62" s="467"/>
      <c r="BO62" s="467"/>
      <c r="BP62" s="467"/>
      <c r="BQ62" s="468"/>
    </row>
    <row r="63" spans="1:69" ht="7.4" customHeight="1" x14ac:dyDescent="0.5">
      <c r="A63" s="42"/>
      <c r="B63" s="61"/>
      <c r="C63" s="400"/>
      <c r="D63" s="400"/>
      <c r="E63" s="400"/>
      <c r="F63" s="400"/>
      <c r="G63" s="400"/>
      <c r="H63" s="400"/>
      <c r="I63" s="400"/>
      <c r="J63" s="400"/>
      <c r="K63" s="400"/>
      <c r="L63" s="448"/>
      <c r="M63" s="311"/>
      <c r="N63" s="311"/>
      <c r="O63" s="312"/>
      <c r="P63" s="311"/>
      <c r="Q63" s="311"/>
      <c r="R63" s="312"/>
      <c r="S63" s="311"/>
      <c r="T63" s="311"/>
      <c r="U63" s="312"/>
      <c r="V63" s="311"/>
      <c r="W63" s="311"/>
      <c r="X63" s="312"/>
      <c r="Y63" s="311"/>
      <c r="Z63" s="311"/>
      <c r="AA63" s="312"/>
      <c r="AB63" s="311"/>
      <c r="AC63" s="311"/>
      <c r="AD63" s="312"/>
      <c r="AE63" s="311"/>
      <c r="AF63" s="311"/>
      <c r="AG63" s="312"/>
      <c r="AH63" s="311"/>
      <c r="AI63" s="311"/>
      <c r="AJ63" s="312"/>
      <c r="AK63" s="311"/>
      <c r="AL63" s="311"/>
      <c r="AM63" s="312"/>
      <c r="AN63" s="311"/>
      <c r="AO63" s="311"/>
      <c r="AP63" s="312"/>
      <c r="AQ63" s="311"/>
      <c r="AR63" s="311"/>
      <c r="AS63" s="312"/>
      <c r="AT63" s="311"/>
      <c r="AU63" s="311"/>
      <c r="AV63" s="312"/>
      <c r="AW63" s="311"/>
      <c r="AX63" s="311"/>
      <c r="AY63" s="312"/>
      <c r="AZ63" s="311"/>
      <c r="BA63" s="311"/>
      <c r="BB63" s="312"/>
      <c r="BC63" s="311"/>
      <c r="BD63" s="311"/>
      <c r="BE63" s="312"/>
      <c r="BF63" s="311"/>
      <c r="BG63" s="311"/>
      <c r="BH63" s="312"/>
      <c r="BI63" s="41"/>
      <c r="BK63" s="466"/>
      <c r="BL63" s="467"/>
      <c r="BM63" s="467"/>
      <c r="BN63" s="467"/>
      <c r="BO63" s="467"/>
      <c r="BP63" s="467"/>
      <c r="BQ63" s="468"/>
    </row>
    <row r="64" spans="1:69" ht="7.4" customHeight="1" x14ac:dyDescent="0.5">
      <c r="A64" s="42"/>
      <c r="B64" s="61"/>
      <c r="C64" s="159"/>
      <c r="D64" s="159"/>
      <c r="E64" s="159"/>
      <c r="F64" s="159"/>
      <c r="G64" s="62"/>
      <c r="H64" s="160"/>
      <c r="I64" s="160"/>
      <c r="J64" s="160"/>
      <c r="K64" s="160"/>
      <c r="L64" s="152"/>
      <c r="M64" s="135"/>
      <c r="N64" s="135"/>
      <c r="O64" s="52"/>
      <c r="P64" s="135"/>
      <c r="Q64" s="135"/>
      <c r="R64" s="52"/>
      <c r="S64" s="135"/>
      <c r="T64" s="135"/>
      <c r="U64" s="52"/>
      <c r="V64" s="135"/>
      <c r="W64" s="135"/>
      <c r="X64" s="52"/>
      <c r="Y64" s="135"/>
      <c r="Z64" s="135"/>
      <c r="AA64" s="52"/>
      <c r="AB64" s="135"/>
      <c r="AC64" s="135"/>
      <c r="AD64" s="52"/>
      <c r="AE64" s="135"/>
      <c r="AF64" s="135"/>
      <c r="AG64" s="52"/>
      <c r="AH64" s="135"/>
      <c r="AI64" s="135"/>
      <c r="AJ64" s="52"/>
      <c r="AK64" s="135"/>
      <c r="AL64" s="135"/>
      <c r="AM64" s="52"/>
      <c r="AN64" s="135"/>
      <c r="AO64" s="135"/>
      <c r="AP64" s="52"/>
      <c r="AQ64" s="135"/>
      <c r="AR64" s="135"/>
      <c r="AS64" s="52"/>
      <c r="AT64" s="135"/>
      <c r="AU64" s="135"/>
      <c r="AV64" s="52"/>
      <c r="AW64" s="135"/>
      <c r="AX64" s="135"/>
      <c r="AY64" s="52"/>
      <c r="AZ64" s="135"/>
      <c r="BA64" s="135"/>
      <c r="BB64" s="52"/>
      <c r="BC64" s="135"/>
      <c r="BD64" s="135"/>
      <c r="BE64" s="52"/>
      <c r="BF64" s="135"/>
      <c r="BG64" s="135"/>
      <c r="BH64" s="52"/>
      <c r="BI64" s="41"/>
      <c r="BK64" s="515"/>
      <c r="BL64" s="516"/>
      <c r="BM64" s="516"/>
      <c r="BN64" s="516"/>
      <c r="BO64" s="516"/>
      <c r="BP64" s="516"/>
      <c r="BQ64" s="517"/>
    </row>
    <row r="65" spans="1:87" ht="7.4" customHeight="1" x14ac:dyDescent="0.5">
      <c r="A65" s="42"/>
      <c r="B65" s="61"/>
      <c r="C65" s="513" t="s">
        <v>138</v>
      </c>
      <c r="D65" s="513"/>
      <c r="E65" s="513"/>
      <c r="F65" s="513"/>
      <c r="G65" s="513"/>
      <c r="H65" s="513"/>
      <c r="I65" s="513"/>
      <c r="J65" s="513"/>
      <c r="K65" s="513"/>
      <c r="L65" s="514"/>
      <c r="M65" s="212"/>
      <c r="N65" s="212"/>
      <c r="O65" s="76"/>
      <c r="P65" s="212"/>
      <c r="Q65" s="212"/>
      <c r="R65" s="76"/>
      <c r="S65" s="212"/>
      <c r="T65" s="212"/>
      <c r="U65" s="76"/>
      <c r="V65" s="212"/>
      <c r="W65" s="212"/>
      <c r="X65" s="76"/>
      <c r="Y65" s="212"/>
      <c r="Z65" s="212"/>
      <c r="AA65" s="76"/>
      <c r="AB65" s="212"/>
      <c r="AC65" s="212"/>
      <c r="AD65" s="76"/>
      <c r="AE65" s="212"/>
      <c r="AF65" s="212"/>
      <c r="AG65" s="76"/>
      <c r="AH65" s="212"/>
      <c r="AI65" s="212"/>
      <c r="AJ65" s="76"/>
      <c r="AK65" s="212"/>
      <c r="AL65" s="212"/>
      <c r="AM65" s="76"/>
      <c r="AN65" s="212"/>
      <c r="AO65" s="212"/>
      <c r="AP65" s="76"/>
      <c r="AQ65" s="212"/>
      <c r="AR65" s="212"/>
      <c r="AS65" s="76"/>
      <c r="AT65" s="212"/>
      <c r="AU65" s="212"/>
      <c r="AV65" s="76"/>
      <c r="AW65" s="212"/>
      <c r="AX65" s="212"/>
      <c r="AY65" s="76"/>
      <c r="AZ65" s="212"/>
      <c r="BA65" s="212"/>
      <c r="BB65" s="76"/>
      <c r="BC65" s="212"/>
      <c r="BD65" s="212"/>
      <c r="BE65" s="76"/>
      <c r="BF65" s="212"/>
      <c r="BG65" s="212"/>
      <c r="BH65" s="76"/>
      <c r="BI65" s="41"/>
      <c r="BK65" s="38"/>
      <c r="BL65" s="39"/>
      <c r="BM65" s="39"/>
      <c r="BN65" s="39"/>
      <c r="BO65" s="39"/>
      <c r="BP65" s="39"/>
      <c r="BQ65" s="40"/>
    </row>
    <row r="66" spans="1:87" ht="7.4" customHeight="1" x14ac:dyDescent="0.5">
      <c r="A66" s="42"/>
      <c r="B66" s="61"/>
      <c r="C66" s="513"/>
      <c r="D66" s="513"/>
      <c r="E66" s="513"/>
      <c r="F66" s="513"/>
      <c r="G66" s="513"/>
      <c r="H66" s="513"/>
      <c r="I66" s="513"/>
      <c r="J66" s="513"/>
      <c r="K66" s="513"/>
      <c r="L66" s="514"/>
      <c r="M66" s="331">
        <f>IF(M58&gt;0,($AE$45*M58+20*(M58-1)+$N$85*2-2*$N$89)/(M62-1),0)</f>
        <v>1496.3157894736842</v>
      </c>
      <c r="N66" s="331"/>
      <c r="O66" s="332"/>
      <c r="P66" s="331">
        <f>IF(P58&gt;0,($AE$45*P58+20*(P58-1)+$N$85*2-2*$N$89)/(P62-1),0)</f>
        <v>0</v>
      </c>
      <c r="Q66" s="331"/>
      <c r="R66" s="332"/>
      <c r="S66" s="331">
        <f>IF(S58&gt;0,($AE$45*S58+20*(S58-1)+$N$85*2-2*$N$89)/(S62-1),0)</f>
        <v>0</v>
      </c>
      <c r="T66" s="331"/>
      <c r="U66" s="332"/>
      <c r="V66" s="331">
        <f>IF(V58&gt;0,($AE$45*V58+20*(V58-1)+$N$85*2-2*$N$89)/(V62-1),0)</f>
        <v>0</v>
      </c>
      <c r="W66" s="331"/>
      <c r="X66" s="332"/>
      <c r="Y66" s="331">
        <f>IF(Y58&gt;0,($AE$45*Y58+20*(Y58-1)+$N$85*2-2*$N$89)/(Y62-1),0)</f>
        <v>0</v>
      </c>
      <c r="Z66" s="331"/>
      <c r="AA66" s="332"/>
      <c r="AB66" s="331">
        <f>IF(AB58&gt;0,($AE$45*AB58+20*(AB58-1)+$N$85*2-2*$N$89)/(AB62-1),0)</f>
        <v>0</v>
      </c>
      <c r="AC66" s="331"/>
      <c r="AD66" s="332"/>
      <c r="AE66" s="331">
        <f>IF(AE58&gt;0,($AE$45*AE58+20*(AE58-1)+$N$85*2-2*$N$89)/(AE62-1),0)</f>
        <v>0</v>
      </c>
      <c r="AF66" s="331"/>
      <c r="AG66" s="332"/>
      <c r="AH66" s="331">
        <f>IF(AH58&gt;0,($AE$45*AH58+20*(AH58-1)+$N$85*2-2*$N$89)/(AH62-1),0)</f>
        <v>0</v>
      </c>
      <c r="AI66" s="331"/>
      <c r="AJ66" s="332"/>
      <c r="AK66" s="331">
        <f>IF(AK58&gt;0,($AE$45*AK58+20*(AK58-1)+$N$85*2-2*$N$89)/(AK62-1),0)</f>
        <v>0</v>
      </c>
      <c r="AL66" s="331"/>
      <c r="AM66" s="332"/>
      <c r="AN66" s="331">
        <f>IF(AN58&gt;0,($AE$45*AN58+20*(AN58-1)+$N$85*2-2*$N$89)/(AN62-1),0)</f>
        <v>0</v>
      </c>
      <c r="AO66" s="331"/>
      <c r="AP66" s="332"/>
      <c r="AQ66" s="331">
        <f>IF(AQ58&gt;0,($AE$45*AQ58+20*(AQ58-1)+$N$85*2-2*$N$89)/(AQ62-1),0)</f>
        <v>0</v>
      </c>
      <c r="AR66" s="331"/>
      <c r="AS66" s="332"/>
      <c r="AT66" s="331">
        <f>IF(AT58&gt;0,($AE$45*AT58+20*(AT58-1)+$N$85*2-2*$N$89)/(AT62-1),0)</f>
        <v>0</v>
      </c>
      <c r="AU66" s="331"/>
      <c r="AV66" s="332"/>
      <c r="AW66" s="331">
        <f>IF(AW58&gt;0,($AE$45*AW58+20*(AW58-1)+$N$85*2-2*$N$89)/(AW62-1),0)</f>
        <v>0</v>
      </c>
      <c r="AX66" s="331"/>
      <c r="AY66" s="332"/>
      <c r="AZ66" s="331">
        <f>IF(AZ58&gt;0,($AE$45*AZ58+20*(AZ58-1)+$N$85*2-2*$N$89)/(AZ62-1),0)</f>
        <v>0</v>
      </c>
      <c r="BA66" s="331"/>
      <c r="BB66" s="332"/>
      <c r="BC66" s="331">
        <f>IF(BC58&gt;0,($AE$45*BC58+20*(BC58-1)+$N$85*2-2*$N$89)/(BC62-1),0)</f>
        <v>0</v>
      </c>
      <c r="BD66" s="331"/>
      <c r="BE66" s="332"/>
      <c r="BF66" s="331">
        <f>IF(BF58&gt;0,($AE$45*BF58+20*(BF58-1)+$N$85*2-2*$N$89)/(BF62-1),0)</f>
        <v>0</v>
      </c>
      <c r="BG66" s="331"/>
      <c r="BH66" s="332"/>
      <c r="BI66" s="41"/>
      <c r="BK66" s="42"/>
      <c r="BL66" s="311">
        <f>IF(OR(AO35="Corrugated (Side)",AO35="Corrugated (Top)",AO35="Corrugated (Hangerbolt)"),76.2*18,IF(AO35="IBR",171.5*8,IF(OR(AO35="Klip-Lok",AO35="ProLok",AO35="Saflok"),233*6,IF(AO35="Brownbuilt",203*7,IF(OR(AO35="Dimondek (Pinch)",AO35="Dimondek (Stand Rib)"),203*7,IF(AO35="Zip-Tek",420*3,IF(AO35="Craft-Lock",350*4,0)))))))</f>
        <v>1372</v>
      </c>
      <c r="BM66" s="311"/>
      <c r="BN66" s="311"/>
      <c r="BO66" s="460" t="s">
        <v>69</v>
      </c>
      <c r="BP66" s="460"/>
      <c r="BQ66" s="41"/>
    </row>
    <row r="67" spans="1:87" ht="7.4" customHeight="1" x14ac:dyDescent="0.5">
      <c r="A67" s="42"/>
      <c r="B67" s="61"/>
      <c r="C67" s="513"/>
      <c r="D67" s="513"/>
      <c r="E67" s="513"/>
      <c r="F67" s="513"/>
      <c r="G67" s="513"/>
      <c r="H67" s="513"/>
      <c r="I67" s="513"/>
      <c r="J67" s="513"/>
      <c r="K67" s="513"/>
      <c r="L67" s="514"/>
      <c r="M67" s="331"/>
      <c r="N67" s="331"/>
      <c r="O67" s="332"/>
      <c r="P67" s="331"/>
      <c r="Q67" s="331"/>
      <c r="R67" s="332"/>
      <c r="S67" s="331"/>
      <c r="T67" s="331"/>
      <c r="U67" s="332"/>
      <c r="V67" s="331"/>
      <c r="W67" s="331"/>
      <c r="X67" s="332"/>
      <c r="Y67" s="331"/>
      <c r="Z67" s="331"/>
      <c r="AA67" s="332"/>
      <c r="AB67" s="331"/>
      <c r="AC67" s="331"/>
      <c r="AD67" s="332"/>
      <c r="AE67" s="331"/>
      <c r="AF67" s="331"/>
      <c r="AG67" s="332"/>
      <c r="AH67" s="331"/>
      <c r="AI67" s="331"/>
      <c r="AJ67" s="332"/>
      <c r="AK67" s="331"/>
      <c r="AL67" s="331"/>
      <c r="AM67" s="332"/>
      <c r="AN67" s="331"/>
      <c r="AO67" s="331"/>
      <c r="AP67" s="332"/>
      <c r="AQ67" s="331"/>
      <c r="AR67" s="331"/>
      <c r="AS67" s="332"/>
      <c r="AT67" s="331"/>
      <c r="AU67" s="331"/>
      <c r="AV67" s="332"/>
      <c r="AW67" s="331"/>
      <c r="AX67" s="331"/>
      <c r="AY67" s="332"/>
      <c r="AZ67" s="331"/>
      <c r="BA67" s="331"/>
      <c r="BB67" s="332"/>
      <c r="BC67" s="331"/>
      <c r="BD67" s="331"/>
      <c r="BE67" s="332"/>
      <c r="BF67" s="331"/>
      <c r="BG67" s="331"/>
      <c r="BH67" s="332"/>
      <c r="BI67" s="41"/>
      <c r="BK67" s="42"/>
      <c r="BL67" s="311"/>
      <c r="BM67" s="311"/>
      <c r="BN67" s="311"/>
      <c r="BO67" s="460"/>
      <c r="BP67" s="460"/>
      <c r="BQ67" s="41"/>
    </row>
    <row r="68" spans="1:87" ht="7.4" customHeight="1" x14ac:dyDescent="0.5">
      <c r="A68" s="42"/>
      <c r="B68" s="64"/>
      <c r="C68" s="96"/>
      <c r="D68" s="96"/>
      <c r="E68" s="96"/>
      <c r="F68" s="96"/>
      <c r="G68" s="65"/>
      <c r="H68" s="173"/>
      <c r="I68" s="173"/>
      <c r="J68" s="173"/>
      <c r="K68" s="173"/>
      <c r="L68" s="157"/>
      <c r="M68" s="135"/>
      <c r="N68" s="135"/>
      <c r="O68" s="52"/>
      <c r="P68" s="135"/>
      <c r="Q68" s="135"/>
      <c r="R68" s="52"/>
      <c r="S68" s="135"/>
      <c r="T68" s="135"/>
      <c r="U68" s="52"/>
      <c r="V68" s="135"/>
      <c r="W68" s="135"/>
      <c r="X68" s="52"/>
      <c r="Y68" s="135"/>
      <c r="Z68" s="135"/>
      <c r="AA68" s="52"/>
      <c r="AB68" s="135"/>
      <c r="AC68" s="135"/>
      <c r="AD68" s="52"/>
      <c r="AE68" s="135"/>
      <c r="AF68" s="135"/>
      <c r="AG68" s="52"/>
      <c r="AH68" s="135"/>
      <c r="AI68" s="135"/>
      <c r="AJ68" s="52"/>
      <c r="AK68" s="135"/>
      <c r="AL68" s="135"/>
      <c r="AM68" s="52"/>
      <c r="AN68" s="135"/>
      <c r="AO68" s="135"/>
      <c r="AP68" s="52"/>
      <c r="AQ68" s="135"/>
      <c r="AR68" s="135"/>
      <c r="AS68" s="52"/>
      <c r="AT68" s="135"/>
      <c r="AU68" s="135"/>
      <c r="AV68" s="52"/>
      <c r="AW68" s="135"/>
      <c r="AX68" s="135"/>
      <c r="AY68" s="52"/>
      <c r="AZ68" s="135"/>
      <c r="BA68" s="135"/>
      <c r="BB68" s="52"/>
      <c r="BC68" s="135"/>
      <c r="BD68" s="135"/>
      <c r="BE68" s="52"/>
      <c r="BF68" s="135"/>
      <c r="BG68" s="135"/>
      <c r="BH68" s="52"/>
      <c r="BI68" s="41"/>
      <c r="BK68" s="50"/>
      <c r="BL68" s="51"/>
      <c r="BM68" s="51"/>
      <c r="BN68" s="51"/>
      <c r="BO68" s="51"/>
      <c r="BP68" s="51"/>
      <c r="BQ68" s="52"/>
    </row>
    <row r="69" spans="1:87" ht="7.4" customHeight="1" x14ac:dyDescent="0.5">
      <c r="A69" s="42"/>
      <c r="AM69" s="25"/>
      <c r="AN69" s="25"/>
      <c r="AO69" s="25"/>
      <c r="AP69" s="25"/>
      <c r="AQ69" s="25"/>
      <c r="AR69" s="25"/>
      <c r="AS69" s="79"/>
      <c r="AT69" s="79"/>
      <c r="AU69" s="79"/>
      <c r="AV69" s="79"/>
      <c r="AW69" s="79"/>
      <c r="AX69" s="79"/>
      <c r="AY69" s="79"/>
      <c r="AZ69" s="79"/>
      <c r="BA69" s="79"/>
      <c r="BB69" s="79"/>
      <c r="BE69" s="79"/>
      <c r="BF69" s="79"/>
      <c r="BG69" s="79"/>
      <c r="BH69" s="79"/>
      <c r="BI69" s="41"/>
    </row>
    <row r="70" spans="1:87" ht="7.4" customHeight="1" x14ac:dyDescent="0.5">
      <c r="A70" s="42"/>
      <c r="AM70" s="25"/>
      <c r="AN70" s="25"/>
      <c r="AO70" s="25"/>
      <c r="AP70" s="25"/>
      <c r="AQ70" s="25"/>
      <c r="AR70" s="25"/>
      <c r="AS70" s="79"/>
      <c r="AT70" s="79"/>
      <c r="AU70" s="79"/>
      <c r="AV70" s="79"/>
      <c r="AW70" s="79"/>
      <c r="AX70" s="79"/>
      <c r="AY70" s="79"/>
      <c r="AZ70" s="79"/>
      <c r="BA70" s="79"/>
      <c r="BB70" s="79"/>
      <c r="BE70" s="79"/>
      <c r="BF70" s="79"/>
      <c r="BG70" s="79"/>
      <c r="BH70" s="79"/>
      <c r="BI70" s="41"/>
    </row>
    <row r="71" spans="1:87" ht="7.4" customHeight="1" x14ac:dyDescent="0.5">
      <c r="A71" s="42"/>
      <c r="AM71" s="25"/>
      <c r="AN71" s="25"/>
      <c r="AO71" s="25"/>
      <c r="AP71" s="25"/>
      <c r="AQ71" s="25"/>
      <c r="AR71" s="25"/>
      <c r="AS71" s="79"/>
      <c r="AT71" s="79"/>
      <c r="AU71" s="79"/>
      <c r="AV71" s="79"/>
      <c r="AW71" s="79"/>
      <c r="AX71" s="79"/>
      <c r="AY71" s="79"/>
      <c r="AZ71" s="79"/>
      <c r="BA71" s="79"/>
      <c r="BB71" s="79"/>
      <c r="BE71" s="79"/>
      <c r="BF71" s="79"/>
      <c r="BG71" s="79"/>
      <c r="BH71" s="79"/>
      <c r="BI71" s="41"/>
    </row>
    <row r="72" spans="1:87" ht="7.4" customHeight="1" x14ac:dyDescent="0.5">
      <c r="A72" s="42"/>
      <c r="R72" s="25"/>
      <c r="S72" s="25"/>
      <c r="T72" s="25"/>
      <c r="U72" s="25"/>
      <c r="V72" s="25"/>
      <c r="AM72" s="25"/>
      <c r="AN72" s="25"/>
      <c r="AO72" s="25"/>
      <c r="AP72" s="25"/>
      <c r="AQ72" s="25"/>
      <c r="AR72" s="25"/>
      <c r="AS72" s="79"/>
      <c r="AT72" s="79"/>
      <c r="AU72" s="79"/>
      <c r="AV72" s="79"/>
      <c r="AW72" s="79"/>
      <c r="AX72" s="79"/>
      <c r="AY72" s="79"/>
      <c r="AZ72" s="79"/>
      <c r="BA72" s="79"/>
      <c r="BB72" s="79"/>
      <c r="BE72" s="79"/>
      <c r="BF72" s="79"/>
      <c r="BG72" s="79"/>
      <c r="BH72" s="79"/>
      <c r="BI72" s="41"/>
    </row>
    <row r="73" spans="1:87" ht="7.4" customHeight="1" x14ac:dyDescent="0.5">
      <c r="A73" s="42"/>
      <c r="R73" s="25"/>
      <c r="S73" s="25"/>
      <c r="T73" s="25"/>
      <c r="U73" s="25"/>
      <c r="V73" s="25"/>
      <c r="AM73" s="25"/>
      <c r="AN73" s="25"/>
      <c r="AO73" s="25"/>
      <c r="AP73" s="25"/>
      <c r="AQ73" s="25"/>
      <c r="AR73" s="25"/>
      <c r="AS73" s="79"/>
      <c r="AT73" s="79"/>
      <c r="AU73" s="79"/>
      <c r="AV73" s="79"/>
      <c r="AW73" s="79"/>
      <c r="AX73" s="79"/>
      <c r="AY73" s="79"/>
      <c r="AZ73" s="79"/>
      <c r="BA73" s="79"/>
      <c r="BB73" s="79"/>
      <c r="BE73" s="79"/>
      <c r="BF73" s="79"/>
      <c r="BG73" s="79"/>
      <c r="BH73" s="79"/>
      <c r="BI73" s="41"/>
    </row>
    <row r="74" spans="1:87" ht="7.4" customHeight="1" x14ac:dyDescent="0.5">
      <c r="A74" s="42"/>
      <c r="R74" s="25"/>
      <c r="S74" s="25"/>
      <c r="T74" s="25"/>
      <c r="U74" s="25"/>
      <c r="V74" s="25"/>
      <c r="AM74" s="25"/>
      <c r="AN74" s="25"/>
      <c r="AO74" s="25"/>
      <c r="AP74" s="25"/>
      <c r="AQ74" s="25"/>
      <c r="AR74" s="25"/>
      <c r="AS74" s="79"/>
      <c r="AT74" s="79"/>
      <c r="AU74" s="79"/>
      <c r="AV74" s="79"/>
      <c r="AW74" s="79"/>
      <c r="AX74" s="79"/>
      <c r="AY74" s="79"/>
      <c r="AZ74" s="79"/>
      <c r="BA74" s="79"/>
      <c r="BB74" s="79"/>
      <c r="BE74" s="79"/>
      <c r="BF74" s="79"/>
      <c r="BG74" s="79"/>
      <c r="BH74" s="79"/>
      <c r="BI74" s="41"/>
    </row>
    <row r="75" spans="1:87" ht="7.4" customHeight="1" x14ac:dyDescent="0.5">
      <c r="A75" s="42"/>
      <c r="R75" s="25"/>
      <c r="S75" s="25"/>
      <c r="T75" s="25"/>
      <c r="U75" s="25"/>
      <c r="V75" s="25"/>
      <c r="AM75" s="25"/>
      <c r="AN75" s="25"/>
      <c r="AO75" s="25"/>
      <c r="AP75" s="25"/>
      <c r="AQ75" s="25"/>
      <c r="AR75" s="25"/>
      <c r="AS75" s="79"/>
      <c r="AT75" s="79"/>
      <c r="AU75" s="79"/>
      <c r="AV75" s="79"/>
      <c r="AW75" s="79"/>
      <c r="AX75" s="79"/>
      <c r="AY75" s="79"/>
      <c r="AZ75" s="79"/>
      <c r="BA75" s="79"/>
      <c r="BB75" s="79"/>
      <c r="BE75" s="79"/>
      <c r="BF75" s="79"/>
      <c r="BG75" s="79"/>
      <c r="BH75" s="79"/>
      <c r="BI75" s="41"/>
    </row>
    <row r="76" spans="1:87" ht="7.4" customHeight="1" x14ac:dyDescent="0.5">
      <c r="A76" s="42"/>
      <c r="R76" s="25"/>
      <c r="S76" s="25"/>
      <c r="T76" s="25"/>
      <c r="U76" s="25"/>
      <c r="V76" s="25"/>
      <c r="AM76" s="25"/>
      <c r="AN76" s="25"/>
      <c r="AO76" s="25"/>
      <c r="AP76" s="25"/>
      <c r="AQ76" s="25"/>
      <c r="AR76" s="25"/>
      <c r="AS76" s="79"/>
      <c r="AT76" s="79"/>
      <c r="AU76" s="79"/>
      <c r="AV76" s="79"/>
      <c r="AW76" s="79"/>
      <c r="AX76" s="79"/>
      <c r="AY76" s="79"/>
      <c r="AZ76" s="79"/>
      <c r="BA76" s="79"/>
      <c r="BB76" s="79"/>
      <c r="BE76" s="79"/>
      <c r="BF76" s="79"/>
      <c r="BG76" s="79"/>
      <c r="BH76" s="79"/>
      <c r="BI76" s="41"/>
    </row>
    <row r="77" spans="1:87" ht="7.4" customHeight="1" x14ac:dyDescent="0.5">
      <c r="A77" s="42"/>
      <c r="B77" s="29"/>
      <c r="C77" s="363" t="s">
        <v>139</v>
      </c>
      <c r="D77" s="363"/>
      <c r="E77" s="363"/>
      <c r="F77" s="363"/>
      <c r="G77" s="363"/>
      <c r="H77" s="363"/>
      <c r="I77" s="363"/>
      <c r="J77" s="363"/>
      <c r="K77" s="363"/>
      <c r="L77" s="363"/>
      <c r="M77" s="363"/>
      <c r="N77" s="363"/>
      <c r="O77" s="363"/>
      <c r="P77" s="363"/>
      <c r="Q77" s="363"/>
      <c r="R77" s="363"/>
      <c r="S77" s="363"/>
      <c r="T77" s="363"/>
      <c r="U77" s="31"/>
      <c r="W77" s="29"/>
      <c r="X77" s="363" t="s">
        <v>83</v>
      </c>
      <c r="Y77" s="363"/>
      <c r="Z77" s="363"/>
      <c r="AA77" s="363"/>
      <c r="AB77" s="363"/>
      <c r="AC77" s="363"/>
      <c r="AD77" s="363"/>
      <c r="AE77" s="363"/>
      <c r="AF77" s="363"/>
      <c r="AG77" s="363"/>
      <c r="AH77" s="363"/>
      <c r="AI77" s="363"/>
      <c r="AJ77" s="363"/>
      <c r="AK77" s="363"/>
      <c r="AL77" s="363"/>
      <c r="AM77" s="363"/>
      <c r="AN77" s="363"/>
      <c r="AO77" s="363"/>
      <c r="AP77" s="31"/>
      <c r="AQ77" s="79"/>
      <c r="AR77" s="29"/>
      <c r="AS77" s="363" t="s">
        <v>37</v>
      </c>
      <c r="AT77" s="363"/>
      <c r="AU77" s="363"/>
      <c r="AV77" s="363"/>
      <c r="AW77" s="363"/>
      <c r="AX77" s="363"/>
      <c r="AY77" s="363"/>
      <c r="AZ77" s="363"/>
      <c r="BA77" s="363"/>
      <c r="BB77" s="363"/>
      <c r="BC77" s="363"/>
      <c r="BD77" s="363"/>
      <c r="BE77" s="363"/>
      <c r="BF77" s="363"/>
      <c r="BG77" s="363"/>
      <c r="BH77" s="31"/>
      <c r="BI77" s="41"/>
      <c r="BK77" s="108"/>
      <c r="BL77" s="108"/>
      <c r="BM77" s="108"/>
      <c r="BN77" s="108"/>
      <c r="BO77" s="108"/>
      <c r="BP77" s="108"/>
      <c r="BQ77" s="108"/>
      <c r="BR77" s="108"/>
      <c r="BS77" s="108"/>
      <c r="BT77" s="108"/>
      <c r="BX77" s="25"/>
      <c r="BY77" s="25"/>
      <c r="BZ77" s="25"/>
      <c r="CA77" s="25"/>
      <c r="CB77" s="25"/>
      <c r="CC77" s="25"/>
      <c r="CD77" s="25"/>
      <c r="CE77" s="25"/>
      <c r="CF77" s="25"/>
      <c r="CG77" s="25"/>
      <c r="CH77" s="25"/>
      <c r="CI77" s="25"/>
    </row>
    <row r="78" spans="1:87" ht="7.4" customHeight="1" x14ac:dyDescent="0.5">
      <c r="A78" s="42"/>
      <c r="B78" s="32"/>
      <c r="C78" s="366"/>
      <c r="D78" s="366"/>
      <c r="E78" s="366"/>
      <c r="F78" s="366"/>
      <c r="G78" s="366"/>
      <c r="H78" s="366"/>
      <c r="I78" s="366"/>
      <c r="J78" s="366"/>
      <c r="K78" s="366"/>
      <c r="L78" s="366"/>
      <c r="M78" s="366"/>
      <c r="N78" s="366"/>
      <c r="O78" s="366"/>
      <c r="P78" s="366"/>
      <c r="Q78" s="366"/>
      <c r="R78" s="366"/>
      <c r="S78" s="366"/>
      <c r="T78" s="366"/>
      <c r="U78" s="34"/>
      <c r="W78" s="32"/>
      <c r="X78" s="366"/>
      <c r="Y78" s="366"/>
      <c r="Z78" s="366"/>
      <c r="AA78" s="366"/>
      <c r="AB78" s="366"/>
      <c r="AC78" s="366"/>
      <c r="AD78" s="366"/>
      <c r="AE78" s="366"/>
      <c r="AF78" s="366"/>
      <c r="AG78" s="366"/>
      <c r="AH78" s="366"/>
      <c r="AI78" s="366"/>
      <c r="AJ78" s="366"/>
      <c r="AK78" s="366"/>
      <c r="AL78" s="366"/>
      <c r="AM78" s="366"/>
      <c r="AN78" s="366"/>
      <c r="AO78" s="366"/>
      <c r="AP78" s="34"/>
      <c r="AQ78" s="79"/>
      <c r="AR78" s="32"/>
      <c r="AS78" s="366"/>
      <c r="AT78" s="366"/>
      <c r="AU78" s="366"/>
      <c r="AV78" s="366"/>
      <c r="AW78" s="366"/>
      <c r="AX78" s="366"/>
      <c r="AY78" s="366"/>
      <c r="AZ78" s="366"/>
      <c r="BA78" s="366"/>
      <c r="BB78" s="366"/>
      <c r="BC78" s="366"/>
      <c r="BD78" s="366"/>
      <c r="BE78" s="366"/>
      <c r="BF78" s="366"/>
      <c r="BG78" s="366"/>
      <c r="BH78" s="175"/>
      <c r="BI78" s="41"/>
      <c r="BX78" s="25"/>
      <c r="BY78" s="25"/>
      <c r="BZ78" s="25"/>
      <c r="CA78" s="25"/>
      <c r="CB78" s="25"/>
      <c r="CC78" s="25"/>
      <c r="CD78" s="25"/>
      <c r="CE78" s="25"/>
      <c r="CF78" s="25"/>
      <c r="CG78" s="25"/>
      <c r="CH78" s="25"/>
      <c r="CI78" s="25"/>
    </row>
    <row r="79" spans="1:87" ht="7.4" customHeight="1" x14ac:dyDescent="0.5">
      <c r="A79" s="42"/>
      <c r="B79" s="32"/>
      <c r="C79" s="369"/>
      <c r="D79" s="369"/>
      <c r="E79" s="369"/>
      <c r="F79" s="369"/>
      <c r="G79" s="369"/>
      <c r="H79" s="369"/>
      <c r="I79" s="369"/>
      <c r="J79" s="369"/>
      <c r="K79" s="369"/>
      <c r="L79" s="369"/>
      <c r="M79" s="369"/>
      <c r="N79" s="369"/>
      <c r="O79" s="369"/>
      <c r="P79" s="369"/>
      <c r="Q79" s="369"/>
      <c r="R79" s="369"/>
      <c r="S79" s="369"/>
      <c r="T79" s="369"/>
      <c r="U79" s="34"/>
      <c r="W79" s="32"/>
      <c r="X79" s="369"/>
      <c r="Y79" s="369"/>
      <c r="Z79" s="369"/>
      <c r="AA79" s="369"/>
      <c r="AB79" s="369"/>
      <c r="AC79" s="369"/>
      <c r="AD79" s="369"/>
      <c r="AE79" s="369"/>
      <c r="AF79" s="369"/>
      <c r="AG79" s="369"/>
      <c r="AH79" s="369"/>
      <c r="AI79" s="369"/>
      <c r="AJ79" s="369"/>
      <c r="AK79" s="369"/>
      <c r="AL79" s="369"/>
      <c r="AM79" s="369"/>
      <c r="AN79" s="369"/>
      <c r="AO79" s="369"/>
      <c r="AP79" s="34"/>
      <c r="AQ79" s="79"/>
      <c r="AR79" s="35"/>
      <c r="AS79" s="369"/>
      <c r="AT79" s="369"/>
      <c r="AU79" s="369"/>
      <c r="AV79" s="369"/>
      <c r="AW79" s="369"/>
      <c r="AX79" s="369"/>
      <c r="AY79" s="369"/>
      <c r="AZ79" s="369"/>
      <c r="BA79" s="369"/>
      <c r="BB79" s="369"/>
      <c r="BC79" s="369"/>
      <c r="BD79" s="369"/>
      <c r="BE79" s="369"/>
      <c r="BF79" s="369"/>
      <c r="BG79" s="369"/>
      <c r="BH79" s="34"/>
      <c r="BI79" s="41"/>
      <c r="BX79" s="25"/>
      <c r="BY79" s="25"/>
      <c r="BZ79" s="25"/>
      <c r="CA79" s="25"/>
      <c r="CB79" s="25"/>
      <c r="CC79" s="25"/>
      <c r="CD79" s="25"/>
      <c r="CE79" s="25"/>
      <c r="CF79" s="25"/>
      <c r="CG79" s="25"/>
      <c r="CH79" s="25"/>
      <c r="CI79" s="25"/>
    </row>
    <row r="80" spans="1:87" ht="7.4" customHeight="1" x14ac:dyDescent="0.5">
      <c r="A80" s="42"/>
      <c r="B80" s="58"/>
      <c r="C80" s="59"/>
      <c r="D80" s="59"/>
      <c r="E80" s="59"/>
      <c r="F80" s="59"/>
      <c r="G80" s="59"/>
      <c r="H80" s="59"/>
      <c r="I80" s="59"/>
      <c r="J80" s="59"/>
      <c r="K80" s="59"/>
      <c r="L80" s="59"/>
      <c r="M80" s="59"/>
      <c r="N80" s="38"/>
      <c r="O80" s="39"/>
      <c r="P80" s="39"/>
      <c r="Q80" s="39"/>
      <c r="R80" s="89"/>
      <c r="S80" s="89"/>
      <c r="T80" s="89"/>
      <c r="U80" s="40"/>
      <c r="W80" s="58"/>
      <c r="X80" s="511" t="s">
        <v>91</v>
      </c>
      <c r="Y80" s="511"/>
      <c r="Z80" s="511"/>
      <c r="AA80" s="511"/>
      <c r="AB80" s="511"/>
      <c r="AC80" s="511"/>
      <c r="AD80" s="511"/>
      <c r="AE80" s="511"/>
      <c r="AF80" s="511"/>
      <c r="AG80" s="511"/>
      <c r="AH80" s="512"/>
      <c r="AI80" s="38"/>
      <c r="AJ80" s="39"/>
      <c r="AK80" s="39"/>
      <c r="AL80" s="39"/>
      <c r="AM80" s="89"/>
      <c r="AN80" s="89"/>
      <c r="AO80" s="89"/>
      <c r="AP80" s="176"/>
      <c r="AQ80" s="79"/>
      <c r="AR80" s="61"/>
      <c r="AS80" s="62"/>
      <c r="AT80" s="62"/>
      <c r="AU80" s="62"/>
      <c r="AV80" s="62"/>
      <c r="AW80" s="62"/>
      <c r="AX80" s="62"/>
      <c r="AY80" s="62"/>
      <c r="AZ80" s="62"/>
      <c r="BA80" s="62"/>
      <c r="BB80" s="62"/>
      <c r="BC80" s="62"/>
      <c r="BD80" s="62"/>
      <c r="BE80" s="38"/>
      <c r="BF80" s="39"/>
      <c r="BG80" s="39"/>
      <c r="BH80" s="40"/>
      <c r="BI80" s="41"/>
      <c r="BK80" s="58"/>
      <c r="BL80" s="456" t="s">
        <v>95</v>
      </c>
      <c r="BM80" s="456"/>
      <c r="BN80" s="456"/>
      <c r="BO80" s="456"/>
      <c r="BP80" s="456"/>
      <c r="BQ80" s="456"/>
      <c r="BR80" s="456"/>
      <c r="BS80" s="456"/>
      <c r="BT80" s="456"/>
      <c r="BU80" s="456"/>
      <c r="BV80" s="213"/>
      <c r="BW80" s="38"/>
      <c r="BX80" s="89"/>
      <c r="BY80" s="89"/>
      <c r="BZ80" s="89"/>
      <c r="CA80" s="89"/>
      <c r="CB80" s="89"/>
      <c r="CC80" s="89"/>
      <c r="CD80" s="40"/>
      <c r="CE80" s="108"/>
      <c r="CF80" s="108"/>
      <c r="CG80" s="108"/>
      <c r="CH80" s="108"/>
      <c r="CI80" s="108"/>
    </row>
    <row r="81" spans="1:126" ht="7.4" customHeight="1" x14ac:dyDescent="0.5">
      <c r="A81" s="42"/>
      <c r="B81" s="61"/>
      <c r="C81" s="400" t="s">
        <v>85</v>
      </c>
      <c r="D81" s="400"/>
      <c r="E81" s="400"/>
      <c r="F81" s="400"/>
      <c r="G81" s="400"/>
      <c r="H81" s="400"/>
      <c r="I81" s="400"/>
      <c r="J81" s="400"/>
      <c r="K81" s="400"/>
      <c r="L81" s="400"/>
      <c r="M81" s="400"/>
      <c r="N81" s="461" t="s">
        <v>86</v>
      </c>
      <c r="O81" s="462"/>
      <c r="P81" s="462"/>
      <c r="Q81" s="462"/>
      <c r="R81" s="462"/>
      <c r="S81" s="405" t="s">
        <v>69</v>
      </c>
      <c r="T81" s="405"/>
      <c r="U81" s="411"/>
      <c r="W81" s="61"/>
      <c r="X81" s="455"/>
      <c r="Y81" s="455"/>
      <c r="Z81" s="455"/>
      <c r="AA81" s="455"/>
      <c r="AB81" s="455"/>
      <c r="AC81" s="455"/>
      <c r="AD81" s="455"/>
      <c r="AE81" s="455"/>
      <c r="AF81" s="455"/>
      <c r="AG81" s="455"/>
      <c r="AH81" s="458"/>
      <c r="AI81" s="452" t="s">
        <v>42</v>
      </c>
      <c r="AJ81" s="453"/>
      <c r="AK81" s="453"/>
      <c r="AL81" s="453"/>
      <c r="AM81" s="453"/>
      <c r="AN81" s="453"/>
      <c r="AO81" s="453"/>
      <c r="AP81" s="454"/>
      <c r="AQ81" s="79"/>
      <c r="AR81" s="61"/>
      <c r="AS81" s="400" t="s">
        <v>140</v>
      </c>
      <c r="AT81" s="400"/>
      <c r="AU81" s="400"/>
      <c r="AV81" s="400"/>
      <c r="AW81" s="400"/>
      <c r="AX81" s="400"/>
      <c r="AY81" s="400"/>
      <c r="AZ81" s="400"/>
      <c r="BA81" s="400"/>
      <c r="BB81" s="400"/>
      <c r="BC81" s="400"/>
      <c r="BD81" s="400"/>
      <c r="BE81" s="42"/>
      <c r="BF81" s="449">
        <v>0.02</v>
      </c>
      <c r="BG81" s="449"/>
      <c r="BH81" s="450"/>
      <c r="BI81" s="41"/>
      <c r="BK81" s="61"/>
      <c r="BL81" s="457"/>
      <c r="BM81" s="457"/>
      <c r="BN81" s="457"/>
      <c r="BO81" s="457"/>
      <c r="BP81" s="457"/>
      <c r="BQ81" s="457"/>
      <c r="BR81" s="457"/>
      <c r="BS81" s="457"/>
      <c r="BT81" s="457"/>
      <c r="BU81" s="457"/>
      <c r="BV81" s="214"/>
      <c r="BW81" s="310">
        <v>1000</v>
      </c>
      <c r="BX81" s="311"/>
      <c r="BY81" s="311"/>
      <c r="BZ81" s="311"/>
      <c r="CA81" s="311"/>
      <c r="CB81" s="405" t="s">
        <v>69</v>
      </c>
      <c r="CC81" s="405"/>
      <c r="CD81" s="411"/>
      <c r="CE81" s="108"/>
      <c r="CF81" s="108"/>
      <c r="CG81" s="108"/>
      <c r="CH81" s="108"/>
      <c r="CI81" s="108"/>
    </row>
    <row r="82" spans="1:126" ht="7.4" customHeight="1" x14ac:dyDescent="0.5">
      <c r="A82" s="42"/>
      <c r="B82" s="61"/>
      <c r="C82" s="400"/>
      <c r="D82" s="400"/>
      <c r="E82" s="400"/>
      <c r="F82" s="400"/>
      <c r="G82" s="400"/>
      <c r="H82" s="400"/>
      <c r="I82" s="400"/>
      <c r="J82" s="400"/>
      <c r="K82" s="400"/>
      <c r="L82" s="400"/>
      <c r="M82" s="400"/>
      <c r="N82" s="461"/>
      <c r="O82" s="462"/>
      <c r="P82" s="462"/>
      <c r="Q82" s="462"/>
      <c r="R82" s="462"/>
      <c r="S82" s="405"/>
      <c r="T82" s="405"/>
      <c r="U82" s="411"/>
      <c r="W82" s="61"/>
      <c r="X82" s="455"/>
      <c r="Y82" s="455"/>
      <c r="Z82" s="455"/>
      <c r="AA82" s="455"/>
      <c r="AB82" s="455"/>
      <c r="AC82" s="455"/>
      <c r="AD82" s="455"/>
      <c r="AE82" s="455"/>
      <c r="AF82" s="455"/>
      <c r="AG82" s="455"/>
      <c r="AH82" s="458"/>
      <c r="AI82" s="452"/>
      <c r="AJ82" s="453"/>
      <c r="AK82" s="453"/>
      <c r="AL82" s="453"/>
      <c r="AM82" s="453"/>
      <c r="AN82" s="453"/>
      <c r="AO82" s="453"/>
      <c r="AP82" s="454"/>
      <c r="AQ82" s="79"/>
      <c r="AR82" s="61"/>
      <c r="AS82" s="400"/>
      <c r="AT82" s="400"/>
      <c r="AU82" s="400"/>
      <c r="AV82" s="400"/>
      <c r="AW82" s="400"/>
      <c r="AX82" s="400"/>
      <c r="AY82" s="400"/>
      <c r="AZ82" s="400"/>
      <c r="BA82" s="400"/>
      <c r="BB82" s="400"/>
      <c r="BC82" s="400"/>
      <c r="BD82" s="400"/>
      <c r="BE82" s="42"/>
      <c r="BF82" s="449"/>
      <c r="BG82" s="449"/>
      <c r="BH82" s="450"/>
      <c r="BI82" s="41"/>
      <c r="BK82" s="61"/>
      <c r="BL82" s="457"/>
      <c r="BM82" s="457"/>
      <c r="BN82" s="457"/>
      <c r="BO82" s="457"/>
      <c r="BP82" s="457"/>
      <c r="BQ82" s="457"/>
      <c r="BR82" s="457"/>
      <c r="BS82" s="457"/>
      <c r="BT82" s="457"/>
      <c r="BU82" s="457"/>
      <c r="BV82" s="214"/>
      <c r="BW82" s="310"/>
      <c r="BX82" s="311"/>
      <c r="BY82" s="311"/>
      <c r="BZ82" s="311"/>
      <c r="CA82" s="311"/>
      <c r="CB82" s="405"/>
      <c r="CC82" s="405"/>
      <c r="CD82" s="411"/>
    </row>
    <row r="83" spans="1:126" ht="7.4" customHeight="1" x14ac:dyDescent="0.5">
      <c r="A83" s="42"/>
      <c r="B83" s="61"/>
      <c r="C83" s="62"/>
      <c r="D83" s="62"/>
      <c r="E83" s="62"/>
      <c r="F83" s="62"/>
      <c r="G83" s="62"/>
      <c r="H83" s="62"/>
      <c r="I83" s="62"/>
      <c r="J83" s="62"/>
      <c r="K83" s="62"/>
      <c r="L83" s="62"/>
      <c r="M83" s="62"/>
      <c r="N83" s="42"/>
      <c r="U83" s="41"/>
      <c r="W83" s="61"/>
      <c r="X83" s="62"/>
      <c r="Y83" s="62"/>
      <c r="Z83" s="62"/>
      <c r="AA83" s="62"/>
      <c r="AB83" s="62"/>
      <c r="AC83" s="62"/>
      <c r="AD83" s="62"/>
      <c r="AE83" s="62"/>
      <c r="AF83" s="62"/>
      <c r="AG83" s="62"/>
      <c r="AH83" s="62"/>
      <c r="AI83" s="50"/>
      <c r="AJ83" s="51"/>
      <c r="AK83" s="51"/>
      <c r="AL83" s="51"/>
      <c r="AM83" s="97"/>
      <c r="AN83" s="97"/>
      <c r="AO83" s="97"/>
      <c r="AP83" s="98"/>
      <c r="AQ83" s="79"/>
      <c r="AR83" s="61"/>
      <c r="AS83" s="400" t="s">
        <v>141</v>
      </c>
      <c r="AT83" s="400"/>
      <c r="AU83" s="400"/>
      <c r="AV83" s="400"/>
      <c r="AW83" s="400"/>
      <c r="AX83" s="400"/>
      <c r="AY83" s="400"/>
      <c r="AZ83" s="400"/>
      <c r="BA83" s="400"/>
      <c r="BB83" s="400"/>
      <c r="BC83" s="400"/>
      <c r="BD83" s="400"/>
      <c r="BE83" s="42"/>
      <c r="BF83" s="449"/>
      <c r="BG83" s="449"/>
      <c r="BH83" s="450"/>
      <c r="BI83" s="41"/>
      <c r="BK83" s="64"/>
      <c r="BL83" s="65"/>
      <c r="BM83" s="65"/>
      <c r="BN83" s="65"/>
      <c r="BO83" s="65"/>
      <c r="BP83" s="65"/>
      <c r="BQ83" s="65"/>
      <c r="BR83" s="65"/>
      <c r="BS83" s="65"/>
      <c r="BT83" s="65"/>
      <c r="BU83" s="65"/>
      <c r="BV83" s="65"/>
      <c r="BW83" s="50"/>
      <c r="BX83" s="51"/>
      <c r="BY83" s="51"/>
      <c r="BZ83" s="51"/>
      <c r="CA83" s="97"/>
      <c r="CB83" s="97"/>
      <c r="CC83" s="97"/>
      <c r="CD83" s="52"/>
    </row>
    <row r="84" spans="1:126" ht="7.4" customHeight="1" x14ac:dyDescent="0.5">
      <c r="A84" s="42"/>
      <c r="B84" s="61"/>
      <c r="C84" s="457" t="s">
        <v>142</v>
      </c>
      <c r="D84" s="457"/>
      <c r="E84" s="457"/>
      <c r="F84" s="457"/>
      <c r="G84" s="457"/>
      <c r="H84" s="457"/>
      <c r="I84" s="457"/>
      <c r="J84" s="457"/>
      <c r="K84" s="457"/>
      <c r="L84" s="457"/>
      <c r="M84" s="214"/>
      <c r="N84" s="38"/>
      <c r="O84" s="39"/>
      <c r="P84" s="39"/>
      <c r="Q84" s="39"/>
      <c r="R84" s="89"/>
      <c r="S84" s="89"/>
      <c r="T84" s="89"/>
      <c r="U84" s="40"/>
      <c r="W84" s="61"/>
      <c r="X84" s="455" t="s">
        <v>94</v>
      </c>
      <c r="Y84" s="455"/>
      <c r="Z84" s="455"/>
      <c r="AA84" s="455"/>
      <c r="AB84" s="455"/>
      <c r="AC84" s="455"/>
      <c r="AD84" s="455"/>
      <c r="AE84" s="455"/>
      <c r="AF84" s="455"/>
      <c r="AG84" s="455"/>
      <c r="AH84" s="455"/>
      <c r="AI84" s="38"/>
      <c r="AJ84" s="39"/>
      <c r="AK84" s="39"/>
      <c r="AL84" s="39"/>
      <c r="AM84" s="89"/>
      <c r="AN84" s="89"/>
      <c r="AO84" s="89"/>
      <c r="AP84" s="176"/>
      <c r="AQ84" s="79"/>
      <c r="AR84" s="61"/>
      <c r="AS84" s="400"/>
      <c r="AT84" s="400"/>
      <c r="AU84" s="400"/>
      <c r="AV84" s="400"/>
      <c r="AW84" s="400"/>
      <c r="AX84" s="400"/>
      <c r="AY84" s="400"/>
      <c r="AZ84" s="400"/>
      <c r="BA84" s="400"/>
      <c r="BB84" s="400"/>
      <c r="BC84" s="400"/>
      <c r="BD84" s="400"/>
      <c r="BE84" s="42"/>
      <c r="BF84" s="449"/>
      <c r="BG84" s="449"/>
      <c r="BH84" s="450"/>
      <c r="BI84" s="41"/>
    </row>
    <row r="85" spans="1:126" ht="7.4" customHeight="1" x14ac:dyDescent="0.5">
      <c r="A85" s="42"/>
      <c r="B85" s="61"/>
      <c r="C85" s="457"/>
      <c r="D85" s="457"/>
      <c r="E85" s="457"/>
      <c r="F85" s="457"/>
      <c r="G85" s="457"/>
      <c r="H85" s="457"/>
      <c r="I85" s="457"/>
      <c r="J85" s="457"/>
      <c r="K85" s="457"/>
      <c r="L85" s="457"/>
      <c r="M85" s="214"/>
      <c r="N85" s="349">
        <v>50</v>
      </c>
      <c r="O85" s="318"/>
      <c r="P85" s="318"/>
      <c r="Q85" s="318"/>
      <c r="R85" s="318"/>
      <c r="S85" s="405" t="s">
        <v>69</v>
      </c>
      <c r="T85" s="405"/>
      <c r="U85" s="411"/>
      <c r="W85" s="61"/>
      <c r="X85" s="455"/>
      <c r="Y85" s="455"/>
      <c r="Z85" s="455"/>
      <c r="AA85" s="455"/>
      <c r="AB85" s="455"/>
      <c r="AC85" s="455"/>
      <c r="AD85" s="455"/>
      <c r="AE85" s="455"/>
      <c r="AF85" s="455"/>
      <c r="AG85" s="455"/>
      <c r="AH85" s="455"/>
      <c r="AI85" s="452" t="s">
        <v>143</v>
      </c>
      <c r="AJ85" s="453"/>
      <c r="AK85" s="453"/>
      <c r="AL85" s="453"/>
      <c r="AM85" s="453"/>
      <c r="AN85" s="453"/>
      <c r="AO85" s="453"/>
      <c r="AP85" s="454"/>
      <c r="AQ85" s="79"/>
      <c r="AR85" s="61"/>
      <c r="AS85" s="62"/>
      <c r="AT85" s="62"/>
      <c r="AU85" s="62"/>
      <c r="AV85" s="62"/>
      <c r="AW85" s="62"/>
      <c r="AX85" s="62"/>
      <c r="AY85" s="62"/>
      <c r="AZ85" s="62"/>
      <c r="BA85" s="62"/>
      <c r="BB85" s="62"/>
      <c r="BC85" s="62"/>
      <c r="BD85" s="62"/>
      <c r="BE85" s="50"/>
      <c r="BF85" s="51"/>
      <c r="BG85" s="51"/>
      <c r="BH85" s="52"/>
      <c r="BI85" s="41"/>
    </row>
    <row r="86" spans="1:126" ht="7.4" customHeight="1" x14ac:dyDescent="0.5">
      <c r="A86" s="42"/>
      <c r="B86" s="61"/>
      <c r="C86" s="457"/>
      <c r="D86" s="457"/>
      <c r="E86" s="457"/>
      <c r="F86" s="457"/>
      <c r="G86" s="457"/>
      <c r="H86" s="457"/>
      <c r="I86" s="457"/>
      <c r="J86" s="457"/>
      <c r="K86" s="457"/>
      <c r="L86" s="457"/>
      <c r="M86" s="214"/>
      <c r="N86" s="349"/>
      <c r="O86" s="318"/>
      <c r="P86" s="318"/>
      <c r="Q86" s="318"/>
      <c r="R86" s="318"/>
      <c r="S86" s="405"/>
      <c r="T86" s="405"/>
      <c r="U86" s="411"/>
      <c r="W86" s="61"/>
      <c r="X86" s="455"/>
      <c r="Y86" s="455"/>
      <c r="Z86" s="455"/>
      <c r="AA86" s="455"/>
      <c r="AB86" s="455"/>
      <c r="AC86" s="455"/>
      <c r="AD86" s="455"/>
      <c r="AE86" s="455"/>
      <c r="AF86" s="455"/>
      <c r="AG86" s="455"/>
      <c r="AH86" s="455"/>
      <c r="AI86" s="452"/>
      <c r="AJ86" s="453"/>
      <c r="AK86" s="453"/>
      <c r="AL86" s="453"/>
      <c r="AM86" s="453"/>
      <c r="AN86" s="453"/>
      <c r="AO86" s="453"/>
      <c r="AP86" s="454"/>
      <c r="AQ86" s="79"/>
      <c r="AR86" s="61"/>
      <c r="AS86" s="62"/>
      <c r="AT86" s="62"/>
      <c r="AU86" s="62"/>
      <c r="AV86" s="62"/>
      <c r="AW86" s="62"/>
      <c r="AX86" s="62"/>
      <c r="AY86" s="62"/>
      <c r="AZ86" s="62"/>
      <c r="BA86" s="62"/>
      <c r="BB86" s="62"/>
      <c r="BC86" s="62"/>
      <c r="BD86" s="63"/>
      <c r="BH86" s="41"/>
      <c r="BI86" s="41"/>
      <c r="BK86" s="351">
        <v>1</v>
      </c>
      <c r="BL86" s="352"/>
      <c r="BM86" s="353"/>
      <c r="BN86" s="351">
        <v>2</v>
      </c>
      <c r="BO86" s="352"/>
      <c r="BP86" s="353"/>
      <c r="BQ86" s="351">
        <v>3</v>
      </c>
      <c r="BR86" s="352"/>
      <c r="BS86" s="353"/>
      <c r="BT86" s="351">
        <v>4</v>
      </c>
      <c r="BU86" s="352"/>
      <c r="BV86" s="353"/>
      <c r="BW86" s="351">
        <v>5</v>
      </c>
      <c r="BX86" s="352"/>
      <c r="BY86" s="353"/>
      <c r="BZ86" s="351">
        <v>6</v>
      </c>
      <c r="CA86" s="352"/>
      <c r="CB86" s="353"/>
      <c r="CC86" s="351">
        <v>7</v>
      </c>
      <c r="CD86" s="352"/>
      <c r="CE86" s="353"/>
      <c r="CF86" s="351">
        <v>8</v>
      </c>
      <c r="CG86" s="352"/>
      <c r="CH86" s="353"/>
      <c r="CI86" s="351">
        <v>9</v>
      </c>
      <c r="CJ86" s="352"/>
      <c r="CK86" s="353"/>
      <c r="CL86" s="351">
        <v>10</v>
      </c>
      <c r="CM86" s="352"/>
      <c r="CN86" s="353"/>
      <c r="CO86" s="351">
        <v>11</v>
      </c>
      <c r="CP86" s="352"/>
      <c r="CQ86" s="353"/>
      <c r="CR86" s="351">
        <v>12</v>
      </c>
      <c r="CS86" s="352"/>
      <c r="CT86" s="353"/>
      <c r="CU86" s="351">
        <v>13</v>
      </c>
      <c r="CV86" s="352"/>
      <c r="CW86" s="353"/>
      <c r="CX86" s="351">
        <v>14</v>
      </c>
      <c r="CY86" s="352"/>
      <c r="CZ86" s="353"/>
      <c r="DA86" s="351">
        <v>15</v>
      </c>
      <c r="DB86" s="352"/>
      <c r="DC86" s="353"/>
      <c r="DD86" s="351">
        <v>16</v>
      </c>
      <c r="DE86" s="352"/>
      <c r="DF86" s="353"/>
    </row>
    <row r="87" spans="1:126" ht="7.4" customHeight="1" x14ac:dyDescent="0.5">
      <c r="A87" s="42"/>
      <c r="B87" s="61"/>
      <c r="C87" s="180"/>
      <c r="D87" s="180"/>
      <c r="E87" s="180"/>
      <c r="F87" s="180"/>
      <c r="G87" s="180"/>
      <c r="H87" s="180"/>
      <c r="I87" s="180"/>
      <c r="J87" s="180"/>
      <c r="K87" s="180"/>
      <c r="L87" s="180"/>
      <c r="M87" s="180"/>
      <c r="N87" s="42"/>
      <c r="O87" s="25"/>
      <c r="P87" s="25"/>
      <c r="Q87" s="25"/>
      <c r="R87" s="25"/>
      <c r="S87" s="25"/>
      <c r="T87" s="25"/>
      <c r="U87" s="44"/>
      <c r="W87" s="61"/>
      <c r="X87" s="62"/>
      <c r="Y87" s="62"/>
      <c r="Z87" s="62"/>
      <c r="AA87" s="62"/>
      <c r="AB87" s="62"/>
      <c r="AC87" s="62"/>
      <c r="AD87" s="62"/>
      <c r="AE87" s="62"/>
      <c r="AF87" s="62"/>
      <c r="AG87" s="62"/>
      <c r="AH87" s="62"/>
      <c r="AI87" s="50"/>
      <c r="AJ87" s="51"/>
      <c r="AK87" s="51"/>
      <c r="AL87" s="51"/>
      <c r="AM87" s="97"/>
      <c r="AN87" s="97"/>
      <c r="AO87" s="97"/>
      <c r="AP87" s="98"/>
      <c r="AQ87" s="79"/>
      <c r="AR87" s="61"/>
      <c r="AS87" s="400" t="s">
        <v>93</v>
      </c>
      <c r="AT87" s="400"/>
      <c r="AU87" s="400"/>
      <c r="AV87" s="400"/>
      <c r="AW87" s="400"/>
      <c r="AX87" s="400"/>
      <c r="AY87" s="400"/>
      <c r="AZ87" s="400"/>
      <c r="BA87" s="400"/>
      <c r="BB87" s="400"/>
      <c r="BC87" s="400"/>
      <c r="BD87" s="448"/>
      <c r="BF87" s="449">
        <v>0.04</v>
      </c>
      <c r="BG87" s="449"/>
      <c r="BH87" s="450"/>
      <c r="BI87" s="41"/>
      <c r="BK87" s="354"/>
      <c r="BL87" s="355"/>
      <c r="BM87" s="356"/>
      <c r="BN87" s="354"/>
      <c r="BO87" s="355"/>
      <c r="BP87" s="356"/>
      <c r="BQ87" s="354"/>
      <c r="BR87" s="355"/>
      <c r="BS87" s="356"/>
      <c r="BT87" s="354"/>
      <c r="BU87" s="355"/>
      <c r="BV87" s="356"/>
      <c r="BW87" s="354"/>
      <c r="BX87" s="355"/>
      <c r="BY87" s="356"/>
      <c r="BZ87" s="354"/>
      <c r="CA87" s="355"/>
      <c r="CB87" s="356"/>
      <c r="CC87" s="354"/>
      <c r="CD87" s="355"/>
      <c r="CE87" s="356"/>
      <c r="CF87" s="354"/>
      <c r="CG87" s="355"/>
      <c r="CH87" s="356"/>
      <c r="CI87" s="354"/>
      <c r="CJ87" s="355"/>
      <c r="CK87" s="356"/>
      <c r="CL87" s="354"/>
      <c r="CM87" s="355"/>
      <c r="CN87" s="356"/>
      <c r="CO87" s="354"/>
      <c r="CP87" s="355"/>
      <c r="CQ87" s="356"/>
      <c r="CR87" s="354"/>
      <c r="CS87" s="355"/>
      <c r="CT87" s="356"/>
      <c r="CU87" s="354"/>
      <c r="CV87" s="355"/>
      <c r="CW87" s="356"/>
      <c r="CX87" s="354"/>
      <c r="CY87" s="355"/>
      <c r="CZ87" s="356"/>
      <c r="DA87" s="354"/>
      <c r="DB87" s="355"/>
      <c r="DC87" s="356"/>
      <c r="DD87" s="354"/>
      <c r="DE87" s="355"/>
      <c r="DF87" s="356"/>
    </row>
    <row r="88" spans="1:126" ht="7.4" customHeight="1" x14ac:dyDescent="0.5">
      <c r="A88" s="42"/>
      <c r="B88" s="61"/>
      <c r="C88" s="457" t="s">
        <v>144</v>
      </c>
      <c r="D88" s="457"/>
      <c r="E88" s="457"/>
      <c r="F88" s="457"/>
      <c r="G88" s="457"/>
      <c r="H88" s="457"/>
      <c r="I88" s="457"/>
      <c r="J88" s="457"/>
      <c r="K88" s="457"/>
      <c r="L88" s="457"/>
      <c r="M88" s="214"/>
      <c r="N88" s="38"/>
      <c r="O88" s="39"/>
      <c r="P88" s="39"/>
      <c r="Q88" s="39"/>
      <c r="R88" s="89"/>
      <c r="S88" s="89"/>
      <c r="T88" s="89"/>
      <c r="U88" s="40"/>
      <c r="W88" s="61"/>
      <c r="X88" s="180"/>
      <c r="Y88" s="180"/>
      <c r="Z88" s="180"/>
      <c r="AA88" s="180"/>
      <c r="AB88" s="180"/>
      <c r="AC88" s="180"/>
      <c r="AD88" s="180"/>
      <c r="AE88" s="180"/>
      <c r="AF88" s="180"/>
      <c r="AG88" s="180"/>
      <c r="AH88" s="215"/>
      <c r="AI88" s="38"/>
      <c r="AJ88" s="39"/>
      <c r="AK88" s="39"/>
      <c r="AL88" s="39"/>
      <c r="AM88" s="89"/>
      <c r="AN88" s="89"/>
      <c r="AO88" s="89"/>
      <c r="AP88" s="176"/>
      <c r="AQ88" s="79"/>
      <c r="AR88" s="61"/>
      <c r="AS88" s="400"/>
      <c r="AT88" s="400"/>
      <c r="AU88" s="400"/>
      <c r="AV88" s="400"/>
      <c r="AW88" s="400"/>
      <c r="AX88" s="400"/>
      <c r="AY88" s="400"/>
      <c r="AZ88" s="400"/>
      <c r="BA88" s="400"/>
      <c r="BB88" s="400"/>
      <c r="BC88" s="400"/>
      <c r="BD88" s="448"/>
      <c r="BF88" s="449"/>
      <c r="BG88" s="449"/>
      <c r="BH88" s="450"/>
      <c r="BI88" s="41"/>
      <c r="BK88" s="445" cm="1">
        <f t="array" ref="BK88">IF(M54&gt;0,MIN(IF($DY$110:$ME$110*1000&gt;=BK94,$DY$110:$ME$110*1000)),0)/1000</f>
        <v>29.25</v>
      </c>
      <c r="BL88" s="446"/>
      <c r="BM88" s="447"/>
      <c r="BN88" s="445" cm="1">
        <f t="array" ref="BN88">IF(P54&gt;0,MIN(IF($DY$110:$ME$110*1000&gt;=BN94,$DY$110:$ME$110*1000)),0)/1000</f>
        <v>0</v>
      </c>
      <c r="BO88" s="446"/>
      <c r="BP88" s="447"/>
      <c r="BQ88" s="445" cm="1">
        <f t="array" ref="BQ88">IF(S54&gt;0,MIN(IF($DY$110:$ME$110*1000&gt;=BQ94,$DY$110:$ME$110*1000)),0)/1000</f>
        <v>0</v>
      </c>
      <c r="BR88" s="446"/>
      <c r="BS88" s="447"/>
      <c r="BT88" s="445" cm="1">
        <f t="array" ref="BT88">IF(V54&gt;0,MIN(IF($DY$110:$ME$110*1000&gt;=BT94,$DY$110:$ME$110*1000)),0)/1000</f>
        <v>0</v>
      </c>
      <c r="BU88" s="446"/>
      <c r="BV88" s="447"/>
      <c r="BW88" s="445" cm="1">
        <f t="array" ref="BW88">IF(Y54&gt;0,MIN(IF($DY$110:$ME$110*1000&gt;=BW94,$DY$110:$ME$110*1000)),0)/1000</f>
        <v>0</v>
      </c>
      <c r="BX88" s="446"/>
      <c r="BY88" s="447"/>
      <c r="BZ88" s="445" cm="1">
        <f t="array" ref="BZ88">IF(AB54&gt;0,MIN(IF($DY$110:$ME$110*1000&gt;=BZ94,$DY$110:$ME$110*1000)),0)/1000</f>
        <v>0</v>
      </c>
      <c r="CA88" s="446"/>
      <c r="CB88" s="447"/>
      <c r="CC88" s="445" cm="1">
        <f t="array" ref="CC88">IF(AE54&gt;0,MIN(IF($DY$110:$ME$110*1000&gt;=CC94,$DY$110:$ME$110*1000)),0)/1000</f>
        <v>0</v>
      </c>
      <c r="CD88" s="446"/>
      <c r="CE88" s="447"/>
      <c r="CF88" s="445" cm="1">
        <f t="array" ref="CF88">IF(AH54&gt;0,MIN(IF($DY$110:$ME$110*1000&gt;=CF94,$DY$110:$ME$110*1000)),0)/1000</f>
        <v>0</v>
      </c>
      <c r="CG88" s="446"/>
      <c r="CH88" s="447"/>
      <c r="CI88" s="445" cm="1">
        <f t="array" ref="CI88">IF(AK54&gt;0,MIN(IF($DY$110:$ME$110*1000&gt;=CI94,$DY$110:$ME$110*1000)),0)/1000</f>
        <v>0</v>
      </c>
      <c r="CJ88" s="446"/>
      <c r="CK88" s="447"/>
      <c r="CL88" s="445" cm="1">
        <f t="array" ref="CL88">IF(AN54&gt;0,MIN(IF($DY$110:$ME$110*1000&gt;=CL94,$DY$110:$ME$110*1000)),0)/1000</f>
        <v>0</v>
      </c>
      <c r="CM88" s="446"/>
      <c r="CN88" s="447"/>
      <c r="CO88" s="445" cm="1">
        <f t="array" ref="CO88">IF(AQ54&gt;0,MIN(IF($DY$110:$ME$110*1000&gt;=CO94,$DY$110:$ME$110*1000)),0)/1000</f>
        <v>0</v>
      </c>
      <c r="CP88" s="446"/>
      <c r="CQ88" s="447"/>
      <c r="CR88" s="445" cm="1">
        <f t="array" ref="CR88">IF(AT54&gt;0,MIN(IF($DY$110:$ME$110*1000&gt;=CR94,$DY$110:$ME$110*1000)),0)/1000</f>
        <v>0</v>
      </c>
      <c r="CS88" s="446"/>
      <c r="CT88" s="447"/>
      <c r="CU88" s="445" cm="1">
        <f t="array" ref="CU88">IF(AW54&gt;0,MIN(IF($DY$110:$ME$110*1000&gt;=CU94,$DY$110:$ME$110*1000)),0)/1000</f>
        <v>0</v>
      </c>
      <c r="CV88" s="446"/>
      <c r="CW88" s="447"/>
      <c r="CX88" s="445" cm="1">
        <f t="array" ref="CX88">IF(AZ54&gt;0,MIN(IF($DY$110:$ME$110*1000&gt;=CX94,$DY$110:$ME$110*1000)),0)/1000</f>
        <v>0</v>
      </c>
      <c r="CY88" s="446"/>
      <c r="CZ88" s="447"/>
      <c r="DA88" s="445" cm="1">
        <f t="array" ref="DA88">IF(BC54&gt;0,MIN(IF($DY$110:$ME$110*1000&gt;=DA94,$DY$110:$ME$110*1000)),0)/1000</f>
        <v>0</v>
      </c>
      <c r="DB88" s="446"/>
      <c r="DC88" s="447"/>
      <c r="DD88" s="445" cm="1">
        <f t="array" ref="DD88">IF(BF54&gt;0,MIN(IF($DY$110:$ME$110*1000&gt;=DD94,$DY$110:$ME$110*1000)),0)/1000</f>
        <v>0</v>
      </c>
      <c r="DE88" s="446"/>
      <c r="DF88" s="447"/>
      <c r="DG88" s="38"/>
      <c r="DH88" s="380" t="s">
        <v>100</v>
      </c>
      <c r="DI88" s="380"/>
      <c r="DJ88" s="380"/>
      <c r="DK88" s="380"/>
      <c r="DL88" s="380"/>
      <c r="DM88" s="380"/>
      <c r="DN88" s="380"/>
      <c r="DO88" s="380"/>
      <c r="DP88" s="380"/>
      <c r="DQ88" s="380"/>
      <c r="DR88" s="380"/>
      <c r="DS88" s="380"/>
      <c r="DT88" s="380"/>
      <c r="DU88" s="380"/>
      <c r="DV88" s="40"/>
    </row>
    <row r="89" spans="1:126" ht="7.4" customHeight="1" x14ac:dyDescent="0.5">
      <c r="A89" s="42"/>
      <c r="B89" s="61"/>
      <c r="C89" s="457"/>
      <c r="D89" s="457"/>
      <c r="E89" s="457"/>
      <c r="F89" s="457"/>
      <c r="G89" s="457"/>
      <c r="H89" s="457"/>
      <c r="I89" s="457"/>
      <c r="J89" s="457"/>
      <c r="K89" s="457"/>
      <c r="L89" s="457"/>
      <c r="M89" s="214"/>
      <c r="N89" s="349">
        <v>250</v>
      </c>
      <c r="O89" s="318"/>
      <c r="P89" s="318"/>
      <c r="Q89" s="318"/>
      <c r="R89" s="318"/>
      <c r="S89" s="405" t="s">
        <v>69</v>
      </c>
      <c r="T89" s="405"/>
      <c r="U89" s="411"/>
      <c r="W89" s="61"/>
      <c r="X89" s="400" t="s">
        <v>145</v>
      </c>
      <c r="Y89" s="400"/>
      <c r="Z89" s="400"/>
      <c r="AA89" s="400"/>
      <c r="AB89" s="400"/>
      <c r="AC89" s="400"/>
      <c r="AD89" s="400"/>
      <c r="AE89" s="400"/>
      <c r="AF89" s="400"/>
      <c r="AG89" s="400"/>
      <c r="AH89" s="448"/>
      <c r="AI89" s="452" t="s">
        <v>42</v>
      </c>
      <c r="AJ89" s="453"/>
      <c r="AK89" s="453"/>
      <c r="AL89" s="453"/>
      <c r="AM89" s="453"/>
      <c r="AN89" s="453"/>
      <c r="AO89" s="453"/>
      <c r="AP89" s="454"/>
      <c r="AQ89" s="79"/>
      <c r="AR89" s="61"/>
      <c r="AS89" s="62"/>
      <c r="AT89" s="62"/>
      <c r="AU89" s="62"/>
      <c r="AV89" s="62"/>
      <c r="AW89" s="62"/>
      <c r="AX89" s="62"/>
      <c r="AY89" s="62"/>
      <c r="AZ89" s="62"/>
      <c r="BA89" s="62"/>
      <c r="BB89" s="62"/>
      <c r="BC89" s="62"/>
      <c r="BD89" s="63"/>
      <c r="BE89" s="51"/>
      <c r="BF89" s="51"/>
      <c r="BG89" s="51"/>
      <c r="BH89" s="52"/>
      <c r="BI89" s="41"/>
      <c r="BK89" s="357"/>
      <c r="BL89" s="358"/>
      <c r="BM89" s="359"/>
      <c r="BN89" s="357"/>
      <c r="BO89" s="358"/>
      <c r="BP89" s="359"/>
      <c r="BQ89" s="357"/>
      <c r="BR89" s="358"/>
      <c r="BS89" s="359"/>
      <c r="BT89" s="357"/>
      <c r="BU89" s="358"/>
      <c r="BV89" s="359"/>
      <c r="BW89" s="357"/>
      <c r="BX89" s="358"/>
      <c r="BY89" s="359"/>
      <c r="BZ89" s="357"/>
      <c r="CA89" s="358"/>
      <c r="CB89" s="359"/>
      <c r="CC89" s="357"/>
      <c r="CD89" s="358"/>
      <c r="CE89" s="359"/>
      <c r="CF89" s="357"/>
      <c r="CG89" s="358"/>
      <c r="CH89" s="359"/>
      <c r="CI89" s="357"/>
      <c r="CJ89" s="358"/>
      <c r="CK89" s="359"/>
      <c r="CL89" s="357"/>
      <c r="CM89" s="358"/>
      <c r="CN89" s="359"/>
      <c r="CO89" s="357"/>
      <c r="CP89" s="358"/>
      <c r="CQ89" s="359"/>
      <c r="CR89" s="357"/>
      <c r="CS89" s="358"/>
      <c r="CT89" s="359"/>
      <c r="CU89" s="357"/>
      <c r="CV89" s="358"/>
      <c r="CW89" s="359"/>
      <c r="CX89" s="357"/>
      <c r="CY89" s="358"/>
      <c r="CZ89" s="359"/>
      <c r="DA89" s="357"/>
      <c r="DB89" s="358"/>
      <c r="DC89" s="359"/>
      <c r="DD89" s="357"/>
      <c r="DE89" s="358"/>
      <c r="DF89" s="359"/>
      <c r="DG89" s="42"/>
      <c r="DH89" s="382"/>
      <c r="DI89" s="382"/>
      <c r="DJ89" s="382"/>
      <c r="DK89" s="382"/>
      <c r="DL89" s="382"/>
      <c r="DM89" s="382"/>
      <c r="DN89" s="382"/>
      <c r="DO89" s="382"/>
      <c r="DP89" s="382"/>
      <c r="DQ89" s="382"/>
      <c r="DR89" s="382"/>
      <c r="DS89" s="382"/>
      <c r="DT89" s="382"/>
      <c r="DU89" s="382"/>
      <c r="DV89" s="41"/>
    </row>
    <row r="90" spans="1:126" ht="7.4" customHeight="1" x14ac:dyDescent="0.5">
      <c r="A90" s="42"/>
      <c r="B90" s="61"/>
      <c r="C90" s="457"/>
      <c r="D90" s="457"/>
      <c r="E90" s="457"/>
      <c r="F90" s="457"/>
      <c r="G90" s="457"/>
      <c r="H90" s="457"/>
      <c r="I90" s="457"/>
      <c r="J90" s="457"/>
      <c r="K90" s="457"/>
      <c r="L90" s="457"/>
      <c r="M90" s="214"/>
      <c r="N90" s="349"/>
      <c r="O90" s="318"/>
      <c r="P90" s="318"/>
      <c r="Q90" s="318"/>
      <c r="R90" s="318"/>
      <c r="S90" s="405"/>
      <c r="T90" s="405"/>
      <c r="U90" s="411"/>
      <c r="W90" s="61"/>
      <c r="X90" s="400"/>
      <c r="Y90" s="400"/>
      <c r="Z90" s="400"/>
      <c r="AA90" s="400"/>
      <c r="AB90" s="400"/>
      <c r="AC90" s="400"/>
      <c r="AD90" s="400"/>
      <c r="AE90" s="400"/>
      <c r="AF90" s="400"/>
      <c r="AG90" s="400"/>
      <c r="AH90" s="448"/>
      <c r="AI90" s="452"/>
      <c r="AJ90" s="453"/>
      <c r="AK90" s="453"/>
      <c r="AL90" s="453"/>
      <c r="AM90" s="453"/>
      <c r="AN90" s="453"/>
      <c r="AO90" s="453"/>
      <c r="AP90" s="454"/>
      <c r="AR90" s="61"/>
      <c r="AS90" s="62"/>
      <c r="AT90" s="62"/>
      <c r="AU90" s="62"/>
      <c r="AV90" s="62"/>
      <c r="AW90" s="62"/>
      <c r="AX90" s="62"/>
      <c r="AY90" s="62"/>
      <c r="AZ90" s="62"/>
      <c r="BA90" s="62"/>
      <c r="BB90" s="62"/>
      <c r="BC90" s="62"/>
      <c r="BD90" s="63"/>
      <c r="BE90" s="39"/>
      <c r="BF90" s="39"/>
      <c r="BG90" s="39"/>
      <c r="BH90" s="40"/>
      <c r="BI90" s="41"/>
      <c r="BK90" s="440">
        <f>IF(M54&gt;0,HLOOKUP(BK88,$DY$110:$ME$112,2),0)</f>
        <v>0</v>
      </c>
      <c r="BL90" s="441"/>
      <c r="BM90" s="442"/>
      <c r="BN90" s="440">
        <f>IF(P54&gt;0,HLOOKUP(BN88,$DY$110:$ME$112,2),0)</f>
        <v>0</v>
      </c>
      <c r="BO90" s="441"/>
      <c r="BP90" s="442"/>
      <c r="BQ90" s="440">
        <f>IF(S54&gt;0,HLOOKUP(BQ88,$DY$110:$ME$112,2),0)</f>
        <v>0</v>
      </c>
      <c r="BR90" s="441"/>
      <c r="BS90" s="442"/>
      <c r="BT90" s="440">
        <f>IF(V54&gt;0,HLOOKUP(BT88,$DY$110:$ME$112,2),0)</f>
        <v>0</v>
      </c>
      <c r="BU90" s="441"/>
      <c r="BV90" s="442"/>
      <c r="BW90" s="440">
        <f>IF(Y54&gt;0,HLOOKUP(BW88,$DY$110:$ME$112,2),0)</f>
        <v>0</v>
      </c>
      <c r="BX90" s="441"/>
      <c r="BY90" s="442"/>
      <c r="BZ90" s="440">
        <f>IF(AB54&gt;0,HLOOKUP(BZ88,$DY$110:$ME$112,2),0)</f>
        <v>0</v>
      </c>
      <c r="CA90" s="441"/>
      <c r="CB90" s="442"/>
      <c r="CC90" s="440">
        <f>IF(AE54&gt;0,HLOOKUP(CC88,$DY$110:$ME$112,2),0)</f>
        <v>0</v>
      </c>
      <c r="CD90" s="441"/>
      <c r="CE90" s="442"/>
      <c r="CF90" s="440">
        <f>IF(AH54&gt;0,HLOOKUP(CF88,$DY$110:$ME$112,2),0)</f>
        <v>0</v>
      </c>
      <c r="CG90" s="441"/>
      <c r="CH90" s="442"/>
      <c r="CI90" s="440">
        <f>IF(AK54&gt;0,HLOOKUP(CI88,$DY$110:$ME$112,2),0)</f>
        <v>0</v>
      </c>
      <c r="CJ90" s="441"/>
      <c r="CK90" s="442"/>
      <c r="CL90" s="440">
        <f>IF(AN54&gt;0,HLOOKUP(CL88,$DY$110:$ME$112,2),0)</f>
        <v>0</v>
      </c>
      <c r="CM90" s="441"/>
      <c r="CN90" s="442"/>
      <c r="CO90" s="440">
        <f>IF(AQ54&gt;0,HLOOKUP(CO88,$DY$110:$ME$112,2),0)</f>
        <v>0</v>
      </c>
      <c r="CP90" s="441"/>
      <c r="CQ90" s="442"/>
      <c r="CR90" s="440">
        <f>IF(AT54&gt;0,HLOOKUP(CR88,$DY$110:$ME$112,2),0)</f>
        <v>0</v>
      </c>
      <c r="CS90" s="441"/>
      <c r="CT90" s="442"/>
      <c r="CU90" s="440">
        <f>IF(AW54&gt;0,HLOOKUP(CU88,$DY$110:$ME$112,2),0)</f>
        <v>0</v>
      </c>
      <c r="CV90" s="441"/>
      <c r="CW90" s="442"/>
      <c r="CX90" s="440">
        <f>IF(AZ54&gt;0,HLOOKUP(CX88,$DY$110:$ME$112,2),0)</f>
        <v>0</v>
      </c>
      <c r="CY90" s="441"/>
      <c r="CZ90" s="442"/>
      <c r="DA90" s="440">
        <f>IF(BC54&gt;0,HLOOKUP(DA88,$DY$110:$ME$112,2),0)</f>
        <v>0</v>
      </c>
      <c r="DB90" s="441"/>
      <c r="DC90" s="442"/>
      <c r="DD90" s="440">
        <f>IF(BF54&gt;0,HLOOKUP(DD88,$DY$110:$ME$112,2),0)</f>
        <v>0</v>
      </c>
      <c r="DE90" s="441"/>
      <c r="DF90" s="442"/>
      <c r="DG90" s="42"/>
      <c r="DH90" s="443">
        <f>DX111</f>
        <v>4.7</v>
      </c>
      <c r="DI90" s="443"/>
      <c r="DJ90" s="444" t="s">
        <v>101</v>
      </c>
      <c r="DK90" s="444"/>
      <c r="DL90" s="444"/>
      <c r="DM90" s="444"/>
      <c r="DN90" s="444"/>
      <c r="DO90" s="444"/>
      <c r="DP90" s="444"/>
      <c r="DQ90" s="444"/>
      <c r="DR90" s="444"/>
      <c r="DS90" s="444"/>
      <c r="DV90" s="41"/>
    </row>
    <row r="91" spans="1:126" ht="7.4" customHeight="1" x14ac:dyDescent="0.5">
      <c r="A91" s="42"/>
      <c r="B91" s="61"/>
      <c r="C91" s="62"/>
      <c r="D91" s="62"/>
      <c r="E91" s="62"/>
      <c r="F91" s="62"/>
      <c r="G91" s="62"/>
      <c r="H91" s="62"/>
      <c r="I91" s="62"/>
      <c r="J91" s="62"/>
      <c r="K91" s="62"/>
      <c r="L91" s="62"/>
      <c r="M91" s="63"/>
      <c r="N91" s="50"/>
      <c r="O91" s="51"/>
      <c r="P91" s="51"/>
      <c r="Q91" s="51"/>
      <c r="R91" s="97"/>
      <c r="S91" s="97"/>
      <c r="T91" s="97"/>
      <c r="U91" s="98"/>
      <c r="W91" s="61"/>
      <c r="X91" s="216"/>
      <c r="Y91" s="216"/>
      <c r="Z91" s="216"/>
      <c r="AA91" s="216"/>
      <c r="AB91" s="216"/>
      <c r="AC91" s="216"/>
      <c r="AD91" s="216"/>
      <c r="AE91" s="216"/>
      <c r="AF91" s="216"/>
      <c r="AG91" s="216"/>
      <c r="AH91" s="217"/>
      <c r="AI91" s="50"/>
      <c r="AJ91" s="51"/>
      <c r="AK91" s="51"/>
      <c r="AL91" s="51"/>
      <c r="AM91" s="97"/>
      <c r="AN91" s="97"/>
      <c r="AO91" s="97"/>
      <c r="AP91" s="98"/>
      <c r="AQ91" s="79"/>
      <c r="AR91" s="61"/>
      <c r="AS91" s="400" t="s">
        <v>97</v>
      </c>
      <c r="AT91" s="400"/>
      <c r="AU91" s="400"/>
      <c r="AV91" s="400"/>
      <c r="AW91" s="400"/>
      <c r="AX91" s="400"/>
      <c r="AY91" s="400"/>
      <c r="AZ91" s="400"/>
      <c r="BA91" s="400"/>
      <c r="BB91" s="400"/>
      <c r="BC91" s="400"/>
      <c r="BD91" s="448"/>
      <c r="BF91" s="449">
        <v>0.03</v>
      </c>
      <c r="BG91" s="449"/>
      <c r="BH91" s="450"/>
      <c r="BI91" s="41"/>
      <c r="BK91" s="440"/>
      <c r="BL91" s="441"/>
      <c r="BM91" s="442"/>
      <c r="BN91" s="440"/>
      <c r="BO91" s="441"/>
      <c r="BP91" s="442"/>
      <c r="BQ91" s="440"/>
      <c r="BR91" s="441"/>
      <c r="BS91" s="442"/>
      <c r="BT91" s="440"/>
      <c r="BU91" s="441"/>
      <c r="BV91" s="442"/>
      <c r="BW91" s="440"/>
      <c r="BX91" s="441"/>
      <c r="BY91" s="442"/>
      <c r="BZ91" s="440"/>
      <c r="CA91" s="441"/>
      <c r="CB91" s="442"/>
      <c r="CC91" s="440"/>
      <c r="CD91" s="441"/>
      <c r="CE91" s="442"/>
      <c r="CF91" s="440"/>
      <c r="CG91" s="441"/>
      <c r="CH91" s="442"/>
      <c r="CI91" s="440"/>
      <c r="CJ91" s="441"/>
      <c r="CK91" s="442"/>
      <c r="CL91" s="440"/>
      <c r="CM91" s="441"/>
      <c r="CN91" s="442"/>
      <c r="CO91" s="440"/>
      <c r="CP91" s="441"/>
      <c r="CQ91" s="442"/>
      <c r="CR91" s="440"/>
      <c r="CS91" s="441"/>
      <c r="CT91" s="442"/>
      <c r="CU91" s="440"/>
      <c r="CV91" s="441"/>
      <c r="CW91" s="442"/>
      <c r="CX91" s="440"/>
      <c r="CY91" s="441"/>
      <c r="CZ91" s="442"/>
      <c r="DA91" s="440"/>
      <c r="DB91" s="441"/>
      <c r="DC91" s="442"/>
      <c r="DD91" s="440"/>
      <c r="DE91" s="441"/>
      <c r="DF91" s="442"/>
      <c r="DG91" s="42"/>
      <c r="DH91" s="443"/>
      <c r="DI91" s="443"/>
      <c r="DJ91" s="444"/>
      <c r="DK91" s="444"/>
      <c r="DL91" s="444"/>
      <c r="DM91" s="444"/>
      <c r="DN91" s="444"/>
      <c r="DO91" s="444"/>
      <c r="DP91" s="444"/>
      <c r="DQ91" s="444"/>
      <c r="DR91" s="444"/>
      <c r="DS91" s="444"/>
      <c r="DV91" s="41"/>
    </row>
    <row r="92" spans="1:126" ht="7.4" customHeight="1" x14ac:dyDescent="0.5">
      <c r="A92" s="42"/>
      <c r="B92" s="61"/>
      <c r="C92" s="400" t="s">
        <v>146</v>
      </c>
      <c r="D92" s="400"/>
      <c r="E92" s="400"/>
      <c r="F92" s="400"/>
      <c r="G92" s="400"/>
      <c r="H92" s="400"/>
      <c r="I92" s="400"/>
      <c r="J92" s="400"/>
      <c r="K92" s="400"/>
      <c r="L92" s="400"/>
      <c r="M92" s="448"/>
      <c r="O92" s="265"/>
      <c r="P92" s="265"/>
      <c r="Q92" s="265"/>
      <c r="R92" s="265"/>
      <c r="S92" s="265"/>
      <c r="T92" s="265"/>
      <c r="U92" s="266"/>
      <c r="W92" s="61"/>
      <c r="X92" s="180"/>
      <c r="Y92" s="180"/>
      <c r="Z92" s="180"/>
      <c r="AA92" s="180"/>
      <c r="AB92" s="180"/>
      <c r="AC92" s="180"/>
      <c r="AD92" s="180"/>
      <c r="AE92" s="180"/>
      <c r="AF92" s="180"/>
      <c r="AG92" s="180"/>
      <c r="AH92" s="215"/>
      <c r="AI92" s="39"/>
      <c r="AJ92" s="39"/>
      <c r="AK92" s="39"/>
      <c r="AL92" s="39"/>
      <c r="AM92" s="89"/>
      <c r="AN92" s="89"/>
      <c r="AO92" s="89"/>
      <c r="AP92" s="176"/>
      <c r="AQ92" s="79"/>
      <c r="AR92" s="61"/>
      <c r="AS92" s="400"/>
      <c r="AT92" s="400"/>
      <c r="AU92" s="400"/>
      <c r="AV92" s="400"/>
      <c r="AW92" s="400"/>
      <c r="AX92" s="400"/>
      <c r="AY92" s="400"/>
      <c r="AZ92" s="400"/>
      <c r="BA92" s="400"/>
      <c r="BB92" s="400"/>
      <c r="BC92" s="400"/>
      <c r="BD92" s="448"/>
      <c r="BF92" s="449"/>
      <c r="BG92" s="449"/>
      <c r="BH92" s="450"/>
      <c r="BI92" s="41"/>
      <c r="BK92" s="440">
        <f>IF(M54&gt;0,HLOOKUP(BK88,$DY$110:$ME$112,3),0)</f>
        <v>5</v>
      </c>
      <c r="BL92" s="441"/>
      <c r="BM92" s="442"/>
      <c r="BN92" s="440">
        <f>IF(P54&gt;0,HLOOKUP(BN88,$DY$110:$ME$112,3),0)</f>
        <v>0</v>
      </c>
      <c r="BO92" s="441"/>
      <c r="BP92" s="442"/>
      <c r="BQ92" s="440">
        <f>IF(S54&gt;0,HLOOKUP(BQ88,$DY$110:$ME$112,3),0)</f>
        <v>0</v>
      </c>
      <c r="BR92" s="441"/>
      <c r="BS92" s="442"/>
      <c r="BT92" s="440">
        <f>IF(V54&gt;0,HLOOKUP(BT88,$DY$110:$ME$112,3),0)</f>
        <v>0</v>
      </c>
      <c r="BU92" s="441"/>
      <c r="BV92" s="442"/>
      <c r="BW92" s="440">
        <f>IF(Y54&gt;0,HLOOKUP(BW88,$DY$110:$ME$112,3),0)</f>
        <v>0</v>
      </c>
      <c r="BX92" s="441"/>
      <c r="BY92" s="442"/>
      <c r="BZ92" s="440">
        <f>IF(AB54&gt;0,HLOOKUP(BZ88,$DY$110:$ME$112,3),0)</f>
        <v>0</v>
      </c>
      <c r="CA92" s="441"/>
      <c r="CB92" s="442"/>
      <c r="CC92" s="440">
        <f>IF(AE54&gt;0,HLOOKUP(CC88,$DY$110:$ME$112,3),0)</f>
        <v>0</v>
      </c>
      <c r="CD92" s="441"/>
      <c r="CE92" s="442"/>
      <c r="CF92" s="440">
        <f>IF(AH54&gt;0,HLOOKUP(CF88,$DY$110:$ME$112,3),0)</f>
        <v>0</v>
      </c>
      <c r="CG92" s="441"/>
      <c r="CH92" s="442"/>
      <c r="CI92" s="440">
        <f>IF(AK54&gt;0,HLOOKUP(CI88,$DY$110:$ME$112,3),0)</f>
        <v>0</v>
      </c>
      <c r="CJ92" s="441"/>
      <c r="CK92" s="442"/>
      <c r="CL92" s="440">
        <f>IF(AN54&gt;0,HLOOKUP(CL88,$DY$110:$ME$112,3),0)</f>
        <v>0</v>
      </c>
      <c r="CM92" s="441"/>
      <c r="CN92" s="442"/>
      <c r="CO92" s="440">
        <f>IF(AQ54&gt;0,HLOOKUP(CO88,$DY$110:$ME$112,3),0)</f>
        <v>0</v>
      </c>
      <c r="CP92" s="441"/>
      <c r="CQ92" s="442"/>
      <c r="CR92" s="440">
        <f>IF(AT54&gt;0,HLOOKUP(CR88,$DY$110:$ME$112,3),0)</f>
        <v>0</v>
      </c>
      <c r="CS92" s="441"/>
      <c r="CT92" s="442"/>
      <c r="CU92" s="440">
        <f>IF(AW54&gt;0,HLOOKUP(CU88,$DY$110:$ME$112,3),0)</f>
        <v>0</v>
      </c>
      <c r="CV92" s="441"/>
      <c r="CW92" s="442"/>
      <c r="CX92" s="440">
        <f>IF(AZ54&gt;0,HLOOKUP(CX88,$DY$110:$ME$112,3),0)</f>
        <v>0</v>
      </c>
      <c r="CY92" s="441"/>
      <c r="CZ92" s="442"/>
      <c r="DA92" s="440">
        <f>IF(BC54&gt;0,HLOOKUP(DA88,$DY$110:$ME$112,3),0)</f>
        <v>0</v>
      </c>
      <c r="DB92" s="441"/>
      <c r="DC92" s="442"/>
      <c r="DD92" s="440">
        <f>IF(BF54&gt;0,HLOOKUP(DD88,$DY$110:$ME$112,3),0)</f>
        <v>0</v>
      </c>
      <c r="DE92" s="441"/>
      <c r="DF92" s="442"/>
      <c r="DG92" s="42"/>
      <c r="DH92" s="443">
        <f>DX112</f>
        <v>5.85</v>
      </c>
      <c r="DI92" s="443"/>
      <c r="DJ92" s="444" t="s">
        <v>101</v>
      </c>
      <c r="DK92" s="444"/>
      <c r="DL92" s="444"/>
      <c r="DM92" s="444"/>
      <c r="DN92" s="444"/>
      <c r="DO92" s="444"/>
      <c r="DP92" s="444"/>
      <c r="DQ92" s="444"/>
      <c r="DR92" s="444"/>
      <c r="DS92" s="444"/>
      <c r="DV92" s="41"/>
    </row>
    <row r="93" spans="1:126" ht="7.4" customHeight="1" x14ac:dyDescent="0.5">
      <c r="A93" s="42"/>
      <c r="B93" s="61"/>
      <c r="C93" s="400"/>
      <c r="D93" s="400"/>
      <c r="E93" s="400"/>
      <c r="F93" s="400"/>
      <c r="G93" s="400"/>
      <c r="H93" s="400"/>
      <c r="I93" s="400"/>
      <c r="J93" s="400"/>
      <c r="K93" s="400"/>
      <c r="L93" s="400"/>
      <c r="M93" s="448"/>
      <c r="N93" s="452" t="s">
        <v>147</v>
      </c>
      <c r="O93" s="453"/>
      <c r="P93" s="453"/>
      <c r="Q93" s="453"/>
      <c r="R93" s="453"/>
      <c r="S93" s="453"/>
      <c r="T93" s="453"/>
      <c r="U93" s="454"/>
      <c r="W93" s="61"/>
      <c r="X93" s="476" t="s">
        <v>148</v>
      </c>
      <c r="Y93" s="476"/>
      <c r="Z93" s="476"/>
      <c r="AA93" s="476"/>
      <c r="AB93" s="476"/>
      <c r="AC93" s="476"/>
      <c r="AD93" s="476"/>
      <c r="AE93" s="476"/>
      <c r="AF93" s="476"/>
      <c r="AG93" s="476"/>
      <c r="AH93" s="477"/>
      <c r="AI93" s="452" t="s">
        <v>42</v>
      </c>
      <c r="AJ93" s="453"/>
      <c r="AK93" s="453"/>
      <c r="AL93" s="453"/>
      <c r="AM93" s="453"/>
      <c r="AN93" s="453"/>
      <c r="AO93" s="453"/>
      <c r="AP93" s="454"/>
      <c r="AQ93" s="79"/>
      <c r="AR93" s="64"/>
      <c r="AS93" s="65"/>
      <c r="AT93" s="65"/>
      <c r="AU93" s="65"/>
      <c r="AV93" s="65"/>
      <c r="AW93" s="65"/>
      <c r="AX93" s="65"/>
      <c r="AY93" s="65"/>
      <c r="AZ93" s="65"/>
      <c r="BA93" s="65"/>
      <c r="BB93" s="65"/>
      <c r="BC93" s="65"/>
      <c r="BD93" s="66"/>
      <c r="BE93" s="51"/>
      <c r="BF93" s="51"/>
      <c r="BG93" s="51"/>
      <c r="BH93" s="52"/>
      <c r="BI93" s="41"/>
      <c r="BK93" s="440"/>
      <c r="BL93" s="441"/>
      <c r="BM93" s="442"/>
      <c r="BN93" s="440"/>
      <c r="BO93" s="441"/>
      <c r="BP93" s="442"/>
      <c r="BQ93" s="440"/>
      <c r="BR93" s="441"/>
      <c r="BS93" s="442"/>
      <c r="BT93" s="440"/>
      <c r="BU93" s="441"/>
      <c r="BV93" s="442"/>
      <c r="BW93" s="440"/>
      <c r="BX93" s="441"/>
      <c r="BY93" s="442"/>
      <c r="BZ93" s="440"/>
      <c r="CA93" s="441"/>
      <c r="CB93" s="442"/>
      <c r="CC93" s="440"/>
      <c r="CD93" s="441"/>
      <c r="CE93" s="442"/>
      <c r="CF93" s="440"/>
      <c r="CG93" s="441"/>
      <c r="CH93" s="442"/>
      <c r="CI93" s="440"/>
      <c r="CJ93" s="441"/>
      <c r="CK93" s="442"/>
      <c r="CL93" s="440"/>
      <c r="CM93" s="441"/>
      <c r="CN93" s="442"/>
      <c r="CO93" s="440"/>
      <c r="CP93" s="441"/>
      <c r="CQ93" s="442"/>
      <c r="CR93" s="440"/>
      <c r="CS93" s="441"/>
      <c r="CT93" s="442"/>
      <c r="CU93" s="440"/>
      <c r="CV93" s="441"/>
      <c r="CW93" s="442"/>
      <c r="CX93" s="440"/>
      <c r="CY93" s="441"/>
      <c r="CZ93" s="442"/>
      <c r="DA93" s="440"/>
      <c r="DB93" s="441"/>
      <c r="DC93" s="442"/>
      <c r="DD93" s="440"/>
      <c r="DE93" s="441"/>
      <c r="DF93" s="442"/>
      <c r="DG93" s="42"/>
      <c r="DH93" s="443"/>
      <c r="DI93" s="443"/>
      <c r="DJ93" s="444"/>
      <c r="DK93" s="444"/>
      <c r="DL93" s="444"/>
      <c r="DM93" s="444"/>
      <c r="DN93" s="444"/>
      <c r="DO93" s="444"/>
      <c r="DP93" s="444"/>
      <c r="DQ93" s="444"/>
      <c r="DR93" s="444"/>
      <c r="DS93" s="444"/>
      <c r="DV93" s="41"/>
    </row>
    <row r="94" spans="1:126" ht="7.4" customHeight="1" x14ac:dyDescent="0.5">
      <c r="A94" s="42"/>
      <c r="B94" s="61"/>
      <c r="C94" s="400"/>
      <c r="D94" s="400"/>
      <c r="E94" s="400"/>
      <c r="F94" s="400"/>
      <c r="G94" s="400"/>
      <c r="H94" s="400"/>
      <c r="I94" s="400"/>
      <c r="J94" s="400"/>
      <c r="K94" s="400"/>
      <c r="L94" s="400"/>
      <c r="M94" s="448"/>
      <c r="N94" s="452"/>
      <c r="O94" s="453"/>
      <c r="P94" s="453"/>
      <c r="Q94" s="453"/>
      <c r="R94" s="453"/>
      <c r="S94" s="453"/>
      <c r="T94" s="453"/>
      <c r="U94" s="454"/>
      <c r="W94" s="61"/>
      <c r="X94" s="476"/>
      <c r="Y94" s="476"/>
      <c r="Z94" s="476"/>
      <c r="AA94" s="476"/>
      <c r="AB94" s="476"/>
      <c r="AC94" s="476"/>
      <c r="AD94" s="476"/>
      <c r="AE94" s="476"/>
      <c r="AF94" s="476"/>
      <c r="AG94" s="476"/>
      <c r="AH94" s="477"/>
      <c r="AI94" s="452"/>
      <c r="AJ94" s="453"/>
      <c r="AK94" s="453"/>
      <c r="AL94" s="453"/>
      <c r="AM94" s="453"/>
      <c r="AN94" s="453"/>
      <c r="AO94" s="453"/>
      <c r="AP94" s="454"/>
      <c r="AQ94" s="79"/>
      <c r="BI94" s="41"/>
      <c r="BK94" s="430">
        <f>IF(M58&gt;0,$AE$45*M58+20*(M58-1)+$N$85*2,0)</f>
        <v>28930</v>
      </c>
      <c r="BL94" s="431"/>
      <c r="BM94" s="432"/>
      <c r="BN94" s="430">
        <f>IF(P58&gt;0,$AE$45*P58+20*(P58-1)+$N$85*2,0)</f>
        <v>0</v>
      </c>
      <c r="BO94" s="431"/>
      <c r="BP94" s="432"/>
      <c r="BQ94" s="430">
        <f>IF(S58&gt;0,$AE$45*S58+20*(S58-1)+$N$85*2,0)</f>
        <v>0</v>
      </c>
      <c r="BR94" s="431"/>
      <c r="BS94" s="432"/>
      <c r="BT94" s="430">
        <f>IF(V58&gt;0,$AE$45*V58+20*(V58-1)+$N$85*2,0)</f>
        <v>0</v>
      </c>
      <c r="BU94" s="431"/>
      <c r="BV94" s="432"/>
      <c r="BW94" s="430">
        <f>IF(Y58&gt;0,$AE$45*Y58+20*(Y58-1)+$N$85*2,0)</f>
        <v>0</v>
      </c>
      <c r="BX94" s="431"/>
      <c r="BY94" s="432"/>
      <c r="BZ94" s="430">
        <f>IF(AB58&gt;0,$AE$45*AB58+20*(AB58-1)+$N$85*2,0)</f>
        <v>0</v>
      </c>
      <c r="CA94" s="431"/>
      <c r="CB94" s="432"/>
      <c r="CC94" s="430">
        <f>IF(AE58&gt;0,$AE$45*AE58+20*(AE58-1)+$N$85*2,0)</f>
        <v>0</v>
      </c>
      <c r="CD94" s="431"/>
      <c r="CE94" s="432"/>
      <c r="CF94" s="430">
        <f>IF(AH58&gt;0,$AE$45*AH58+20*(AH58-1)+$N$85*2,0)</f>
        <v>0</v>
      </c>
      <c r="CG94" s="431"/>
      <c r="CH94" s="432"/>
      <c r="CI94" s="430">
        <f>IF(AK58&gt;0,$AE$45*AK58+20*(AK58-1)+$N$85*2,0)</f>
        <v>0</v>
      </c>
      <c r="CJ94" s="431"/>
      <c r="CK94" s="432"/>
      <c r="CL94" s="430">
        <f>IF(AN58&gt;0,$AE$45*AN58+20*(AN58-1)+$N$85*2,0)</f>
        <v>0</v>
      </c>
      <c r="CM94" s="431"/>
      <c r="CN94" s="432"/>
      <c r="CO94" s="430">
        <f>IF(AQ58&gt;0,$AE$45*AQ58+20*(AQ58-1)+$N$85*2,0)</f>
        <v>0</v>
      </c>
      <c r="CP94" s="431"/>
      <c r="CQ94" s="432"/>
      <c r="CR94" s="430">
        <f>IF(AT58&gt;0,$AE$45*AT58+20*(AT58-1)+$N$85*2,0)</f>
        <v>0</v>
      </c>
      <c r="CS94" s="431"/>
      <c r="CT94" s="432"/>
      <c r="CU94" s="430">
        <f>IF(AW58&gt;0,$AE$45*AW58+20*(AW58-1)+$N$85*2,0)</f>
        <v>0</v>
      </c>
      <c r="CV94" s="431"/>
      <c r="CW94" s="432"/>
      <c r="CX94" s="430">
        <f>IF(AZ58&gt;0,$AE$45*AZ58+20*(AZ58-1)+$N$85*2,0)</f>
        <v>0</v>
      </c>
      <c r="CY94" s="431"/>
      <c r="CZ94" s="432"/>
      <c r="DA94" s="430">
        <f>IF(BC58&gt;0,$AE$45*BC58+20*(BC58-1)+$N$85*2,0)</f>
        <v>0</v>
      </c>
      <c r="DB94" s="431"/>
      <c r="DC94" s="432"/>
      <c r="DD94" s="430">
        <f>IF(BF58&gt;0,$AE$45*BF58+20*(BF58-1)+$N$85*2,0)</f>
        <v>0</v>
      </c>
      <c r="DE94" s="431"/>
      <c r="DF94" s="432"/>
      <c r="DG94" s="42"/>
      <c r="DH94" s="382" t="s">
        <v>102</v>
      </c>
      <c r="DI94" s="382"/>
      <c r="DJ94" s="382"/>
      <c r="DK94" s="382"/>
      <c r="DL94" s="382"/>
      <c r="DM94" s="382"/>
      <c r="DN94" s="382"/>
      <c r="DO94" s="382"/>
      <c r="DP94" s="382"/>
      <c r="DQ94" s="382"/>
      <c r="DR94" s="382"/>
      <c r="DS94" s="382"/>
      <c r="DT94" s="382"/>
      <c r="DU94" s="382"/>
      <c r="DV94" s="41"/>
    </row>
    <row r="95" spans="1:126" ht="7.4" customHeight="1" x14ac:dyDescent="0.5">
      <c r="A95" s="42"/>
      <c r="B95" s="64"/>
      <c r="C95" s="65"/>
      <c r="D95" s="65"/>
      <c r="E95" s="65"/>
      <c r="F95" s="65"/>
      <c r="G95" s="65"/>
      <c r="H95" s="65"/>
      <c r="I95" s="65"/>
      <c r="J95" s="65"/>
      <c r="K95" s="65"/>
      <c r="L95" s="65"/>
      <c r="M95" s="66"/>
      <c r="N95" s="267"/>
      <c r="O95" s="268"/>
      <c r="P95" s="268"/>
      <c r="Q95" s="268"/>
      <c r="R95" s="268"/>
      <c r="S95" s="268"/>
      <c r="T95" s="268"/>
      <c r="U95" s="269"/>
      <c r="W95" s="64"/>
      <c r="X95" s="218"/>
      <c r="Y95" s="218"/>
      <c r="Z95" s="218"/>
      <c r="AA95" s="218"/>
      <c r="AB95" s="218"/>
      <c r="AC95" s="218"/>
      <c r="AD95" s="218"/>
      <c r="AE95" s="218"/>
      <c r="AF95" s="218"/>
      <c r="AG95" s="218"/>
      <c r="AH95" s="219"/>
      <c r="AI95" s="50"/>
      <c r="AJ95" s="51"/>
      <c r="AK95" s="51"/>
      <c r="AL95" s="51"/>
      <c r="AM95" s="97"/>
      <c r="AN95" s="97"/>
      <c r="AO95" s="97"/>
      <c r="AP95" s="98"/>
      <c r="AQ95" s="79"/>
      <c r="BI95" s="41"/>
      <c r="BK95" s="430"/>
      <c r="BL95" s="431"/>
      <c r="BM95" s="432"/>
      <c r="BN95" s="430"/>
      <c r="BO95" s="431"/>
      <c r="BP95" s="432"/>
      <c r="BQ95" s="430"/>
      <c r="BR95" s="431"/>
      <c r="BS95" s="432"/>
      <c r="BT95" s="430"/>
      <c r="BU95" s="431"/>
      <c r="BV95" s="432"/>
      <c r="BW95" s="430"/>
      <c r="BX95" s="431"/>
      <c r="BY95" s="432"/>
      <c r="BZ95" s="430"/>
      <c r="CA95" s="431"/>
      <c r="CB95" s="432"/>
      <c r="CC95" s="430"/>
      <c r="CD95" s="431"/>
      <c r="CE95" s="432"/>
      <c r="CF95" s="430"/>
      <c r="CG95" s="431"/>
      <c r="CH95" s="432"/>
      <c r="CI95" s="430"/>
      <c r="CJ95" s="431"/>
      <c r="CK95" s="432"/>
      <c r="CL95" s="430"/>
      <c r="CM95" s="431"/>
      <c r="CN95" s="432"/>
      <c r="CO95" s="430"/>
      <c r="CP95" s="431"/>
      <c r="CQ95" s="432"/>
      <c r="CR95" s="430"/>
      <c r="CS95" s="431"/>
      <c r="CT95" s="432"/>
      <c r="CU95" s="430"/>
      <c r="CV95" s="431"/>
      <c r="CW95" s="432"/>
      <c r="CX95" s="430"/>
      <c r="CY95" s="431"/>
      <c r="CZ95" s="432"/>
      <c r="DA95" s="430"/>
      <c r="DB95" s="431"/>
      <c r="DC95" s="432"/>
      <c r="DD95" s="430"/>
      <c r="DE95" s="431"/>
      <c r="DF95" s="432"/>
      <c r="DG95" s="42"/>
      <c r="DH95" s="382"/>
      <c r="DI95" s="382"/>
      <c r="DJ95" s="382"/>
      <c r="DK95" s="382"/>
      <c r="DL95" s="382"/>
      <c r="DM95" s="382"/>
      <c r="DN95" s="382"/>
      <c r="DO95" s="382"/>
      <c r="DP95" s="382"/>
      <c r="DQ95" s="382"/>
      <c r="DR95" s="382"/>
      <c r="DS95" s="382"/>
      <c r="DT95" s="382"/>
      <c r="DU95" s="382"/>
      <c r="DV95" s="41"/>
    </row>
    <row r="96" spans="1:126" ht="7.4" customHeight="1" x14ac:dyDescent="0.5">
      <c r="A96" s="42"/>
      <c r="V96" s="79"/>
      <c r="W96" s="79"/>
      <c r="X96" s="79"/>
      <c r="Y96" s="79"/>
      <c r="Z96" s="79"/>
      <c r="AA96" s="79"/>
      <c r="AB96" s="79"/>
      <c r="AC96" s="79"/>
      <c r="AD96" s="79"/>
      <c r="AE96" s="79"/>
      <c r="AF96" s="79"/>
      <c r="AG96" s="79"/>
      <c r="AH96" s="79"/>
      <c r="AI96" s="79"/>
      <c r="AJ96" s="79"/>
      <c r="AK96" s="79"/>
      <c r="AL96" s="79"/>
      <c r="AM96" s="79"/>
      <c r="AN96" s="79"/>
      <c r="AO96" s="79"/>
      <c r="AP96" s="79"/>
      <c r="AQ96" s="79"/>
      <c r="AR96" s="79"/>
      <c r="AS96" s="79"/>
      <c r="AT96" s="79"/>
      <c r="AU96" s="79"/>
      <c r="AV96" s="79"/>
      <c r="AW96" s="79"/>
      <c r="AX96" s="79"/>
      <c r="AY96" s="79"/>
      <c r="AZ96" s="79"/>
      <c r="BA96" s="79"/>
      <c r="BB96" s="79"/>
      <c r="BC96" s="79"/>
      <c r="BD96" s="79"/>
      <c r="BE96" s="79"/>
      <c r="BF96" s="79"/>
      <c r="BG96" s="79"/>
      <c r="BH96" s="79"/>
      <c r="BI96" s="41"/>
      <c r="BK96" s="430">
        <f>IF($N$81="Combination",0,IF(M58&gt;0,(($AE$45*M58+20*(M58-1)+$N$85*2)/$N$81-ROUNDDOWN(($AE$45*M58+20*(M58-1)+$N$85*2)/$N$81,0))*$N$81,0))</f>
        <v>0</v>
      </c>
      <c r="BL96" s="431"/>
      <c r="BM96" s="432"/>
      <c r="BN96" s="430">
        <f>IF($N$81="Combination",0,IF(P58&gt;0,(($AE$45*P58+20*(P58-1)+$N$85*2)/$N$81-ROUNDDOWN(($AE$45*P58+20*(P58-1)+$N$85*2)/$N$81,0))*$N$81,0))</f>
        <v>0</v>
      </c>
      <c r="BO96" s="431"/>
      <c r="BP96" s="432"/>
      <c r="BQ96" s="430">
        <f>IF($N$81="Combination",0,IF(S58&gt;0,(($AE$45*S58+20*(S58-1)+$N$85*2)/$N$81-ROUNDDOWN(($AE$45*S58+20*(S58-1)+$N$85*2)/$N$81,0))*$N$81,0))</f>
        <v>0</v>
      </c>
      <c r="BR96" s="431"/>
      <c r="BS96" s="432"/>
      <c r="BT96" s="430">
        <f>IF($N$81="Combination",0,IF(V58&gt;0,(($AE$45*V58+20*(V58-1)+$N$85*2)/$N$81-ROUNDDOWN(($AE$45*V58+20*(V58-1)+$N$85*2)/$N$81,0))*$N$81,0))</f>
        <v>0</v>
      </c>
      <c r="BU96" s="431"/>
      <c r="BV96" s="432"/>
      <c r="BW96" s="430">
        <f>IF($N$81="Combination",0,IF(Y58&gt;0,(($AE$45*Y58+20*(Y58-1)+$N$85*2)/$N$81-ROUNDDOWN(($AE$45*Y58+20*(Y58-1)+$N$85*2)/$N$81,0))*$N$81,0))</f>
        <v>0</v>
      </c>
      <c r="BX96" s="431"/>
      <c r="BY96" s="432"/>
      <c r="BZ96" s="430">
        <f>IF($N$81="Combination",0,IF(AB58&gt;0,(($AE$45*AB58+20*(AB58-1)+$N$85*2)/$N$81-ROUNDDOWN(($AE$45*AB58+20*(AB58-1)+$N$85*2)/$N$81,0))*$N$81,0))</f>
        <v>0</v>
      </c>
      <c r="CA96" s="431"/>
      <c r="CB96" s="432"/>
      <c r="CC96" s="430">
        <f>IF($N$81="Combination",0,IF(AE58&gt;0,(($AE$45*AE58+20*(AE58-1)+$N$85*2)/$N$81-ROUNDDOWN(($AE$45*AE58+20*(AE58-1)+$N$85*2)/$N$81,0))*$N$81,0))</f>
        <v>0</v>
      </c>
      <c r="CD96" s="431"/>
      <c r="CE96" s="432"/>
      <c r="CF96" s="430">
        <f>IF($N$81="Combination",0,IF(AH58&gt;0,(($AE$45*AH58+20*(AH58-1)+$N$85*2)/$N$81-ROUNDDOWN(($AE$45*AH58+20*(AH58-1)+$N$85*2)/$N$81,0))*$N$81,0))</f>
        <v>0</v>
      </c>
      <c r="CG96" s="431"/>
      <c r="CH96" s="432"/>
      <c r="CI96" s="430">
        <f>IF($N$81="Combination",0,IF(AK58&gt;0,(($AE$45*AK58+20*(AK58-1)+$N$85*2)/$N$81-ROUNDDOWN(($AE$45*AK58+20*(AK58-1)+$N$85*2)/$N$81,0))*$N$81,0))</f>
        <v>0</v>
      </c>
      <c r="CJ96" s="431"/>
      <c r="CK96" s="432"/>
      <c r="CL96" s="430">
        <f>IF($N$81="Combination",0,IF(AN58&gt;0,(($AE$45*AN58+20*(AN58-1)+$N$85*2)/$N$81-ROUNDDOWN(($AE$45*AN58+20*(AN58-1)+$N$85*2)/$N$81,0))*$N$81,0))</f>
        <v>0</v>
      </c>
      <c r="CM96" s="431"/>
      <c r="CN96" s="432"/>
      <c r="CO96" s="430">
        <f>IF($N$81="Combination",0,IF(AQ58&gt;0,(($AE$45*AQ58+20*(AQ58-1)+$N$85*2)/$N$81-ROUNDDOWN(($AE$45*AQ58+20*(AQ58-1)+$N$85*2)/$N$81,0))*$N$81,0))</f>
        <v>0</v>
      </c>
      <c r="CP96" s="431"/>
      <c r="CQ96" s="432"/>
      <c r="CR96" s="430">
        <f>IF($N$81="Combination",0,IF(AT58&gt;0,(($AE$45*AT58+20*(AT58-1)+$N$85*2)/$N$81-ROUNDDOWN(($AE$45*AT58+20*(AT58-1)+$N$85*2)/$N$81,0))*$N$81,0))</f>
        <v>0</v>
      </c>
      <c r="CS96" s="431"/>
      <c r="CT96" s="432"/>
      <c r="CU96" s="430">
        <f>IF($N$81="Combination",0,IF(AW58&gt;0,(($AE$45*AW58+20*(AW58-1)+$N$85*2)/$N$81-ROUNDDOWN(($AE$45*AW58+20*(AW58-1)+$N$85*2)/$N$81,0))*$N$81,0))</f>
        <v>0</v>
      </c>
      <c r="CV96" s="431"/>
      <c r="CW96" s="432"/>
      <c r="CX96" s="430">
        <f>IF($N$81="Combination",0,IF(AZ58&gt;0,(($AE$45*AZ58+20*(AZ58-1)+$N$85*2)/$N$81-ROUNDDOWN(($AE$45*AZ58+20*(AZ58-1)+$N$85*2)/$N$81,0))*$N$81,0))</f>
        <v>0</v>
      </c>
      <c r="CY96" s="431"/>
      <c r="CZ96" s="432"/>
      <c r="DA96" s="430">
        <f>IF($N$81="Combination",0,IF(BC58&gt;0,(($AE$45*BC58+20*(BC58-1)+$N$85*2)/$N$81-ROUNDDOWN(($AE$45*BC58+20*(BC58-1)+$N$85*2)/$N$81,0))*$N$81,0))</f>
        <v>0</v>
      </c>
      <c r="DB96" s="431"/>
      <c r="DC96" s="432"/>
      <c r="DD96" s="430">
        <f>IF($N$81="Combination",0,IF(BF58&gt;0,(($AE$45*BF58+20*(BF58-1)+$N$85*2)/$N$81-ROUNDDOWN(($AE$45*BF58+20*(BF58-1)+$N$85*2)/$N$81,0))*$N$81,0))</f>
        <v>0</v>
      </c>
      <c r="DE96" s="431"/>
      <c r="DF96" s="432"/>
      <c r="DG96" s="42"/>
      <c r="DH96" s="382" t="s">
        <v>103</v>
      </c>
      <c r="DI96" s="382"/>
      <c r="DJ96" s="382"/>
      <c r="DK96" s="382"/>
      <c r="DL96" s="382"/>
      <c r="DM96" s="382"/>
      <c r="DN96" s="382"/>
      <c r="DO96" s="382"/>
      <c r="DP96" s="382"/>
      <c r="DQ96" s="382"/>
      <c r="DR96" s="382"/>
      <c r="DS96" s="382"/>
      <c r="DV96" s="41"/>
    </row>
    <row r="97" spans="1:343" ht="7.4" customHeight="1" x14ac:dyDescent="0.5">
      <c r="A97" s="42"/>
      <c r="BI97" s="41"/>
      <c r="BK97" s="430"/>
      <c r="BL97" s="431"/>
      <c r="BM97" s="432"/>
      <c r="BN97" s="430"/>
      <c r="BO97" s="431"/>
      <c r="BP97" s="432"/>
      <c r="BQ97" s="430"/>
      <c r="BR97" s="431"/>
      <c r="BS97" s="432"/>
      <c r="BT97" s="430"/>
      <c r="BU97" s="431"/>
      <c r="BV97" s="432"/>
      <c r="BW97" s="430"/>
      <c r="BX97" s="431"/>
      <c r="BY97" s="432"/>
      <c r="BZ97" s="430"/>
      <c r="CA97" s="431"/>
      <c r="CB97" s="432"/>
      <c r="CC97" s="430"/>
      <c r="CD97" s="431"/>
      <c r="CE97" s="432"/>
      <c r="CF97" s="430"/>
      <c r="CG97" s="431"/>
      <c r="CH97" s="432"/>
      <c r="CI97" s="430"/>
      <c r="CJ97" s="431"/>
      <c r="CK97" s="432"/>
      <c r="CL97" s="430"/>
      <c r="CM97" s="431"/>
      <c r="CN97" s="432"/>
      <c r="CO97" s="430"/>
      <c r="CP97" s="431"/>
      <c r="CQ97" s="432"/>
      <c r="CR97" s="430"/>
      <c r="CS97" s="431"/>
      <c r="CT97" s="432"/>
      <c r="CU97" s="430"/>
      <c r="CV97" s="431"/>
      <c r="CW97" s="432"/>
      <c r="CX97" s="430"/>
      <c r="CY97" s="431"/>
      <c r="CZ97" s="432"/>
      <c r="DA97" s="430"/>
      <c r="DB97" s="431"/>
      <c r="DC97" s="432"/>
      <c r="DD97" s="430"/>
      <c r="DE97" s="431"/>
      <c r="DF97" s="432"/>
      <c r="DG97" s="42"/>
      <c r="DH97" s="382"/>
      <c r="DI97" s="382"/>
      <c r="DJ97" s="382"/>
      <c r="DK97" s="382"/>
      <c r="DL97" s="382"/>
      <c r="DM97" s="382"/>
      <c r="DN97" s="382"/>
      <c r="DO97" s="382"/>
      <c r="DP97" s="382"/>
      <c r="DQ97" s="382"/>
      <c r="DR97" s="382"/>
      <c r="DS97" s="382"/>
      <c r="DV97" s="41"/>
    </row>
    <row r="98" spans="1:343" ht="7.4" customHeight="1" x14ac:dyDescent="0.5">
      <c r="A98" s="42"/>
      <c r="BI98" s="41"/>
      <c r="BK98" s="430">
        <f>IF($N$81="Combination",0,IF(M58&gt;0,$N$81-BK96,0))</f>
        <v>0</v>
      </c>
      <c r="BL98" s="431"/>
      <c r="BM98" s="432"/>
      <c r="BN98" s="430">
        <f>IF($N$81="Combination",0,IF(P58&gt;0,$N$81-BN96,0))</f>
        <v>0</v>
      </c>
      <c r="BO98" s="431"/>
      <c r="BP98" s="432"/>
      <c r="BQ98" s="430">
        <f>IF($N$81="Combination",0,IF(S58&gt;0,$N$81-BQ96,0))</f>
        <v>0</v>
      </c>
      <c r="BR98" s="431"/>
      <c r="BS98" s="432"/>
      <c r="BT98" s="430">
        <f>IF($N$81="Combination",0,IF(V58&gt;0,$N$81-BT96,0))</f>
        <v>0</v>
      </c>
      <c r="BU98" s="431"/>
      <c r="BV98" s="432"/>
      <c r="BW98" s="430">
        <f>IF($N$81="Combination",0,IF(Y58&gt;0,$N$81-BW96,0))</f>
        <v>0</v>
      </c>
      <c r="BX98" s="431"/>
      <c r="BY98" s="432"/>
      <c r="BZ98" s="430">
        <f>IF($N$81="Combination",0,IF(AB58&gt;0,$N$81-BZ96,0))</f>
        <v>0</v>
      </c>
      <c r="CA98" s="431"/>
      <c r="CB98" s="432"/>
      <c r="CC98" s="430">
        <f>IF($N$81="Combination",0,IF(AE58&gt;0,$N$81-CC96,0))</f>
        <v>0</v>
      </c>
      <c r="CD98" s="431"/>
      <c r="CE98" s="432"/>
      <c r="CF98" s="430">
        <f>IF($N$81="Combination",0,IF(AH58&gt;0,$N$81-CF96,0))</f>
        <v>0</v>
      </c>
      <c r="CG98" s="431"/>
      <c r="CH98" s="432"/>
      <c r="CI98" s="430">
        <f>IF($N$81="Combination",0,IF(AK58&gt;0,$N$81-CI96,0))</f>
        <v>0</v>
      </c>
      <c r="CJ98" s="431"/>
      <c r="CK98" s="432"/>
      <c r="CL98" s="430">
        <f>IF($N$81="Combination",0,IF(AN58&gt;0,$N$81-CL96,0))</f>
        <v>0</v>
      </c>
      <c r="CM98" s="431"/>
      <c r="CN98" s="432"/>
      <c r="CO98" s="430">
        <f>IF($N$81="Combination",0,IF(AQ58&gt;0,$N$81-CO96,0))</f>
        <v>0</v>
      </c>
      <c r="CP98" s="431"/>
      <c r="CQ98" s="432"/>
      <c r="CR98" s="430">
        <f>IF($N$81="Combination",0,IF(AT58&gt;0,$N$81-CR96,0))</f>
        <v>0</v>
      </c>
      <c r="CS98" s="431"/>
      <c r="CT98" s="432"/>
      <c r="CU98" s="430">
        <f>IF($N$81="Combination",0,IF(AW58&gt;0,$N$81-CU96,0))</f>
        <v>0</v>
      </c>
      <c r="CV98" s="431"/>
      <c r="CW98" s="432"/>
      <c r="CX98" s="430">
        <f>IF($N$81="Combination",0,IF(AZ58&gt;0,$N$81-CX96,0))</f>
        <v>0</v>
      </c>
      <c r="CY98" s="431"/>
      <c r="CZ98" s="432"/>
      <c r="DA98" s="430">
        <f>IF($N$81="Combination",0,IF(BC58&gt;0,$N$81-DA96,0))</f>
        <v>0</v>
      </c>
      <c r="DB98" s="431"/>
      <c r="DC98" s="432"/>
      <c r="DD98" s="430">
        <f>IF($N$81="Combination",0,IF(BF58&gt;0,$N$81-DD96,0))</f>
        <v>0</v>
      </c>
      <c r="DE98" s="431"/>
      <c r="DF98" s="432"/>
      <c r="DG98" s="42"/>
      <c r="DH98" s="382" t="s">
        <v>104</v>
      </c>
      <c r="DI98" s="382"/>
      <c r="DJ98" s="382"/>
      <c r="DK98" s="382"/>
      <c r="DL98" s="382"/>
      <c r="DM98" s="382"/>
      <c r="DN98" s="382"/>
      <c r="DO98" s="382"/>
      <c r="DP98" s="382"/>
      <c r="DQ98" s="382"/>
      <c r="DR98" s="382"/>
      <c r="DS98" s="382"/>
      <c r="DV98" s="41"/>
    </row>
    <row r="99" spans="1:343" ht="7.4" customHeight="1" x14ac:dyDescent="0.5">
      <c r="A99" s="42"/>
      <c r="BI99" s="41"/>
      <c r="BK99" s="430"/>
      <c r="BL99" s="431"/>
      <c r="BM99" s="432"/>
      <c r="BN99" s="430"/>
      <c r="BO99" s="431"/>
      <c r="BP99" s="432"/>
      <c r="BQ99" s="430"/>
      <c r="BR99" s="431"/>
      <c r="BS99" s="432"/>
      <c r="BT99" s="430"/>
      <c r="BU99" s="431"/>
      <c r="BV99" s="432"/>
      <c r="BW99" s="430"/>
      <c r="BX99" s="431"/>
      <c r="BY99" s="432"/>
      <c r="BZ99" s="430"/>
      <c r="CA99" s="431"/>
      <c r="CB99" s="432"/>
      <c r="CC99" s="430"/>
      <c r="CD99" s="431"/>
      <c r="CE99" s="432"/>
      <c r="CF99" s="430"/>
      <c r="CG99" s="431"/>
      <c r="CH99" s="432"/>
      <c r="CI99" s="430"/>
      <c r="CJ99" s="431"/>
      <c r="CK99" s="432"/>
      <c r="CL99" s="430"/>
      <c r="CM99" s="431"/>
      <c r="CN99" s="432"/>
      <c r="CO99" s="430"/>
      <c r="CP99" s="431"/>
      <c r="CQ99" s="432"/>
      <c r="CR99" s="430"/>
      <c r="CS99" s="431"/>
      <c r="CT99" s="432"/>
      <c r="CU99" s="430"/>
      <c r="CV99" s="431"/>
      <c r="CW99" s="432"/>
      <c r="CX99" s="430"/>
      <c r="CY99" s="431"/>
      <c r="CZ99" s="432"/>
      <c r="DA99" s="430"/>
      <c r="DB99" s="431"/>
      <c r="DC99" s="432"/>
      <c r="DD99" s="430"/>
      <c r="DE99" s="431"/>
      <c r="DF99" s="432"/>
      <c r="DG99" s="42"/>
      <c r="DH99" s="382"/>
      <c r="DI99" s="382"/>
      <c r="DJ99" s="382"/>
      <c r="DK99" s="382"/>
      <c r="DL99" s="382"/>
      <c r="DM99" s="382"/>
      <c r="DN99" s="382"/>
      <c r="DO99" s="382"/>
      <c r="DP99" s="382"/>
      <c r="DQ99" s="382"/>
      <c r="DR99" s="382"/>
      <c r="DS99" s="382"/>
      <c r="DV99" s="41"/>
    </row>
    <row r="100" spans="1:343" ht="7.4" customHeight="1" x14ac:dyDescent="0.5">
      <c r="A100" s="50"/>
      <c r="B100" s="51"/>
      <c r="C100" s="51"/>
      <c r="D100" s="51"/>
      <c r="E100" s="51"/>
      <c r="F100" s="51"/>
      <c r="G100" s="51"/>
      <c r="H100" s="51"/>
      <c r="I100" s="51"/>
      <c r="J100" s="51"/>
      <c r="K100" s="51"/>
      <c r="L100" s="51"/>
      <c r="M100" s="51"/>
      <c r="N100" s="51"/>
      <c r="O100" s="51"/>
      <c r="P100" s="51"/>
      <c r="Q100" s="51"/>
      <c r="R100" s="51"/>
      <c r="S100" s="51"/>
      <c r="T100" s="51"/>
      <c r="U100" s="51"/>
      <c r="V100" s="51"/>
      <c r="W100" s="51"/>
      <c r="X100" s="51"/>
      <c r="Y100" s="51"/>
      <c r="Z100" s="51"/>
      <c r="AA100" s="51"/>
      <c r="AB100" s="51"/>
      <c r="AC100" s="51"/>
      <c r="AD100" s="51"/>
      <c r="AE100" s="51"/>
      <c r="AF100" s="51"/>
      <c r="AG100" s="51"/>
      <c r="AH100" s="51"/>
      <c r="AI100" s="51"/>
      <c r="AJ100" s="51"/>
      <c r="AK100" s="51"/>
      <c r="AL100" s="51"/>
      <c r="AM100" s="51"/>
      <c r="AN100" s="51"/>
      <c r="AO100" s="51"/>
      <c r="AP100" s="51"/>
      <c r="AQ100" s="51"/>
      <c r="AR100" s="51"/>
      <c r="AS100" s="51"/>
      <c r="AT100" s="51"/>
      <c r="AU100" s="51"/>
      <c r="AV100" s="51"/>
      <c r="AW100" s="51"/>
      <c r="AX100" s="51"/>
      <c r="AY100" s="51"/>
      <c r="AZ100" s="51"/>
      <c r="BA100" s="51"/>
      <c r="BB100" s="51"/>
      <c r="BC100" s="51"/>
      <c r="BD100" s="51"/>
      <c r="BE100" s="51"/>
      <c r="BF100" s="51"/>
      <c r="BG100" s="51"/>
      <c r="BH100" s="51"/>
      <c r="BI100" s="52"/>
      <c r="BK100" s="430">
        <f>BK88*1000-BK94</f>
        <v>320</v>
      </c>
      <c r="BL100" s="431"/>
      <c r="BM100" s="432"/>
      <c r="BN100" s="430">
        <f>BN88*1000-BN94</f>
        <v>0</v>
      </c>
      <c r="BO100" s="431"/>
      <c r="BP100" s="432"/>
      <c r="BQ100" s="430">
        <f>BQ88*1000-BQ94</f>
        <v>0</v>
      </c>
      <c r="BR100" s="431"/>
      <c r="BS100" s="432"/>
      <c r="BT100" s="430">
        <f>BT88*1000-BT94</f>
        <v>0</v>
      </c>
      <c r="BU100" s="431"/>
      <c r="BV100" s="432"/>
      <c r="BW100" s="430">
        <f>BW88*1000-BW94</f>
        <v>0</v>
      </c>
      <c r="BX100" s="431"/>
      <c r="BY100" s="432"/>
      <c r="BZ100" s="430">
        <f>BZ88*1000-BZ94</f>
        <v>0</v>
      </c>
      <c r="CA100" s="431"/>
      <c r="CB100" s="432"/>
      <c r="CC100" s="430">
        <f>CC88*1000-CC94</f>
        <v>0</v>
      </c>
      <c r="CD100" s="431"/>
      <c r="CE100" s="432"/>
      <c r="CF100" s="430">
        <f>CF88*1000-CF94</f>
        <v>0</v>
      </c>
      <c r="CG100" s="431"/>
      <c r="CH100" s="432"/>
      <c r="CI100" s="430">
        <f>CI88*1000-CI94</f>
        <v>0</v>
      </c>
      <c r="CJ100" s="431"/>
      <c r="CK100" s="432"/>
      <c r="CL100" s="430">
        <f>CL88*1000-CL94</f>
        <v>0</v>
      </c>
      <c r="CM100" s="431"/>
      <c r="CN100" s="432"/>
      <c r="CO100" s="430">
        <f>CO88*1000-CO94</f>
        <v>0</v>
      </c>
      <c r="CP100" s="431"/>
      <c r="CQ100" s="432"/>
      <c r="CR100" s="430">
        <f>CR88*1000-CR94</f>
        <v>0</v>
      </c>
      <c r="CS100" s="431"/>
      <c r="CT100" s="432"/>
      <c r="CU100" s="430">
        <f>CU88*1000-CU94</f>
        <v>0</v>
      </c>
      <c r="CV100" s="431"/>
      <c r="CW100" s="432"/>
      <c r="CX100" s="430">
        <f>CX88*1000-CX94</f>
        <v>0</v>
      </c>
      <c r="CY100" s="431"/>
      <c r="CZ100" s="432"/>
      <c r="DA100" s="430">
        <f>DA88*1000-DA94</f>
        <v>0</v>
      </c>
      <c r="DB100" s="431"/>
      <c r="DC100" s="432"/>
      <c r="DD100" s="430">
        <f>DD88*1000-DD94</f>
        <v>0</v>
      </c>
      <c r="DE100" s="431"/>
      <c r="DF100" s="432"/>
      <c r="DG100" s="42"/>
      <c r="DH100" s="436" t="s">
        <v>105</v>
      </c>
      <c r="DI100" s="436"/>
      <c r="DJ100" s="436"/>
      <c r="DK100" s="436"/>
      <c r="DL100" s="436"/>
      <c r="DM100" s="436"/>
      <c r="DN100" s="436"/>
      <c r="DO100" s="436"/>
      <c r="DP100" s="436"/>
      <c r="DQ100" s="436"/>
      <c r="DR100" s="436"/>
      <c r="DS100" s="436"/>
      <c r="DT100" s="436"/>
      <c r="DU100" s="436"/>
      <c r="DV100" s="437"/>
    </row>
    <row r="101" spans="1:343" ht="7.4" customHeight="1" x14ac:dyDescent="0.5">
      <c r="BK101" s="433"/>
      <c r="BL101" s="434"/>
      <c r="BM101" s="435"/>
      <c r="BN101" s="433"/>
      <c r="BO101" s="434"/>
      <c r="BP101" s="435"/>
      <c r="BQ101" s="433"/>
      <c r="BR101" s="434"/>
      <c r="BS101" s="435"/>
      <c r="BT101" s="433"/>
      <c r="BU101" s="434"/>
      <c r="BV101" s="435"/>
      <c r="BW101" s="433"/>
      <c r="BX101" s="434"/>
      <c r="BY101" s="435"/>
      <c r="BZ101" s="433"/>
      <c r="CA101" s="434"/>
      <c r="CB101" s="435"/>
      <c r="CC101" s="433"/>
      <c r="CD101" s="434"/>
      <c r="CE101" s="435"/>
      <c r="CF101" s="433"/>
      <c r="CG101" s="434"/>
      <c r="CH101" s="435"/>
      <c r="CI101" s="433"/>
      <c r="CJ101" s="434"/>
      <c r="CK101" s="435"/>
      <c r="CL101" s="433"/>
      <c r="CM101" s="434"/>
      <c r="CN101" s="435"/>
      <c r="CO101" s="433"/>
      <c r="CP101" s="434"/>
      <c r="CQ101" s="435"/>
      <c r="CR101" s="433"/>
      <c r="CS101" s="434"/>
      <c r="CT101" s="435"/>
      <c r="CU101" s="433"/>
      <c r="CV101" s="434"/>
      <c r="CW101" s="435"/>
      <c r="CX101" s="433"/>
      <c r="CY101" s="434"/>
      <c r="CZ101" s="435"/>
      <c r="DA101" s="433"/>
      <c r="DB101" s="434"/>
      <c r="DC101" s="435"/>
      <c r="DD101" s="433"/>
      <c r="DE101" s="434"/>
      <c r="DF101" s="435"/>
      <c r="DG101" s="50"/>
      <c r="DH101" s="438"/>
      <c r="DI101" s="438"/>
      <c r="DJ101" s="438"/>
      <c r="DK101" s="438"/>
      <c r="DL101" s="438"/>
      <c r="DM101" s="438"/>
      <c r="DN101" s="438"/>
      <c r="DO101" s="438"/>
      <c r="DP101" s="438"/>
      <c r="DQ101" s="438"/>
      <c r="DR101" s="438"/>
      <c r="DS101" s="438"/>
      <c r="DT101" s="438"/>
      <c r="DU101" s="438"/>
      <c r="DV101" s="439"/>
    </row>
    <row r="102" spans="1:343" ht="7.4" customHeight="1" x14ac:dyDescent="0.5">
      <c r="A102" s="337" t="s">
        <v>46</v>
      </c>
      <c r="B102" s="337"/>
      <c r="C102" s="337"/>
      <c r="D102" s="337"/>
      <c r="E102" s="337"/>
      <c r="F102" s="337"/>
      <c r="G102" s="337"/>
      <c r="H102" s="337"/>
      <c r="I102" s="337"/>
      <c r="J102" s="337"/>
      <c r="K102" s="337"/>
      <c r="L102" s="337"/>
      <c r="M102" s="337"/>
      <c r="N102" s="337"/>
      <c r="O102" s="337"/>
      <c r="P102" s="337"/>
      <c r="Q102" s="337"/>
      <c r="R102" s="337"/>
      <c r="S102" s="337"/>
      <c r="T102" s="337"/>
      <c r="U102" s="337"/>
      <c r="V102" s="337"/>
      <c r="W102" s="337"/>
      <c r="X102" s="337"/>
      <c r="Y102" s="337"/>
      <c r="Z102" s="337"/>
      <c r="AA102" s="337"/>
      <c r="AB102" s="337"/>
      <c r="AC102" s="337"/>
      <c r="AD102" s="337"/>
      <c r="AE102" s="337"/>
      <c r="AF102" s="337"/>
      <c r="AG102" s="337"/>
      <c r="AH102" s="337"/>
      <c r="AI102" s="337"/>
      <c r="AJ102" s="337"/>
      <c r="AK102" s="337"/>
      <c r="AL102" s="337"/>
      <c r="AM102" s="337"/>
      <c r="AN102" s="337"/>
      <c r="AO102" s="337"/>
      <c r="AP102" s="337"/>
      <c r="AQ102" s="337"/>
      <c r="AR102" s="337"/>
      <c r="AS102" s="337"/>
      <c r="AT102" s="337"/>
      <c r="AU102" s="337"/>
      <c r="AV102" s="337"/>
      <c r="AW102" s="337"/>
      <c r="AX102" s="337"/>
      <c r="AY102" s="337"/>
      <c r="AZ102" s="337"/>
      <c r="BA102" s="337"/>
      <c r="BB102" s="337"/>
      <c r="BC102" s="337"/>
      <c r="BD102" s="337"/>
      <c r="BE102" s="337"/>
      <c r="BF102" s="337"/>
      <c r="BG102" s="337"/>
      <c r="BH102" s="337"/>
      <c r="BI102" s="337"/>
      <c r="BK102" s="183"/>
      <c r="BL102" s="183"/>
      <c r="BM102" s="183"/>
      <c r="BN102" s="183"/>
      <c r="BO102" s="183"/>
      <c r="BP102" s="183"/>
      <c r="BQ102" s="183"/>
      <c r="BR102" s="183"/>
      <c r="BS102" s="183"/>
      <c r="BT102" s="183"/>
      <c r="BU102" s="183"/>
      <c r="BV102" s="183"/>
      <c r="BW102" s="183"/>
      <c r="BX102" s="183"/>
      <c r="BY102" s="183"/>
      <c r="BZ102" s="183"/>
      <c r="CA102" s="183"/>
      <c r="CB102" s="183"/>
      <c r="CC102" s="183"/>
      <c r="CD102" s="183"/>
      <c r="CE102" s="183"/>
      <c r="CF102" s="183"/>
      <c r="CG102" s="183"/>
      <c r="CH102" s="183"/>
      <c r="CI102" s="183"/>
      <c r="CJ102" s="183"/>
      <c r="CK102" s="183"/>
      <c r="CL102" s="183"/>
      <c r="CM102" s="183"/>
      <c r="CN102" s="183"/>
      <c r="CO102" s="183"/>
      <c r="CP102" s="183"/>
      <c r="CQ102" s="183"/>
      <c r="CR102" s="183"/>
      <c r="CS102" s="183"/>
      <c r="CT102" s="183"/>
      <c r="CU102" s="183"/>
      <c r="CV102" s="183"/>
      <c r="CW102" s="183"/>
      <c r="CX102" s="183"/>
      <c r="CY102" s="183"/>
      <c r="CZ102" s="183"/>
      <c r="DA102" s="183"/>
      <c r="DB102" s="183"/>
      <c r="DC102" s="183"/>
      <c r="DD102" s="183"/>
      <c r="DE102" s="183"/>
      <c r="DF102" s="183"/>
      <c r="DH102" s="182"/>
      <c r="DI102" s="182"/>
      <c r="DJ102" s="182"/>
      <c r="DK102" s="182"/>
      <c r="DL102" s="182"/>
      <c r="DM102" s="182"/>
      <c r="DN102" s="182"/>
      <c r="DO102" s="182"/>
      <c r="DP102" s="182"/>
      <c r="DQ102" s="182"/>
      <c r="DR102" s="182"/>
      <c r="DS102" s="182"/>
      <c r="DT102" s="182"/>
      <c r="DU102" s="182"/>
      <c r="DV102" s="182"/>
    </row>
    <row r="103" spans="1:343" ht="7.4" customHeight="1" x14ac:dyDescent="0.5">
      <c r="A103" s="337"/>
      <c r="B103" s="337"/>
      <c r="C103" s="337"/>
      <c r="D103" s="337"/>
      <c r="E103" s="337"/>
      <c r="F103" s="337"/>
      <c r="G103" s="337"/>
      <c r="H103" s="337"/>
      <c r="I103" s="337"/>
      <c r="J103" s="337"/>
      <c r="K103" s="337"/>
      <c r="L103" s="337"/>
      <c r="M103" s="337"/>
      <c r="N103" s="337"/>
      <c r="O103" s="337"/>
      <c r="P103" s="337"/>
      <c r="Q103" s="337"/>
      <c r="R103" s="337"/>
      <c r="S103" s="337"/>
      <c r="T103" s="337"/>
      <c r="U103" s="337"/>
      <c r="V103" s="337"/>
      <c r="W103" s="337"/>
      <c r="X103" s="337"/>
      <c r="Y103" s="337"/>
      <c r="Z103" s="337"/>
      <c r="AA103" s="337"/>
      <c r="AB103" s="337"/>
      <c r="AC103" s="337"/>
      <c r="AD103" s="337"/>
      <c r="AE103" s="337"/>
      <c r="AF103" s="337"/>
      <c r="AG103" s="337"/>
      <c r="AH103" s="337"/>
      <c r="AI103" s="337"/>
      <c r="AJ103" s="337"/>
      <c r="AK103" s="337"/>
      <c r="AL103" s="337"/>
      <c r="AM103" s="337"/>
      <c r="AN103" s="337"/>
      <c r="AO103" s="337"/>
      <c r="AP103" s="337"/>
      <c r="AQ103" s="337"/>
      <c r="AR103" s="337"/>
      <c r="AS103" s="337"/>
      <c r="AT103" s="337"/>
      <c r="AU103" s="337"/>
      <c r="AV103" s="337"/>
      <c r="AW103" s="337"/>
      <c r="AX103" s="337"/>
      <c r="AY103" s="337"/>
      <c r="AZ103" s="337"/>
      <c r="BA103" s="337"/>
      <c r="BB103" s="337"/>
      <c r="BC103" s="337"/>
      <c r="BD103" s="337"/>
      <c r="BE103" s="337"/>
      <c r="BF103" s="337"/>
      <c r="BG103" s="337"/>
      <c r="BH103" s="337"/>
      <c r="BI103" s="337"/>
      <c r="BK103" s="183"/>
      <c r="BL103" s="183"/>
      <c r="BM103" s="183"/>
      <c r="BN103" s="183"/>
      <c r="BO103" s="183"/>
      <c r="BP103" s="183"/>
      <c r="BQ103" s="183"/>
      <c r="BR103" s="183"/>
      <c r="BS103" s="183"/>
      <c r="BT103" s="183"/>
      <c r="BU103" s="183"/>
      <c r="BV103" s="183"/>
      <c r="BW103" s="183"/>
      <c r="BX103" s="183"/>
      <c r="BY103" s="183"/>
      <c r="BZ103" s="183"/>
      <c r="CA103" s="183"/>
      <c r="CB103" s="183"/>
      <c r="CC103" s="183"/>
      <c r="CD103" s="183"/>
      <c r="CE103" s="183"/>
      <c r="CF103" s="183"/>
      <c r="CG103" s="183"/>
      <c r="CH103" s="183"/>
      <c r="CI103" s="183"/>
      <c r="CJ103" s="183"/>
      <c r="CK103" s="183"/>
      <c r="CL103" s="183"/>
      <c r="CM103" s="183"/>
      <c r="CN103" s="183"/>
      <c r="CO103" s="183"/>
      <c r="CP103" s="183"/>
      <c r="CQ103" s="183"/>
      <c r="CR103" s="183"/>
      <c r="CS103" s="183"/>
      <c r="CT103" s="183"/>
      <c r="CU103" s="183"/>
      <c r="CV103" s="183"/>
      <c r="CW103" s="183"/>
      <c r="CX103" s="183"/>
      <c r="CY103" s="183"/>
      <c r="CZ103" s="183"/>
      <c r="DA103" s="183"/>
      <c r="DB103" s="183"/>
      <c r="DC103" s="183"/>
      <c r="DD103" s="183"/>
      <c r="DE103" s="183"/>
      <c r="DF103" s="183"/>
      <c r="DH103" s="182"/>
      <c r="DI103" s="182"/>
      <c r="DJ103" s="182"/>
      <c r="DK103" s="182"/>
      <c r="DL103" s="182"/>
      <c r="DM103" s="182"/>
      <c r="DN103" s="182"/>
      <c r="DO103" s="182"/>
      <c r="DP103" s="182"/>
      <c r="DQ103" s="182"/>
      <c r="DR103" s="182"/>
      <c r="DS103" s="182"/>
      <c r="DT103" s="182"/>
      <c r="DU103" s="182"/>
      <c r="DV103" s="182"/>
    </row>
    <row r="104" spans="1:343" ht="7.4" customHeight="1" x14ac:dyDescent="0.5">
      <c r="DH104" s="24"/>
      <c r="DI104" s="24"/>
      <c r="DJ104" s="24"/>
      <c r="DK104" s="24"/>
      <c r="DL104" s="24"/>
    </row>
    <row r="105" spans="1:343" ht="7.4" customHeight="1" x14ac:dyDescent="0.5">
      <c r="BK105" s="333"/>
      <c r="BL105" s="333"/>
      <c r="BM105" s="333"/>
      <c r="BN105" s="333"/>
      <c r="BO105" s="333"/>
      <c r="BP105" s="333"/>
      <c r="BQ105" s="298"/>
      <c r="BR105" s="298"/>
      <c r="BS105" s="298"/>
      <c r="BT105" s="298"/>
      <c r="BU105" s="298"/>
      <c r="BV105" s="298"/>
      <c r="BW105" s="298"/>
      <c r="BX105" s="334"/>
      <c r="BY105" s="334"/>
      <c r="BZ105" s="334"/>
      <c r="CA105" s="334"/>
      <c r="CB105" s="334"/>
      <c r="CC105" s="334"/>
    </row>
    <row r="106" spans="1:343" ht="7.4" customHeight="1" x14ac:dyDescent="0.5">
      <c r="BK106" s="333"/>
      <c r="BL106" s="333"/>
      <c r="BM106" s="333"/>
      <c r="BN106" s="333"/>
      <c r="BO106" s="333"/>
      <c r="BP106" s="333"/>
      <c r="BQ106" s="298"/>
      <c r="BR106" s="298"/>
      <c r="BS106" s="298"/>
      <c r="BT106" s="298"/>
      <c r="BU106" s="298"/>
      <c r="BV106" s="298"/>
      <c r="BW106" s="298"/>
      <c r="BX106" s="334"/>
      <c r="BY106" s="334"/>
      <c r="BZ106" s="334"/>
      <c r="CA106" s="334"/>
      <c r="CB106" s="334"/>
      <c r="CC106" s="334"/>
    </row>
    <row r="107" spans="1:343" ht="7.4" customHeight="1" x14ac:dyDescent="0.5">
      <c r="BB107" s="184"/>
      <c r="BC107" s="184"/>
      <c r="BD107" s="184"/>
      <c r="BE107" s="184"/>
      <c r="BF107" s="184"/>
      <c r="BG107" s="184"/>
      <c r="BH107" s="184"/>
      <c r="BI107" s="184"/>
      <c r="BK107" s="339"/>
      <c r="BL107" s="339"/>
      <c r="BM107" s="339"/>
      <c r="BN107" s="339"/>
      <c r="BO107" s="339"/>
      <c r="BP107" s="339"/>
      <c r="BQ107" s="340"/>
      <c r="BR107" s="340"/>
      <c r="BS107" s="340"/>
      <c r="BT107" s="340"/>
      <c r="BU107" s="340"/>
      <c r="BV107" s="340"/>
      <c r="BW107" s="340"/>
      <c r="BX107" s="341"/>
      <c r="BY107" s="341"/>
      <c r="BZ107" s="341"/>
      <c r="CA107" s="341"/>
      <c r="CB107" s="341"/>
      <c r="CC107" s="341"/>
      <c r="CJ107" s="108"/>
      <c r="CK107" s="108"/>
      <c r="CL107" s="108"/>
      <c r="CM107" s="108"/>
      <c r="CN107" s="108"/>
      <c r="CO107" s="108"/>
      <c r="DB107" s="75"/>
      <c r="DC107" s="75"/>
      <c r="DD107" s="75"/>
      <c r="DE107" s="75"/>
      <c r="DF107" s="75"/>
      <c r="DH107" s="24"/>
      <c r="DI107" s="24"/>
      <c r="DJ107" s="24"/>
      <c r="DK107" s="24"/>
      <c r="DL107" s="24"/>
    </row>
    <row r="108" spans="1:343" ht="7.4" customHeight="1" x14ac:dyDescent="0.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BB108" s="184"/>
      <c r="BC108" s="184"/>
      <c r="BD108" s="184"/>
      <c r="BE108" s="184"/>
      <c r="BF108" s="184"/>
      <c r="BG108" s="184"/>
      <c r="BH108" s="184"/>
      <c r="BI108" s="184"/>
      <c r="BK108" s="339"/>
      <c r="BL108" s="339"/>
      <c r="BM108" s="339"/>
      <c r="BN108" s="339"/>
      <c r="BO108" s="339"/>
      <c r="BP108" s="339"/>
      <c r="BQ108" s="340"/>
      <c r="BR108" s="340"/>
      <c r="BS108" s="340"/>
      <c r="BT108" s="340"/>
      <c r="BU108" s="340"/>
      <c r="BV108" s="340"/>
      <c r="BW108" s="340"/>
      <c r="BX108" s="341"/>
      <c r="BY108" s="341"/>
      <c r="BZ108" s="341"/>
      <c r="CA108" s="341"/>
      <c r="CB108" s="341"/>
      <c r="CC108" s="341"/>
      <c r="CJ108" s="108"/>
      <c r="CK108" s="108"/>
      <c r="CL108" s="108"/>
      <c r="CM108" s="108"/>
      <c r="CN108" s="108"/>
      <c r="CO108" s="108"/>
      <c r="DB108" s="75"/>
      <c r="DC108" s="75"/>
      <c r="DD108" s="75"/>
      <c r="DE108" s="75"/>
      <c r="DF108" s="75"/>
      <c r="DH108" s="24"/>
      <c r="DI108" s="24"/>
      <c r="DJ108" s="24"/>
      <c r="DK108" s="24"/>
      <c r="DL108" s="24"/>
    </row>
    <row r="109" spans="1:343" ht="7.4" customHeight="1" x14ac:dyDescent="0.5">
      <c r="A109" s="38"/>
      <c r="B109" s="39"/>
      <c r="C109" s="39"/>
      <c r="D109" s="39"/>
      <c r="E109" s="39"/>
      <c r="F109" s="39"/>
      <c r="G109" s="39"/>
      <c r="H109" s="39"/>
      <c r="I109" s="39"/>
      <c r="J109" s="39"/>
      <c r="K109" s="39"/>
      <c r="L109" s="39"/>
      <c r="M109" s="39"/>
      <c r="N109" s="39"/>
      <c r="O109" s="39"/>
      <c r="P109" s="39"/>
      <c r="Q109" s="39"/>
      <c r="R109" s="39"/>
      <c r="S109" s="67"/>
      <c r="T109" s="68"/>
      <c r="U109" s="68"/>
      <c r="V109" s="68"/>
      <c r="W109" s="68"/>
      <c r="X109" s="68"/>
      <c r="Y109" s="68"/>
      <c r="Z109" s="68"/>
      <c r="AA109" s="68"/>
      <c r="AB109" s="68"/>
      <c r="AC109" s="68"/>
      <c r="AD109" s="68"/>
      <c r="AE109" s="68"/>
      <c r="AF109" s="68"/>
      <c r="AG109" s="68"/>
      <c r="AH109" s="68"/>
      <c r="AI109" s="68"/>
      <c r="AJ109" s="68"/>
      <c r="AK109" s="68"/>
      <c r="AL109" s="68"/>
      <c r="AM109" s="68"/>
      <c r="AN109" s="68"/>
      <c r="AO109" s="68"/>
      <c r="AP109" s="68"/>
      <c r="AQ109" s="69"/>
      <c r="AR109" s="39"/>
      <c r="AS109" s="39"/>
      <c r="AT109" s="39"/>
      <c r="AU109" s="39"/>
      <c r="AV109" s="39"/>
      <c r="AW109" s="39"/>
      <c r="AX109" s="39"/>
      <c r="AY109" s="39"/>
      <c r="AZ109" s="39"/>
      <c r="BA109" s="39"/>
      <c r="BB109" s="39"/>
      <c r="BC109" s="39"/>
      <c r="BD109" s="39"/>
      <c r="BE109" s="39"/>
      <c r="BF109" s="39"/>
      <c r="BG109" s="39"/>
      <c r="BH109" s="39"/>
      <c r="BI109" s="40"/>
      <c r="BK109" s="334"/>
      <c r="BL109" s="334"/>
      <c r="BM109" s="334"/>
      <c r="BN109" s="334"/>
      <c r="BO109" s="334"/>
      <c r="BP109" s="334"/>
      <c r="BQ109" s="429"/>
      <c r="BR109" s="429"/>
      <c r="BS109" s="429"/>
      <c r="BT109" s="429"/>
      <c r="BU109" s="429"/>
      <c r="BV109" s="429"/>
      <c r="BW109" s="429"/>
      <c r="BX109" s="429"/>
      <c r="BY109" s="429"/>
      <c r="BZ109" s="429"/>
      <c r="CA109" s="429"/>
      <c r="CB109" s="429"/>
      <c r="CC109" s="334"/>
      <c r="CD109" s="334"/>
      <c r="CE109" s="334"/>
      <c r="CF109" s="334"/>
      <c r="CG109" s="334"/>
      <c r="CH109" s="334"/>
      <c r="CI109" s="333"/>
      <c r="CJ109" s="333"/>
      <c r="CK109" s="333"/>
      <c r="CL109" s="333"/>
      <c r="CM109" s="333"/>
      <c r="CN109" s="333"/>
      <c r="CO109" s="334"/>
      <c r="CP109" s="334"/>
      <c r="CQ109" s="334"/>
      <c r="CR109" s="334"/>
      <c r="CS109" s="334"/>
      <c r="CT109" s="334"/>
    </row>
    <row r="110" spans="1:343" ht="7.4" customHeight="1" x14ac:dyDescent="0.5">
      <c r="A110" s="42"/>
      <c r="S110" s="70"/>
      <c r="T110" s="509" t="str">
        <f>"Roof Top Raised Railed ("&amp;$AO$35&amp;")"</f>
        <v>Roof Top Raised Railed (IBR)</v>
      </c>
      <c r="U110" s="509"/>
      <c r="V110" s="509"/>
      <c r="W110" s="509"/>
      <c r="X110" s="509"/>
      <c r="Y110" s="509"/>
      <c r="Z110" s="509"/>
      <c r="AA110" s="509"/>
      <c r="AB110" s="509"/>
      <c r="AC110" s="509"/>
      <c r="AD110" s="509"/>
      <c r="AE110" s="509"/>
      <c r="AF110" s="509"/>
      <c r="AG110" s="509"/>
      <c r="AH110" s="509"/>
      <c r="AI110" s="509"/>
      <c r="AJ110" s="509"/>
      <c r="AK110" s="509"/>
      <c r="AL110" s="509"/>
      <c r="AM110" s="509"/>
      <c r="AN110" s="509"/>
      <c r="AO110" s="509"/>
      <c r="AP110" s="509"/>
      <c r="AQ110" s="71"/>
      <c r="BI110" s="41"/>
      <c r="BK110" s="334"/>
      <c r="BL110" s="334"/>
      <c r="BM110" s="334"/>
      <c r="BN110" s="334"/>
      <c r="BO110" s="334"/>
      <c r="BP110" s="334"/>
      <c r="BQ110" s="429"/>
      <c r="BR110" s="429"/>
      <c r="BS110" s="429"/>
      <c r="BT110" s="429"/>
      <c r="BU110" s="429"/>
      <c r="BV110" s="429"/>
      <c r="BW110" s="429"/>
      <c r="BX110" s="429"/>
      <c r="BY110" s="429"/>
      <c r="BZ110" s="429"/>
      <c r="CA110" s="429"/>
      <c r="CB110" s="429"/>
      <c r="CC110" s="334"/>
      <c r="CD110" s="334"/>
      <c r="CE110" s="334"/>
      <c r="CF110" s="334"/>
      <c r="CG110" s="334"/>
      <c r="CH110" s="334"/>
      <c r="CI110" s="333"/>
      <c r="CJ110" s="333"/>
      <c r="CK110" s="333"/>
      <c r="CL110" s="333"/>
      <c r="CM110" s="333"/>
      <c r="CN110" s="333"/>
      <c r="CO110" s="334"/>
      <c r="CP110" s="334"/>
      <c r="CQ110" s="334"/>
      <c r="CR110" s="334"/>
      <c r="CS110" s="334"/>
      <c r="CT110" s="334"/>
      <c r="DY110" s="185">
        <f t="shared" ref="DY110:GJ110" si="0">$DX$111*DY111+$DX$112*DY112</f>
        <v>0</v>
      </c>
      <c r="DZ110" s="185">
        <f t="shared" si="0"/>
        <v>2.35</v>
      </c>
      <c r="EA110" s="185">
        <f t="shared" si="0"/>
        <v>2.9249999999999998</v>
      </c>
      <c r="EB110" s="185">
        <f t="shared" si="0"/>
        <v>4.7</v>
      </c>
      <c r="EC110" s="185">
        <f t="shared" si="0"/>
        <v>5.2750000000000004</v>
      </c>
      <c r="ED110" s="185">
        <f t="shared" si="0"/>
        <v>5.85</v>
      </c>
      <c r="EE110" s="185">
        <f t="shared" si="0"/>
        <v>7.0500000000000007</v>
      </c>
      <c r="EF110" s="185">
        <f t="shared" si="0"/>
        <v>7.625</v>
      </c>
      <c r="EG110" s="185">
        <f t="shared" si="0"/>
        <v>8.1999999999999993</v>
      </c>
      <c r="EH110" s="185">
        <f t="shared" si="0"/>
        <v>8.7749999999999986</v>
      </c>
      <c r="EI110" s="185">
        <f t="shared" si="0"/>
        <v>9.4</v>
      </c>
      <c r="EJ110" s="185">
        <f t="shared" si="0"/>
        <v>9.9750000000000014</v>
      </c>
      <c r="EK110" s="185">
        <f t="shared" si="0"/>
        <v>10.55</v>
      </c>
      <c r="EL110" s="185">
        <f t="shared" si="0"/>
        <v>11.124999999999998</v>
      </c>
      <c r="EM110" s="185">
        <f t="shared" si="0"/>
        <v>11.7</v>
      </c>
      <c r="EN110" s="185">
        <f t="shared" si="0"/>
        <v>11.75</v>
      </c>
      <c r="EO110" s="185">
        <f t="shared" si="0"/>
        <v>12.324999999999999</v>
      </c>
      <c r="EP110" s="185">
        <f t="shared" si="0"/>
        <v>12.9</v>
      </c>
      <c r="EQ110" s="185">
        <f t="shared" si="0"/>
        <v>13.474999999999998</v>
      </c>
      <c r="ER110" s="185">
        <f t="shared" si="0"/>
        <v>14.049999999999999</v>
      </c>
      <c r="ES110" s="185">
        <f t="shared" si="0"/>
        <v>14.049999999999999</v>
      </c>
      <c r="ET110" s="185">
        <f t="shared" si="0"/>
        <v>14.625</v>
      </c>
      <c r="EU110" s="185">
        <f t="shared" si="0"/>
        <v>14.675000000000001</v>
      </c>
      <c r="EV110" s="185">
        <f t="shared" si="0"/>
        <v>15.25</v>
      </c>
      <c r="EW110" s="185">
        <f t="shared" si="0"/>
        <v>15.824999999999999</v>
      </c>
      <c r="EX110" s="185">
        <f t="shared" si="0"/>
        <v>16.399999999999999</v>
      </c>
      <c r="EY110" s="185">
        <f t="shared" si="0"/>
        <v>16.45</v>
      </c>
      <c r="EZ110" s="185">
        <f t="shared" si="0"/>
        <v>16.975000000000001</v>
      </c>
      <c r="FA110" s="185">
        <f t="shared" si="0"/>
        <v>16.975000000000001</v>
      </c>
      <c r="FB110" s="185">
        <f t="shared" si="0"/>
        <v>17.549999999999997</v>
      </c>
      <c r="FC110" s="185">
        <f t="shared" si="0"/>
        <v>17.549999999999997</v>
      </c>
      <c r="FD110" s="185">
        <f t="shared" si="0"/>
        <v>18.174999999999997</v>
      </c>
      <c r="FE110" s="185">
        <f t="shared" si="0"/>
        <v>18.75</v>
      </c>
      <c r="FF110" s="185">
        <f t="shared" si="0"/>
        <v>18.75</v>
      </c>
      <c r="FG110" s="185">
        <f t="shared" si="0"/>
        <v>19.324999999999999</v>
      </c>
      <c r="FH110" s="185">
        <f t="shared" si="0"/>
        <v>19.375</v>
      </c>
      <c r="FI110" s="185">
        <f t="shared" si="0"/>
        <v>19.899999999999999</v>
      </c>
      <c r="FJ110" s="185">
        <f t="shared" si="0"/>
        <v>19.950000000000003</v>
      </c>
      <c r="FK110" s="185">
        <f t="shared" si="0"/>
        <v>20.474999999999998</v>
      </c>
      <c r="FL110" s="185">
        <f t="shared" si="0"/>
        <v>20.474999999999998</v>
      </c>
      <c r="FM110" s="185">
        <f t="shared" si="0"/>
        <v>21.1</v>
      </c>
      <c r="FN110" s="185">
        <f t="shared" si="0"/>
        <v>21.150000000000002</v>
      </c>
      <c r="FO110" s="185">
        <f t="shared" si="0"/>
        <v>21.675000000000001</v>
      </c>
      <c r="FP110" s="185">
        <f t="shared" si="0"/>
        <v>21.675000000000001</v>
      </c>
      <c r="FQ110" s="185">
        <f t="shared" si="0"/>
        <v>22.249999999999996</v>
      </c>
      <c r="FR110" s="185">
        <f t="shared" si="0"/>
        <v>22.249999999999996</v>
      </c>
      <c r="FS110" s="185">
        <f t="shared" si="0"/>
        <v>22.824999999999999</v>
      </c>
      <c r="FT110" s="185">
        <f t="shared" si="0"/>
        <v>22.875</v>
      </c>
      <c r="FU110" s="185">
        <f t="shared" si="0"/>
        <v>23.4</v>
      </c>
      <c r="FV110" s="185">
        <f t="shared" si="0"/>
        <v>23.45</v>
      </c>
      <c r="FW110" s="185">
        <f t="shared" si="0"/>
        <v>23.45</v>
      </c>
      <c r="FX110" s="185">
        <f t="shared" si="0"/>
        <v>24.024999999999999</v>
      </c>
      <c r="FY110" s="185">
        <f t="shared" si="0"/>
        <v>24.075000000000003</v>
      </c>
      <c r="FZ110" s="185">
        <f t="shared" si="0"/>
        <v>24.599999999999998</v>
      </c>
      <c r="GA110" s="185">
        <f t="shared" si="0"/>
        <v>24.65</v>
      </c>
      <c r="GB110" s="185">
        <f t="shared" si="0"/>
        <v>25.174999999999997</v>
      </c>
      <c r="GC110" s="185">
        <f t="shared" si="0"/>
        <v>25.174999999999997</v>
      </c>
      <c r="GD110" s="185">
        <f t="shared" si="0"/>
        <v>25.75</v>
      </c>
      <c r="GE110" s="185">
        <f t="shared" si="0"/>
        <v>25.75</v>
      </c>
      <c r="GF110" s="185">
        <f t="shared" si="0"/>
        <v>25.85</v>
      </c>
      <c r="GG110" s="185">
        <f t="shared" si="0"/>
        <v>26.324999999999999</v>
      </c>
      <c r="GH110" s="185">
        <f t="shared" si="0"/>
        <v>26.375</v>
      </c>
      <c r="GI110" s="185">
        <f t="shared" si="0"/>
        <v>26.375</v>
      </c>
      <c r="GJ110" s="185">
        <f t="shared" si="0"/>
        <v>26.949999999999996</v>
      </c>
      <c r="GK110" s="185">
        <f t="shared" ref="GK110:IV110" si="1">$DX$111*GK111+$DX$112*GK112</f>
        <v>26.949999999999996</v>
      </c>
      <c r="GL110" s="185">
        <f t="shared" si="1"/>
        <v>27.524999999999999</v>
      </c>
      <c r="GM110" s="185">
        <f t="shared" si="1"/>
        <v>27.574999999999999</v>
      </c>
      <c r="GN110" s="185">
        <f t="shared" si="1"/>
        <v>28.099999999999998</v>
      </c>
      <c r="GO110" s="185">
        <f t="shared" si="1"/>
        <v>28.15</v>
      </c>
      <c r="GP110" s="185">
        <f t="shared" si="1"/>
        <v>28.15</v>
      </c>
      <c r="GQ110" s="185">
        <f t="shared" si="1"/>
        <v>28.675000000000001</v>
      </c>
      <c r="GR110" s="185">
        <f t="shared" si="1"/>
        <v>28.675000000000001</v>
      </c>
      <c r="GS110" s="185">
        <f t="shared" si="1"/>
        <v>28.775000000000002</v>
      </c>
      <c r="GT110" s="185">
        <f t="shared" si="1"/>
        <v>29.25</v>
      </c>
      <c r="GU110" s="185">
        <f t="shared" si="1"/>
        <v>29.25</v>
      </c>
      <c r="GV110" s="185">
        <f t="shared" si="1"/>
        <v>29.35</v>
      </c>
      <c r="GW110" s="185">
        <f t="shared" si="1"/>
        <v>29.875</v>
      </c>
      <c r="GX110" s="185">
        <f t="shared" si="1"/>
        <v>29.875</v>
      </c>
      <c r="GY110" s="185">
        <f t="shared" si="1"/>
        <v>30.45</v>
      </c>
      <c r="GZ110" s="185">
        <f t="shared" si="1"/>
        <v>30.45</v>
      </c>
      <c r="HA110" s="185">
        <f t="shared" si="1"/>
        <v>30.55</v>
      </c>
      <c r="HB110" s="185">
        <f t="shared" si="1"/>
        <v>31.024999999999999</v>
      </c>
      <c r="HC110" s="185">
        <f t="shared" si="1"/>
        <v>31.074999999999999</v>
      </c>
      <c r="HD110" s="185">
        <f t="shared" si="1"/>
        <v>31.074999999999999</v>
      </c>
      <c r="HE110" s="185">
        <f t="shared" si="1"/>
        <v>31.6</v>
      </c>
      <c r="HF110" s="185">
        <f t="shared" si="1"/>
        <v>31.65</v>
      </c>
      <c r="HG110" s="185">
        <f t="shared" si="1"/>
        <v>31.65</v>
      </c>
      <c r="HH110" s="185">
        <f t="shared" si="1"/>
        <v>32.174999999999997</v>
      </c>
      <c r="HI110" s="185">
        <f t="shared" si="1"/>
        <v>32.174999999999997</v>
      </c>
      <c r="HJ110" s="185">
        <f t="shared" si="1"/>
        <v>32.274999999999999</v>
      </c>
      <c r="HK110" s="185">
        <f t="shared" si="1"/>
        <v>32.799999999999997</v>
      </c>
      <c r="HL110" s="185">
        <f t="shared" si="1"/>
        <v>32.85</v>
      </c>
      <c r="HM110" s="185">
        <f t="shared" si="1"/>
        <v>32.85</v>
      </c>
      <c r="HN110" s="185">
        <f t="shared" si="1"/>
        <v>33.375</v>
      </c>
      <c r="HO110" s="185">
        <f t="shared" si="1"/>
        <v>33.375</v>
      </c>
      <c r="HP110" s="185">
        <f t="shared" si="1"/>
        <v>33.475000000000001</v>
      </c>
      <c r="HQ110" s="185">
        <f t="shared" si="1"/>
        <v>33.950000000000003</v>
      </c>
      <c r="HR110" s="185">
        <f t="shared" si="1"/>
        <v>33.950000000000003</v>
      </c>
      <c r="HS110" s="185">
        <f t="shared" si="1"/>
        <v>34.050000000000004</v>
      </c>
      <c r="HT110" s="185">
        <f t="shared" si="1"/>
        <v>34.524999999999999</v>
      </c>
      <c r="HU110" s="185">
        <f t="shared" si="1"/>
        <v>34.575000000000003</v>
      </c>
      <c r="HV110" s="185">
        <f t="shared" si="1"/>
        <v>34.575000000000003</v>
      </c>
      <c r="HW110" s="185">
        <f t="shared" si="1"/>
        <v>35.099999999999994</v>
      </c>
      <c r="HX110" s="185">
        <f t="shared" si="1"/>
        <v>35.15</v>
      </c>
      <c r="HY110" s="185">
        <f t="shared" si="1"/>
        <v>35.15</v>
      </c>
      <c r="HZ110" s="185">
        <f t="shared" si="1"/>
        <v>35.25</v>
      </c>
      <c r="IA110" s="185">
        <f t="shared" si="1"/>
        <v>35.725000000000001</v>
      </c>
      <c r="IB110" s="185">
        <f t="shared" si="1"/>
        <v>35.775000000000006</v>
      </c>
      <c r="IC110" s="185">
        <f t="shared" si="1"/>
        <v>35.775000000000006</v>
      </c>
      <c r="ID110" s="185">
        <f t="shared" si="1"/>
        <v>36.299999999999997</v>
      </c>
      <c r="IE110" s="185">
        <f t="shared" si="1"/>
        <v>36.349999999999994</v>
      </c>
      <c r="IF110" s="185">
        <f t="shared" si="1"/>
        <v>36.349999999999994</v>
      </c>
      <c r="IG110" s="185">
        <f t="shared" si="1"/>
        <v>36.875</v>
      </c>
      <c r="IH110" s="185">
        <f t="shared" si="1"/>
        <v>36.875</v>
      </c>
      <c r="II110" s="185">
        <f t="shared" si="1"/>
        <v>36.975000000000001</v>
      </c>
      <c r="IJ110" s="185">
        <f t="shared" si="1"/>
        <v>37.449999999999996</v>
      </c>
      <c r="IK110" s="185">
        <f t="shared" si="1"/>
        <v>37.449999999999996</v>
      </c>
      <c r="IL110" s="185">
        <f t="shared" si="1"/>
        <v>37.549999999999997</v>
      </c>
      <c r="IM110" s="185">
        <f t="shared" si="1"/>
        <v>37.549999999999997</v>
      </c>
      <c r="IN110" s="185">
        <f t="shared" si="1"/>
        <v>38.024999999999999</v>
      </c>
      <c r="IO110" s="185">
        <f t="shared" si="1"/>
        <v>38.075000000000003</v>
      </c>
      <c r="IP110" s="185">
        <f t="shared" si="1"/>
        <v>38.075000000000003</v>
      </c>
      <c r="IQ110" s="185">
        <f t="shared" si="1"/>
        <v>38.174999999999997</v>
      </c>
      <c r="IR110" s="185">
        <f t="shared" si="1"/>
        <v>38.65</v>
      </c>
      <c r="IS110" s="185">
        <f t="shared" si="1"/>
        <v>38.65</v>
      </c>
      <c r="IT110" s="185">
        <f t="shared" si="1"/>
        <v>38.75</v>
      </c>
      <c r="IU110" s="185">
        <f t="shared" si="1"/>
        <v>39.224999999999994</v>
      </c>
      <c r="IV110" s="185">
        <f t="shared" si="1"/>
        <v>39.274999999999999</v>
      </c>
      <c r="IW110" s="185">
        <f t="shared" ref="IW110:LH110" si="2">$DX$111*IW111+$DX$112*IW112</f>
        <v>39.274999999999999</v>
      </c>
      <c r="IX110" s="185">
        <f t="shared" si="2"/>
        <v>39.799999999999997</v>
      </c>
      <c r="IY110" s="185">
        <f t="shared" si="2"/>
        <v>39.849999999999994</v>
      </c>
      <c r="IZ110" s="185">
        <f t="shared" si="2"/>
        <v>39.849999999999994</v>
      </c>
      <c r="JA110" s="185">
        <f t="shared" si="2"/>
        <v>39.950000000000003</v>
      </c>
      <c r="JB110" s="185">
        <f t="shared" si="2"/>
        <v>40.375</v>
      </c>
      <c r="JC110" s="185">
        <f t="shared" si="2"/>
        <v>40.375</v>
      </c>
      <c r="JD110" s="185">
        <f t="shared" si="2"/>
        <v>40.475000000000001</v>
      </c>
      <c r="JE110" s="185">
        <f t="shared" si="2"/>
        <v>40.475000000000001</v>
      </c>
      <c r="JF110" s="185">
        <f t="shared" si="2"/>
        <v>40.949999999999996</v>
      </c>
      <c r="JG110" s="185">
        <f t="shared" si="2"/>
        <v>40.949999999999996</v>
      </c>
      <c r="JH110" s="185">
        <f t="shared" si="2"/>
        <v>41.05</v>
      </c>
      <c r="JI110" s="185">
        <f t="shared" si="2"/>
        <v>41.05</v>
      </c>
      <c r="JJ110" s="185">
        <f t="shared" si="2"/>
        <v>41.574999999999996</v>
      </c>
      <c r="JK110" s="185">
        <f t="shared" si="2"/>
        <v>41.574999999999996</v>
      </c>
      <c r="JL110" s="185">
        <f t="shared" si="2"/>
        <v>41.674999999999997</v>
      </c>
      <c r="JM110" s="185">
        <f t="shared" si="2"/>
        <v>42.149999999999991</v>
      </c>
      <c r="JN110" s="185">
        <f t="shared" si="2"/>
        <v>42.149999999999991</v>
      </c>
      <c r="JO110" s="185">
        <f t="shared" si="2"/>
        <v>42.25</v>
      </c>
      <c r="JP110" s="185">
        <f t="shared" si="2"/>
        <v>42.25</v>
      </c>
      <c r="JQ110" s="185">
        <f t="shared" si="2"/>
        <v>42.725000000000001</v>
      </c>
      <c r="JR110" s="185">
        <f t="shared" si="2"/>
        <v>42.774999999999999</v>
      </c>
      <c r="JS110" s="185">
        <f t="shared" si="2"/>
        <v>42.774999999999999</v>
      </c>
      <c r="JT110" s="185">
        <f t="shared" si="2"/>
        <v>42.875</v>
      </c>
      <c r="JU110" s="185">
        <f t="shared" si="2"/>
        <v>43.3</v>
      </c>
      <c r="JV110" s="185">
        <f t="shared" si="2"/>
        <v>43.35</v>
      </c>
      <c r="JW110" s="185">
        <f t="shared" si="2"/>
        <v>43.35</v>
      </c>
      <c r="JX110" s="185">
        <f t="shared" si="2"/>
        <v>43.45</v>
      </c>
      <c r="JY110" s="185">
        <f t="shared" si="2"/>
        <v>43.875</v>
      </c>
      <c r="JZ110" s="185">
        <f t="shared" si="2"/>
        <v>43.875</v>
      </c>
      <c r="KA110" s="185">
        <f t="shared" si="2"/>
        <v>43.974999999999994</v>
      </c>
      <c r="KB110" s="185">
        <f t="shared" si="2"/>
        <v>43.974999999999994</v>
      </c>
      <c r="KC110" s="185">
        <f t="shared" si="2"/>
        <v>44.499999999999993</v>
      </c>
      <c r="KD110" s="185">
        <f t="shared" si="2"/>
        <v>44.55</v>
      </c>
      <c r="KE110" s="185">
        <f t="shared" si="2"/>
        <v>44.55</v>
      </c>
      <c r="KF110" s="185">
        <f t="shared" si="2"/>
        <v>44.65</v>
      </c>
      <c r="KG110" s="185">
        <f t="shared" si="2"/>
        <v>45.075000000000003</v>
      </c>
      <c r="KH110" s="185">
        <f t="shared" si="2"/>
        <v>45.075000000000003</v>
      </c>
      <c r="KI110" s="185">
        <f t="shared" si="2"/>
        <v>45.174999999999997</v>
      </c>
      <c r="KJ110" s="185">
        <f t="shared" si="2"/>
        <v>45.174999999999997</v>
      </c>
      <c r="KK110" s="185">
        <f t="shared" si="2"/>
        <v>45.65</v>
      </c>
      <c r="KL110" s="185">
        <f t="shared" si="2"/>
        <v>45.65</v>
      </c>
      <c r="KM110" s="185">
        <f t="shared" si="2"/>
        <v>45.75</v>
      </c>
      <c r="KN110" s="185">
        <f t="shared" si="2"/>
        <v>45.75</v>
      </c>
      <c r="KO110" s="185">
        <f t="shared" si="2"/>
        <v>46.225000000000001</v>
      </c>
      <c r="KP110" s="185">
        <f t="shared" si="2"/>
        <v>46.274999999999999</v>
      </c>
      <c r="KQ110" s="185">
        <f t="shared" si="2"/>
        <v>46.274999999999999</v>
      </c>
      <c r="KR110" s="185">
        <f t="shared" si="2"/>
        <v>46.375</v>
      </c>
      <c r="KS110" s="185">
        <f t="shared" si="2"/>
        <v>46.8</v>
      </c>
      <c r="KT110" s="185">
        <f t="shared" si="2"/>
        <v>46.849999999999994</v>
      </c>
      <c r="KU110" s="185">
        <f t="shared" si="2"/>
        <v>46.849999999999994</v>
      </c>
      <c r="KV110" s="185">
        <f t="shared" si="2"/>
        <v>46.95</v>
      </c>
      <c r="KW110" s="185">
        <f t="shared" si="2"/>
        <v>47.424999999999997</v>
      </c>
      <c r="KX110" s="185">
        <f t="shared" si="2"/>
        <v>47.475000000000001</v>
      </c>
      <c r="KY110" s="185">
        <f t="shared" si="2"/>
        <v>47.475000000000001</v>
      </c>
      <c r="KZ110" s="185">
        <f t="shared" si="2"/>
        <v>48</v>
      </c>
      <c r="LA110" s="185">
        <f t="shared" si="2"/>
        <v>48.05</v>
      </c>
      <c r="LB110" s="185">
        <f t="shared" si="2"/>
        <v>48.05</v>
      </c>
      <c r="LC110" s="185">
        <f t="shared" si="2"/>
        <v>48.150000000000006</v>
      </c>
      <c r="LD110" s="185">
        <f t="shared" si="2"/>
        <v>48.575000000000003</v>
      </c>
      <c r="LE110" s="185">
        <f t="shared" si="2"/>
        <v>48.575000000000003</v>
      </c>
      <c r="LF110" s="185">
        <f t="shared" si="2"/>
        <v>48.674999999999997</v>
      </c>
      <c r="LG110" s="185">
        <f t="shared" si="2"/>
        <v>48.674999999999997</v>
      </c>
      <c r="LH110" s="185">
        <f t="shared" si="2"/>
        <v>49.15</v>
      </c>
      <c r="LI110" s="185">
        <f t="shared" ref="LI110:ME110" si="3">$DX$111*LI111+$DX$112*LI112</f>
        <v>49.15</v>
      </c>
      <c r="LJ110" s="185">
        <f t="shared" si="3"/>
        <v>49.25</v>
      </c>
      <c r="LK110" s="185">
        <f t="shared" si="3"/>
        <v>49.25</v>
      </c>
      <c r="LL110" s="185">
        <f t="shared" si="3"/>
        <v>49.35</v>
      </c>
      <c r="LM110" s="185">
        <f t="shared" si="3"/>
        <v>49.724999999999994</v>
      </c>
      <c r="LN110" s="185">
        <f t="shared" si="3"/>
        <v>49.774999999999999</v>
      </c>
      <c r="LO110" s="185">
        <f t="shared" si="3"/>
        <v>49.774999999999999</v>
      </c>
      <c r="LP110" s="185">
        <f t="shared" si="3"/>
        <v>49.875</v>
      </c>
      <c r="LQ110" s="185">
        <f t="shared" si="3"/>
        <v>49.875</v>
      </c>
      <c r="LR110" s="185">
        <f t="shared" si="3"/>
        <v>50.349999999999994</v>
      </c>
      <c r="LS110" s="185">
        <f t="shared" si="3"/>
        <v>50.349999999999994</v>
      </c>
      <c r="LT110" s="185">
        <f t="shared" si="3"/>
        <v>50.449999999999996</v>
      </c>
      <c r="LU110" s="185">
        <f t="shared" si="3"/>
        <v>50.924999999999997</v>
      </c>
      <c r="LV110" s="185">
        <f t="shared" si="3"/>
        <v>50.974999999999994</v>
      </c>
      <c r="LW110" s="185">
        <f t="shared" si="3"/>
        <v>50.974999999999994</v>
      </c>
      <c r="LX110" s="185">
        <f t="shared" si="3"/>
        <v>51.075000000000003</v>
      </c>
      <c r="LY110" s="185">
        <f t="shared" si="3"/>
        <v>51.5</v>
      </c>
      <c r="LZ110" s="185">
        <f t="shared" si="3"/>
        <v>51.55</v>
      </c>
      <c r="MA110" s="185">
        <f t="shared" si="3"/>
        <v>51.55</v>
      </c>
      <c r="MB110" s="185">
        <f t="shared" si="3"/>
        <v>51.650000000000006</v>
      </c>
      <c r="MC110" s="185">
        <f t="shared" si="3"/>
        <v>51.650000000000006</v>
      </c>
      <c r="MD110" s="185">
        <f t="shared" si="3"/>
        <v>52.074999999999996</v>
      </c>
      <c r="ME110" s="185">
        <f t="shared" si="3"/>
        <v>52.074999999999996</v>
      </c>
    </row>
    <row r="111" spans="1:343" ht="7.4" customHeight="1" x14ac:dyDescent="0.5">
      <c r="A111" s="42"/>
      <c r="S111" s="70"/>
      <c r="T111" s="509"/>
      <c r="U111" s="509"/>
      <c r="V111" s="509"/>
      <c r="W111" s="509"/>
      <c r="X111" s="509"/>
      <c r="Y111" s="509"/>
      <c r="Z111" s="509"/>
      <c r="AA111" s="509"/>
      <c r="AB111" s="509"/>
      <c r="AC111" s="509"/>
      <c r="AD111" s="509"/>
      <c r="AE111" s="509"/>
      <c r="AF111" s="509"/>
      <c r="AG111" s="509"/>
      <c r="AH111" s="509"/>
      <c r="AI111" s="509"/>
      <c r="AJ111" s="509"/>
      <c r="AK111" s="509"/>
      <c r="AL111" s="509"/>
      <c r="AM111" s="509"/>
      <c r="AN111" s="509"/>
      <c r="AO111" s="509"/>
      <c r="AP111" s="509"/>
      <c r="AQ111" s="71"/>
      <c r="BI111" s="41"/>
      <c r="BK111" s="427"/>
      <c r="BL111" s="427"/>
      <c r="BM111" s="427"/>
      <c r="BN111" s="427"/>
      <c r="BO111" s="427"/>
      <c r="BP111" s="427"/>
      <c r="BQ111" s="510"/>
      <c r="BR111" s="510"/>
      <c r="BS111" s="510"/>
      <c r="BT111" s="510"/>
      <c r="BU111" s="510"/>
      <c r="BV111" s="510"/>
      <c r="BW111" s="510"/>
      <c r="BX111" s="510"/>
      <c r="BY111" s="510"/>
      <c r="BZ111" s="510"/>
      <c r="CA111" s="510"/>
      <c r="CB111" s="510"/>
      <c r="CC111" s="339"/>
      <c r="CD111" s="339"/>
      <c r="CE111" s="339"/>
      <c r="CF111" s="339"/>
      <c r="CG111" s="339"/>
      <c r="CH111" s="339"/>
      <c r="CI111" s="336"/>
      <c r="CJ111" s="336"/>
      <c r="CK111" s="336"/>
      <c r="CL111" s="336"/>
      <c r="CM111" s="336"/>
      <c r="CN111" s="336"/>
      <c r="CO111" s="336"/>
      <c r="CP111" s="336"/>
      <c r="CQ111" s="336"/>
      <c r="CR111" s="336"/>
      <c r="CS111" s="336"/>
      <c r="CT111" s="336"/>
      <c r="DW111" s="186">
        <f>DX111*1000</f>
        <v>4700</v>
      </c>
      <c r="DX111" s="187">
        <v>4.7</v>
      </c>
      <c r="DY111" s="188">
        <v>0</v>
      </c>
      <c r="DZ111" s="188">
        <v>0.5</v>
      </c>
      <c r="EA111" s="188">
        <v>0</v>
      </c>
      <c r="EB111" s="188">
        <v>1</v>
      </c>
      <c r="EC111" s="188">
        <v>0.5</v>
      </c>
      <c r="ED111" s="188">
        <v>0</v>
      </c>
      <c r="EE111" s="188">
        <v>1.5</v>
      </c>
      <c r="EF111" s="188">
        <v>1</v>
      </c>
      <c r="EG111" s="188">
        <v>0.5</v>
      </c>
      <c r="EH111" s="188">
        <v>0</v>
      </c>
      <c r="EI111" s="188">
        <v>2</v>
      </c>
      <c r="EJ111" s="188">
        <v>1.5</v>
      </c>
      <c r="EK111" s="188">
        <v>1</v>
      </c>
      <c r="EL111" s="188">
        <v>0.5</v>
      </c>
      <c r="EM111" s="188">
        <v>0</v>
      </c>
      <c r="EN111" s="188">
        <v>2.5</v>
      </c>
      <c r="EO111" s="188">
        <v>2</v>
      </c>
      <c r="EP111" s="188">
        <v>1.5</v>
      </c>
      <c r="EQ111" s="188">
        <v>1</v>
      </c>
      <c r="ER111" s="188">
        <v>0.5</v>
      </c>
      <c r="ES111" s="188">
        <v>0.5</v>
      </c>
      <c r="ET111" s="188">
        <v>0</v>
      </c>
      <c r="EU111" s="188">
        <v>2.5</v>
      </c>
      <c r="EV111" s="188">
        <v>2</v>
      </c>
      <c r="EW111" s="188">
        <v>1.5</v>
      </c>
      <c r="EX111" s="188">
        <v>1</v>
      </c>
      <c r="EY111" s="188">
        <v>3.5</v>
      </c>
      <c r="EZ111" s="188">
        <v>0.5</v>
      </c>
      <c r="FA111" s="188">
        <v>0.5</v>
      </c>
      <c r="FB111" s="188">
        <v>0</v>
      </c>
      <c r="FC111" s="188">
        <v>0</v>
      </c>
      <c r="FD111" s="188">
        <v>2</v>
      </c>
      <c r="FE111" s="188">
        <v>1.5</v>
      </c>
      <c r="FF111" s="188">
        <v>1.5</v>
      </c>
      <c r="FG111" s="188">
        <v>1</v>
      </c>
      <c r="FH111" s="188">
        <v>3.5</v>
      </c>
      <c r="FI111" s="188">
        <v>0.5</v>
      </c>
      <c r="FJ111" s="188">
        <v>3</v>
      </c>
      <c r="FK111" s="188">
        <v>0</v>
      </c>
      <c r="FL111" s="188">
        <v>0</v>
      </c>
      <c r="FM111" s="188">
        <v>2</v>
      </c>
      <c r="FN111" s="188">
        <v>4.5</v>
      </c>
      <c r="FO111" s="188">
        <v>1.5</v>
      </c>
      <c r="FP111" s="188">
        <v>1.5</v>
      </c>
      <c r="FQ111" s="188">
        <v>1</v>
      </c>
      <c r="FR111" s="188">
        <v>1</v>
      </c>
      <c r="FS111" s="188">
        <v>0.5</v>
      </c>
      <c r="FT111" s="188">
        <v>3</v>
      </c>
      <c r="FU111" s="188">
        <v>0</v>
      </c>
      <c r="FV111" s="188">
        <v>2.5</v>
      </c>
      <c r="FW111" s="188">
        <v>2.5</v>
      </c>
      <c r="FX111" s="188">
        <v>2</v>
      </c>
      <c r="FY111" s="188">
        <v>4.5</v>
      </c>
      <c r="FZ111" s="188">
        <v>1.5</v>
      </c>
      <c r="GA111" s="188">
        <v>4</v>
      </c>
      <c r="GB111" s="188">
        <v>1</v>
      </c>
      <c r="GC111" s="188">
        <v>1</v>
      </c>
      <c r="GD111" s="188">
        <v>0.5</v>
      </c>
      <c r="GE111" s="188">
        <v>0.5</v>
      </c>
      <c r="GF111" s="188">
        <v>5.5</v>
      </c>
      <c r="GG111" s="188">
        <v>0</v>
      </c>
      <c r="GH111" s="188">
        <v>2.5</v>
      </c>
      <c r="GI111" s="188">
        <v>2.5</v>
      </c>
      <c r="GJ111" s="188">
        <v>2</v>
      </c>
      <c r="GK111" s="188">
        <v>2</v>
      </c>
      <c r="GL111" s="188">
        <v>1.5</v>
      </c>
      <c r="GM111" s="188">
        <v>4</v>
      </c>
      <c r="GN111" s="188">
        <v>1</v>
      </c>
      <c r="GO111" s="188">
        <v>3.5</v>
      </c>
      <c r="GP111" s="188">
        <v>3.5</v>
      </c>
      <c r="GQ111" s="188">
        <v>0.5</v>
      </c>
      <c r="GR111" s="188">
        <v>0.5</v>
      </c>
      <c r="GS111" s="188">
        <v>5.5</v>
      </c>
      <c r="GT111" s="188">
        <v>0</v>
      </c>
      <c r="GU111" s="188">
        <v>0</v>
      </c>
      <c r="GV111" s="188">
        <v>5</v>
      </c>
      <c r="GW111" s="188">
        <v>2</v>
      </c>
      <c r="GX111" s="188">
        <v>2</v>
      </c>
      <c r="GY111" s="188">
        <v>1.5</v>
      </c>
      <c r="GZ111" s="188">
        <v>1.5</v>
      </c>
      <c r="HA111" s="188">
        <v>6.5</v>
      </c>
      <c r="HB111" s="188">
        <v>1</v>
      </c>
      <c r="HC111" s="188">
        <v>3.5</v>
      </c>
      <c r="HD111" s="188">
        <v>3.5</v>
      </c>
      <c r="HE111" s="188">
        <v>0.5</v>
      </c>
      <c r="HF111" s="188">
        <v>3</v>
      </c>
      <c r="HG111" s="188">
        <v>3</v>
      </c>
      <c r="HH111" s="188">
        <v>0</v>
      </c>
      <c r="HI111" s="188">
        <v>0</v>
      </c>
      <c r="HJ111" s="188">
        <v>5</v>
      </c>
      <c r="HK111" s="188">
        <v>2</v>
      </c>
      <c r="HL111" s="188">
        <v>4.5</v>
      </c>
      <c r="HM111" s="188">
        <v>4.5</v>
      </c>
      <c r="HN111" s="188">
        <v>1.5</v>
      </c>
      <c r="HO111" s="188">
        <v>1.5</v>
      </c>
      <c r="HP111" s="188">
        <v>6.5</v>
      </c>
      <c r="HQ111" s="188">
        <v>1</v>
      </c>
      <c r="HR111" s="188">
        <v>1</v>
      </c>
      <c r="HS111" s="188">
        <v>6</v>
      </c>
      <c r="HT111" s="188">
        <v>0.5</v>
      </c>
      <c r="HU111" s="188">
        <v>3</v>
      </c>
      <c r="HV111" s="188">
        <v>3</v>
      </c>
      <c r="HW111" s="188">
        <v>0</v>
      </c>
      <c r="HX111" s="188">
        <v>2.5</v>
      </c>
      <c r="HY111" s="188">
        <v>2.5</v>
      </c>
      <c r="HZ111" s="188">
        <v>7.5</v>
      </c>
      <c r="IA111" s="188">
        <v>2</v>
      </c>
      <c r="IB111" s="188">
        <v>4.5</v>
      </c>
      <c r="IC111" s="188">
        <v>4.5</v>
      </c>
      <c r="ID111" s="188">
        <v>1.5</v>
      </c>
      <c r="IE111" s="188">
        <v>4</v>
      </c>
      <c r="IF111" s="188">
        <v>4</v>
      </c>
      <c r="IG111" s="188">
        <v>1</v>
      </c>
      <c r="IH111" s="188">
        <v>1</v>
      </c>
      <c r="II111" s="188">
        <v>6</v>
      </c>
      <c r="IJ111" s="188">
        <v>0.5</v>
      </c>
      <c r="IK111" s="188">
        <v>0.5</v>
      </c>
      <c r="IL111" s="188">
        <v>5.5</v>
      </c>
      <c r="IM111" s="188">
        <v>5.5</v>
      </c>
      <c r="IN111" s="188">
        <v>0</v>
      </c>
      <c r="IO111" s="188">
        <v>2.5</v>
      </c>
      <c r="IP111" s="188">
        <v>2.5</v>
      </c>
      <c r="IQ111" s="188">
        <v>7.5</v>
      </c>
      <c r="IR111" s="188">
        <v>2</v>
      </c>
      <c r="IS111" s="188">
        <v>2</v>
      </c>
      <c r="IT111" s="188">
        <v>7</v>
      </c>
      <c r="IU111" s="188">
        <v>1.5</v>
      </c>
      <c r="IV111" s="188">
        <v>4</v>
      </c>
      <c r="IW111" s="188">
        <v>4</v>
      </c>
      <c r="IX111" s="188">
        <v>1</v>
      </c>
      <c r="IY111" s="188">
        <v>3.5</v>
      </c>
      <c r="IZ111" s="188">
        <v>3.5</v>
      </c>
      <c r="JA111" s="188">
        <v>8.5</v>
      </c>
      <c r="JB111" s="188">
        <v>0.5</v>
      </c>
      <c r="JC111" s="188">
        <v>0.5</v>
      </c>
      <c r="JD111" s="188">
        <v>5.5</v>
      </c>
      <c r="JE111" s="188">
        <v>5.5</v>
      </c>
      <c r="JF111" s="188">
        <v>0</v>
      </c>
      <c r="JG111" s="188">
        <v>0</v>
      </c>
      <c r="JH111" s="188">
        <v>5</v>
      </c>
      <c r="JI111" s="188">
        <v>5</v>
      </c>
      <c r="JJ111" s="188">
        <v>2</v>
      </c>
      <c r="JK111" s="188">
        <v>2</v>
      </c>
      <c r="JL111" s="188">
        <v>7</v>
      </c>
      <c r="JM111" s="188">
        <v>1.5</v>
      </c>
      <c r="JN111" s="188">
        <v>1.5</v>
      </c>
      <c r="JO111" s="188">
        <v>6.5</v>
      </c>
      <c r="JP111" s="188">
        <v>6.5</v>
      </c>
      <c r="JQ111" s="188">
        <v>1</v>
      </c>
      <c r="JR111" s="188">
        <v>3.5</v>
      </c>
      <c r="JS111" s="188">
        <v>3.5</v>
      </c>
      <c r="JT111" s="188">
        <v>8.5</v>
      </c>
      <c r="JU111" s="188">
        <v>0.5</v>
      </c>
      <c r="JV111" s="188">
        <v>3</v>
      </c>
      <c r="JW111" s="188">
        <v>3</v>
      </c>
      <c r="JX111" s="188">
        <v>8</v>
      </c>
      <c r="JY111" s="188">
        <v>0</v>
      </c>
      <c r="JZ111" s="188">
        <v>0</v>
      </c>
      <c r="KA111" s="188">
        <v>5</v>
      </c>
      <c r="KB111" s="188">
        <v>5</v>
      </c>
      <c r="KC111" s="188">
        <v>2</v>
      </c>
      <c r="KD111" s="188">
        <v>4.5</v>
      </c>
      <c r="KE111" s="188">
        <v>4.5</v>
      </c>
      <c r="KF111" s="188">
        <v>9.5</v>
      </c>
      <c r="KG111" s="188">
        <v>1.5</v>
      </c>
      <c r="KH111" s="188">
        <v>1.5</v>
      </c>
      <c r="KI111" s="188">
        <v>6.5</v>
      </c>
      <c r="KJ111" s="188">
        <v>6.5</v>
      </c>
      <c r="KK111" s="188">
        <v>1</v>
      </c>
      <c r="KL111" s="188">
        <v>1</v>
      </c>
      <c r="KM111" s="188">
        <v>6</v>
      </c>
      <c r="KN111" s="188">
        <v>6</v>
      </c>
      <c r="KO111" s="188">
        <v>0.5</v>
      </c>
      <c r="KP111" s="188">
        <v>3</v>
      </c>
      <c r="KQ111" s="188">
        <v>3</v>
      </c>
      <c r="KR111" s="188">
        <v>8</v>
      </c>
      <c r="KS111" s="188">
        <v>0</v>
      </c>
      <c r="KT111" s="188">
        <v>2.5</v>
      </c>
      <c r="KU111" s="188">
        <v>2.5</v>
      </c>
      <c r="KV111" s="188">
        <v>7.5</v>
      </c>
      <c r="KW111" s="188">
        <v>2</v>
      </c>
      <c r="KX111" s="188">
        <v>4.5</v>
      </c>
      <c r="KY111" s="188">
        <v>4.5</v>
      </c>
      <c r="KZ111" s="188">
        <v>1.5</v>
      </c>
      <c r="LA111" s="188">
        <v>4</v>
      </c>
      <c r="LB111" s="188">
        <v>4</v>
      </c>
      <c r="LC111" s="188">
        <v>9</v>
      </c>
      <c r="LD111" s="188">
        <v>1</v>
      </c>
      <c r="LE111" s="188">
        <v>1</v>
      </c>
      <c r="LF111" s="188">
        <v>6</v>
      </c>
      <c r="LG111" s="188">
        <v>6</v>
      </c>
      <c r="LH111" s="188">
        <v>0.5</v>
      </c>
      <c r="LI111" s="188">
        <v>0.5</v>
      </c>
      <c r="LJ111" s="188">
        <v>5.5</v>
      </c>
      <c r="LK111" s="188">
        <v>5.5</v>
      </c>
      <c r="LL111" s="188">
        <v>10.5</v>
      </c>
      <c r="LM111" s="188">
        <v>0</v>
      </c>
      <c r="LN111" s="188">
        <v>2.5</v>
      </c>
      <c r="LO111" s="188">
        <v>2.5</v>
      </c>
      <c r="LP111" s="188">
        <v>7.5</v>
      </c>
      <c r="LQ111" s="188">
        <v>7.5</v>
      </c>
      <c r="LR111" s="188">
        <v>2</v>
      </c>
      <c r="LS111" s="188">
        <v>2</v>
      </c>
      <c r="LT111" s="188">
        <v>7</v>
      </c>
      <c r="LU111" s="188">
        <v>1.5</v>
      </c>
      <c r="LV111" s="188">
        <v>4</v>
      </c>
      <c r="LW111" s="188">
        <v>4</v>
      </c>
      <c r="LX111" s="188">
        <v>9</v>
      </c>
      <c r="LY111" s="188">
        <v>1</v>
      </c>
      <c r="LZ111" s="188">
        <v>3.5</v>
      </c>
      <c r="MA111" s="188">
        <v>3.5</v>
      </c>
      <c r="MB111" s="188">
        <v>8.5</v>
      </c>
      <c r="MC111" s="188">
        <v>8.5</v>
      </c>
      <c r="MD111" s="188">
        <v>0.5</v>
      </c>
      <c r="ME111" s="188">
        <v>0.5</v>
      </c>
    </row>
    <row r="112" spans="1:343" ht="7.4" customHeight="1" x14ac:dyDescent="0.5">
      <c r="A112" s="42"/>
      <c r="S112" s="72"/>
      <c r="T112" s="73"/>
      <c r="U112" s="73"/>
      <c r="V112" s="73"/>
      <c r="W112" s="73"/>
      <c r="X112" s="73"/>
      <c r="Y112" s="73"/>
      <c r="Z112" s="73"/>
      <c r="AA112" s="73"/>
      <c r="AB112" s="73"/>
      <c r="AC112" s="73"/>
      <c r="AD112" s="73"/>
      <c r="AE112" s="73"/>
      <c r="AF112" s="73"/>
      <c r="AG112" s="73"/>
      <c r="AH112" s="73"/>
      <c r="AI112" s="73"/>
      <c r="AJ112" s="73"/>
      <c r="AK112" s="73"/>
      <c r="AL112" s="73"/>
      <c r="AM112" s="73"/>
      <c r="AN112" s="73"/>
      <c r="AO112" s="73"/>
      <c r="AP112" s="73"/>
      <c r="AQ112" s="74"/>
      <c r="BI112" s="41"/>
      <c r="BK112" s="427"/>
      <c r="BL112" s="427"/>
      <c r="BM112" s="427"/>
      <c r="BN112" s="427"/>
      <c r="BO112" s="427"/>
      <c r="BP112" s="427"/>
      <c r="BQ112" s="510"/>
      <c r="BR112" s="510"/>
      <c r="BS112" s="510"/>
      <c r="BT112" s="510"/>
      <c r="BU112" s="510"/>
      <c r="BV112" s="510"/>
      <c r="BW112" s="510"/>
      <c r="BX112" s="510"/>
      <c r="BY112" s="510"/>
      <c r="BZ112" s="510"/>
      <c r="CA112" s="510"/>
      <c r="CB112" s="510"/>
      <c r="CC112" s="339"/>
      <c r="CD112" s="339"/>
      <c r="CE112" s="339"/>
      <c r="CF112" s="339"/>
      <c r="CG112" s="339"/>
      <c r="CH112" s="339"/>
      <c r="CI112" s="336"/>
      <c r="CJ112" s="336"/>
      <c r="CK112" s="336"/>
      <c r="CL112" s="336"/>
      <c r="CM112" s="336"/>
      <c r="CN112" s="336"/>
      <c r="CO112" s="336"/>
      <c r="CP112" s="336"/>
      <c r="CQ112" s="336"/>
      <c r="CR112" s="336"/>
      <c r="CS112" s="336"/>
      <c r="CT112" s="336"/>
      <c r="DW112" s="186">
        <f>DX112*1000</f>
        <v>5850</v>
      </c>
      <c r="DX112" s="187">
        <v>5.85</v>
      </c>
      <c r="DY112" s="188">
        <v>0</v>
      </c>
      <c r="DZ112" s="188">
        <v>0</v>
      </c>
      <c r="EA112" s="188">
        <v>0.5</v>
      </c>
      <c r="EB112" s="188">
        <v>0</v>
      </c>
      <c r="EC112" s="188">
        <v>0.5</v>
      </c>
      <c r="ED112" s="188">
        <v>1</v>
      </c>
      <c r="EE112" s="188">
        <v>0</v>
      </c>
      <c r="EF112" s="188">
        <v>0.5</v>
      </c>
      <c r="EG112" s="188">
        <v>1</v>
      </c>
      <c r="EH112" s="188">
        <v>1.5</v>
      </c>
      <c r="EI112" s="188">
        <v>0</v>
      </c>
      <c r="EJ112" s="188">
        <v>0.5</v>
      </c>
      <c r="EK112" s="188">
        <v>1</v>
      </c>
      <c r="EL112" s="188">
        <v>1.5</v>
      </c>
      <c r="EM112" s="188">
        <v>2</v>
      </c>
      <c r="EN112" s="188">
        <v>0</v>
      </c>
      <c r="EO112" s="188">
        <v>0.5</v>
      </c>
      <c r="EP112" s="188">
        <v>1</v>
      </c>
      <c r="EQ112" s="188">
        <v>1.5</v>
      </c>
      <c r="ER112" s="188">
        <v>2</v>
      </c>
      <c r="ES112" s="188">
        <v>2</v>
      </c>
      <c r="ET112" s="188">
        <v>2.5</v>
      </c>
      <c r="EU112" s="188">
        <v>0.5</v>
      </c>
      <c r="EV112" s="188">
        <v>1</v>
      </c>
      <c r="EW112" s="188">
        <v>1.5</v>
      </c>
      <c r="EX112" s="188">
        <v>2</v>
      </c>
      <c r="EY112" s="188">
        <v>0</v>
      </c>
      <c r="EZ112" s="188">
        <v>2.5</v>
      </c>
      <c r="FA112" s="188">
        <v>2.5</v>
      </c>
      <c r="FB112" s="188">
        <v>3</v>
      </c>
      <c r="FC112" s="188">
        <v>3</v>
      </c>
      <c r="FD112" s="188">
        <v>1.5</v>
      </c>
      <c r="FE112" s="188">
        <v>2</v>
      </c>
      <c r="FF112" s="188">
        <v>2</v>
      </c>
      <c r="FG112" s="188">
        <v>2.5</v>
      </c>
      <c r="FH112" s="188">
        <v>0.5</v>
      </c>
      <c r="FI112" s="188">
        <v>3</v>
      </c>
      <c r="FJ112" s="188">
        <v>1</v>
      </c>
      <c r="FK112" s="188">
        <v>3.5</v>
      </c>
      <c r="FL112" s="188">
        <v>3.5</v>
      </c>
      <c r="FM112" s="188">
        <v>2</v>
      </c>
      <c r="FN112" s="188">
        <v>0</v>
      </c>
      <c r="FO112" s="188">
        <v>2.5</v>
      </c>
      <c r="FP112" s="188">
        <v>2.5</v>
      </c>
      <c r="FQ112" s="188">
        <v>3</v>
      </c>
      <c r="FR112" s="188">
        <v>3</v>
      </c>
      <c r="FS112" s="188">
        <v>3.5</v>
      </c>
      <c r="FT112" s="188">
        <v>1.5</v>
      </c>
      <c r="FU112" s="188">
        <v>4</v>
      </c>
      <c r="FV112" s="188">
        <v>2</v>
      </c>
      <c r="FW112" s="188">
        <v>2</v>
      </c>
      <c r="FX112" s="188">
        <v>2.5</v>
      </c>
      <c r="FY112" s="188">
        <v>0.5</v>
      </c>
      <c r="FZ112" s="188">
        <v>3</v>
      </c>
      <c r="GA112" s="188">
        <v>1</v>
      </c>
      <c r="GB112" s="188">
        <v>3.5</v>
      </c>
      <c r="GC112" s="188">
        <v>3.5</v>
      </c>
      <c r="GD112" s="188">
        <v>4</v>
      </c>
      <c r="GE112" s="188">
        <v>4</v>
      </c>
      <c r="GF112" s="188">
        <v>0</v>
      </c>
      <c r="GG112" s="188">
        <v>4.5</v>
      </c>
      <c r="GH112" s="188">
        <v>2.5</v>
      </c>
      <c r="GI112" s="188">
        <v>2.5</v>
      </c>
      <c r="GJ112" s="188">
        <v>3</v>
      </c>
      <c r="GK112" s="188">
        <v>3</v>
      </c>
      <c r="GL112" s="188">
        <v>3.5</v>
      </c>
      <c r="GM112" s="188">
        <v>1.5</v>
      </c>
      <c r="GN112" s="188">
        <v>4</v>
      </c>
      <c r="GO112" s="188">
        <v>2</v>
      </c>
      <c r="GP112" s="188">
        <v>2</v>
      </c>
      <c r="GQ112" s="188">
        <v>4.5</v>
      </c>
      <c r="GR112" s="188">
        <v>4.5</v>
      </c>
      <c r="GS112" s="188">
        <v>0.5</v>
      </c>
      <c r="GT112" s="188">
        <v>5</v>
      </c>
      <c r="GU112" s="188">
        <v>5</v>
      </c>
      <c r="GV112" s="188">
        <v>1</v>
      </c>
      <c r="GW112" s="188">
        <v>3.5</v>
      </c>
      <c r="GX112" s="188">
        <v>3.5</v>
      </c>
      <c r="GY112" s="188">
        <v>4</v>
      </c>
      <c r="GZ112" s="188">
        <v>4</v>
      </c>
      <c r="HA112" s="188">
        <v>0</v>
      </c>
      <c r="HB112" s="188">
        <v>4.5</v>
      </c>
      <c r="HC112" s="188">
        <v>2.5</v>
      </c>
      <c r="HD112" s="188">
        <v>2.5</v>
      </c>
      <c r="HE112" s="188">
        <v>5</v>
      </c>
      <c r="HF112" s="188">
        <v>3</v>
      </c>
      <c r="HG112" s="188">
        <v>3</v>
      </c>
      <c r="HH112" s="188">
        <v>5.5</v>
      </c>
      <c r="HI112" s="188">
        <v>5.5</v>
      </c>
      <c r="HJ112" s="188">
        <v>1.5</v>
      </c>
      <c r="HK112" s="188">
        <v>4</v>
      </c>
      <c r="HL112" s="188">
        <v>2</v>
      </c>
      <c r="HM112" s="188">
        <v>2</v>
      </c>
      <c r="HN112" s="188">
        <v>4.5</v>
      </c>
      <c r="HO112" s="188">
        <v>4.5</v>
      </c>
      <c r="HP112" s="188">
        <v>0.5</v>
      </c>
      <c r="HQ112" s="188">
        <v>5</v>
      </c>
      <c r="HR112" s="188">
        <v>5</v>
      </c>
      <c r="HS112" s="188">
        <v>1</v>
      </c>
      <c r="HT112" s="188">
        <v>5.5</v>
      </c>
      <c r="HU112" s="188">
        <v>3.5</v>
      </c>
      <c r="HV112" s="188">
        <v>3.5</v>
      </c>
      <c r="HW112" s="188">
        <v>6</v>
      </c>
      <c r="HX112" s="188">
        <v>4</v>
      </c>
      <c r="HY112" s="188">
        <v>4</v>
      </c>
      <c r="HZ112" s="188">
        <v>0</v>
      </c>
      <c r="IA112" s="188">
        <v>4.5</v>
      </c>
      <c r="IB112" s="188">
        <v>2.5</v>
      </c>
      <c r="IC112" s="188">
        <v>2.5</v>
      </c>
      <c r="ID112" s="188">
        <v>5</v>
      </c>
      <c r="IE112" s="188">
        <v>3</v>
      </c>
      <c r="IF112" s="188">
        <v>3</v>
      </c>
      <c r="IG112" s="188">
        <v>5.5</v>
      </c>
      <c r="IH112" s="188">
        <v>5.5</v>
      </c>
      <c r="II112" s="188">
        <v>1.5</v>
      </c>
      <c r="IJ112" s="188">
        <v>6</v>
      </c>
      <c r="IK112" s="188">
        <v>6</v>
      </c>
      <c r="IL112" s="188">
        <v>2</v>
      </c>
      <c r="IM112" s="188">
        <v>2</v>
      </c>
      <c r="IN112" s="188">
        <v>6.5</v>
      </c>
      <c r="IO112" s="188">
        <v>4.5</v>
      </c>
      <c r="IP112" s="188">
        <v>4.5</v>
      </c>
      <c r="IQ112" s="188">
        <v>0.5</v>
      </c>
      <c r="IR112" s="188">
        <v>5</v>
      </c>
      <c r="IS112" s="188">
        <v>5</v>
      </c>
      <c r="IT112" s="188">
        <v>1</v>
      </c>
      <c r="IU112" s="188">
        <v>5.5</v>
      </c>
      <c r="IV112" s="188">
        <v>3.5</v>
      </c>
      <c r="IW112" s="188">
        <v>3.5</v>
      </c>
      <c r="IX112" s="188">
        <v>6</v>
      </c>
      <c r="IY112" s="188">
        <v>4</v>
      </c>
      <c r="IZ112" s="188">
        <v>4</v>
      </c>
      <c r="JA112" s="188">
        <v>0</v>
      </c>
      <c r="JB112" s="188">
        <v>6.5</v>
      </c>
      <c r="JC112" s="188">
        <v>6.5</v>
      </c>
      <c r="JD112" s="188">
        <v>2.5</v>
      </c>
      <c r="JE112" s="188">
        <v>2.5</v>
      </c>
      <c r="JF112" s="188">
        <v>7</v>
      </c>
      <c r="JG112" s="188">
        <v>7</v>
      </c>
      <c r="JH112" s="188">
        <v>3</v>
      </c>
      <c r="JI112" s="188">
        <v>3</v>
      </c>
      <c r="JJ112" s="188">
        <v>5.5</v>
      </c>
      <c r="JK112" s="188">
        <v>5.5</v>
      </c>
      <c r="JL112" s="188">
        <v>1.5</v>
      </c>
      <c r="JM112" s="188">
        <v>6</v>
      </c>
      <c r="JN112" s="188">
        <v>6</v>
      </c>
      <c r="JO112" s="188">
        <v>2</v>
      </c>
      <c r="JP112" s="188">
        <v>2</v>
      </c>
      <c r="JQ112" s="188">
        <v>6.5</v>
      </c>
      <c r="JR112" s="188">
        <v>4.5</v>
      </c>
      <c r="JS112" s="188">
        <v>4.5</v>
      </c>
      <c r="JT112" s="188">
        <v>0.5</v>
      </c>
      <c r="JU112" s="188">
        <v>7</v>
      </c>
      <c r="JV112" s="188">
        <v>5</v>
      </c>
      <c r="JW112" s="188">
        <v>5</v>
      </c>
      <c r="JX112" s="188">
        <v>1</v>
      </c>
      <c r="JY112" s="188">
        <v>7.5</v>
      </c>
      <c r="JZ112" s="188">
        <v>7.5</v>
      </c>
      <c r="KA112" s="188">
        <v>3.5</v>
      </c>
      <c r="KB112" s="188">
        <v>3.5</v>
      </c>
      <c r="KC112" s="188">
        <v>6</v>
      </c>
      <c r="KD112" s="188">
        <v>4</v>
      </c>
      <c r="KE112" s="188">
        <v>4</v>
      </c>
      <c r="KF112" s="188">
        <v>0</v>
      </c>
      <c r="KG112" s="188">
        <v>6.5</v>
      </c>
      <c r="KH112" s="188">
        <v>6.5</v>
      </c>
      <c r="KI112" s="188">
        <v>2.5</v>
      </c>
      <c r="KJ112" s="188">
        <v>2.5</v>
      </c>
      <c r="KK112" s="188">
        <v>7</v>
      </c>
      <c r="KL112" s="188">
        <v>7</v>
      </c>
      <c r="KM112" s="188">
        <v>3</v>
      </c>
      <c r="KN112" s="188">
        <v>3</v>
      </c>
      <c r="KO112" s="188">
        <v>7.5</v>
      </c>
      <c r="KP112" s="188">
        <v>5.5</v>
      </c>
      <c r="KQ112" s="188">
        <v>5.5</v>
      </c>
      <c r="KR112" s="188">
        <v>1.5</v>
      </c>
      <c r="KS112" s="188">
        <v>8</v>
      </c>
      <c r="KT112" s="188">
        <v>6</v>
      </c>
      <c r="KU112" s="188">
        <v>6</v>
      </c>
      <c r="KV112" s="188">
        <v>2</v>
      </c>
      <c r="KW112" s="188">
        <v>6.5</v>
      </c>
      <c r="KX112" s="188">
        <v>4.5</v>
      </c>
      <c r="KY112" s="188">
        <v>4.5</v>
      </c>
      <c r="KZ112" s="188">
        <v>7</v>
      </c>
      <c r="LA112" s="188">
        <v>5</v>
      </c>
      <c r="LB112" s="188">
        <v>5</v>
      </c>
      <c r="LC112" s="188">
        <v>1</v>
      </c>
      <c r="LD112" s="188">
        <v>7.5</v>
      </c>
      <c r="LE112" s="188">
        <v>7.5</v>
      </c>
      <c r="LF112" s="188">
        <v>3.5</v>
      </c>
      <c r="LG112" s="188">
        <v>3.5</v>
      </c>
      <c r="LH112" s="188">
        <v>8</v>
      </c>
      <c r="LI112" s="188">
        <v>8</v>
      </c>
      <c r="LJ112" s="188">
        <v>4</v>
      </c>
      <c r="LK112" s="188">
        <v>4</v>
      </c>
      <c r="LL112" s="188">
        <v>0</v>
      </c>
      <c r="LM112" s="188">
        <v>8.5</v>
      </c>
      <c r="LN112" s="188">
        <v>6.5</v>
      </c>
      <c r="LO112" s="188">
        <v>6.5</v>
      </c>
      <c r="LP112" s="188">
        <v>2.5</v>
      </c>
      <c r="LQ112" s="188">
        <v>2.5</v>
      </c>
      <c r="LR112" s="188">
        <v>7</v>
      </c>
      <c r="LS112" s="188">
        <v>7</v>
      </c>
      <c r="LT112" s="188">
        <v>3</v>
      </c>
      <c r="LU112" s="188">
        <v>7.5</v>
      </c>
      <c r="LV112" s="188">
        <v>5.5</v>
      </c>
      <c r="LW112" s="188">
        <v>5.5</v>
      </c>
      <c r="LX112" s="188">
        <v>1.5</v>
      </c>
      <c r="LY112" s="188">
        <v>8</v>
      </c>
      <c r="LZ112" s="188">
        <v>6</v>
      </c>
      <c r="MA112" s="188">
        <v>6</v>
      </c>
      <c r="MB112" s="188">
        <v>2</v>
      </c>
      <c r="MC112" s="188">
        <v>2</v>
      </c>
      <c r="MD112" s="188">
        <v>8.5</v>
      </c>
      <c r="ME112" s="188">
        <v>8.5</v>
      </c>
    </row>
    <row r="113" spans="1:342" ht="7.4" customHeight="1" x14ac:dyDescent="0.5">
      <c r="A113" s="42"/>
      <c r="BI113" s="41"/>
      <c r="CO113" s="298"/>
      <c r="CP113" s="298"/>
      <c r="CQ113" s="298"/>
      <c r="CR113" s="298"/>
      <c r="CS113" s="298"/>
      <c r="CT113" s="298"/>
      <c r="DW113" s="24" t="s">
        <v>86</v>
      </c>
    </row>
    <row r="114" spans="1:342" ht="7.4" customHeight="1" x14ac:dyDescent="0.5">
      <c r="A114" s="42"/>
      <c r="B114" s="29"/>
      <c r="C114" s="422" t="s">
        <v>49</v>
      </c>
      <c r="D114" s="422"/>
      <c r="E114" s="423"/>
      <c r="F114" s="29"/>
      <c r="G114" s="422" t="s">
        <v>50</v>
      </c>
      <c r="H114" s="422"/>
      <c r="I114" s="422"/>
      <c r="J114" s="422"/>
      <c r="K114" s="422"/>
      <c r="L114" s="422"/>
      <c r="M114" s="422"/>
      <c r="N114" s="422"/>
      <c r="O114" s="422"/>
      <c r="P114" s="422"/>
      <c r="Q114" s="422"/>
      <c r="R114" s="423"/>
      <c r="S114" s="29"/>
      <c r="T114" s="422" t="s">
        <v>51</v>
      </c>
      <c r="U114" s="422"/>
      <c r="V114" s="422"/>
      <c r="W114" s="422"/>
      <c r="X114" s="422"/>
      <c r="Y114" s="422"/>
      <c r="Z114" s="422"/>
      <c r="AA114" s="422"/>
      <c r="AB114" s="422"/>
      <c r="AC114" s="422"/>
      <c r="AD114" s="422"/>
      <c r="AE114" s="422"/>
      <c r="AF114" s="422"/>
      <c r="AG114" s="422"/>
      <c r="AH114" s="422"/>
      <c r="AI114" s="422"/>
      <c r="AJ114" s="423"/>
      <c r="AK114" s="29"/>
      <c r="AL114" s="422" t="s">
        <v>106</v>
      </c>
      <c r="AM114" s="422"/>
      <c r="AN114" s="422"/>
      <c r="AO114" s="422"/>
      <c r="AP114" s="423"/>
      <c r="AQ114" s="299" t="s">
        <v>53</v>
      </c>
      <c r="AR114" s="363"/>
      <c r="AS114" s="363"/>
      <c r="AT114" s="363"/>
      <c r="AU114" s="363"/>
      <c r="AV114" s="363"/>
      <c r="AW114" s="363"/>
      <c r="AX114" s="363"/>
      <c r="AY114" s="363"/>
      <c r="AZ114" s="363"/>
      <c r="BA114" s="363"/>
      <c r="BB114" s="363"/>
      <c r="BC114" s="363"/>
      <c r="BD114" s="363"/>
      <c r="BE114" s="363"/>
      <c r="BF114" s="363"/>
      <c r="BG114" s="363"/>
      <c r="BH114" s="364"/>
      <c r="BI114" s="41"/>
      <c r="BK114" s="81"/>
      <c r="BL114" s="77"/>
      <c r="BM114" s="40"/>
      <c r="BN114" s="77"/>
      <c r="BO114" s="77"/>
      <c r="BP114" s="40"/>
      <c r="BQ114" s="81"/>
      <c r="BR114" s="77"/>
      <c r="BS114" s="40"/>
      <c r="BT114" s="81"/>
      <c r="BU114" s="77"/>
      <c r="BV114" s="40"/>
      <c r="BW114" s="81"/>
      <c r="BX114" s="77"/>
      <c r="BY114" s="40"/>
      <c r="BZ114" s="81"/>
      <c r="CA114" s="77"/>
      <c r="CB114" s="40"/>
      <c r="CC114" s="81"/>
      <c r="CD114" s="77"/>
      <c r="CE114" s="40"/>
      <c r="CF114" s="81"/>
      <c r="CG114" s="77"/>
      <c r="CH114" s="40"/>
      <c r="CI114" s="81"/>
      <c r="CJ114" s="77"/>
      <c r="CK114" s="40"/>
      <c r="CL114" s="81"/>
      <c r="CM114" s="77"/>
      <c r="CN114" s="40"/>
      <c r="CO114" s="81"/>
      <c r="CP114" s="77"/>
      <c r="CQ114" s="40"/>
      <c r="CR114" s="81"/>
      <c r="CS114" s="77"/>
      <c r="CT114" s="40"/>
      <c r="CU114" s="81"/>
      <c r="CV114" s="77"/>
      <c r="CW114" s="40"/>
      <c r="CX114" s="81"/>
      <c r="CY114" s="77"/>
      <c r="CZ114" s="40"/>
      <c r="DA114" s="81"/>
      <c r="DB114" s="77"/>
      <c r="DC114" s="40"/>
      <c r="DD114" s="81"/>
      <c r="DE114" s="77"/>
      <c r="DF114" s="40"/>
      <c r="DY114" s="189"/>
      <c r="DZ114" s="189"/>
      <c r="EA114" s="189"/>
      <c r="EB114" s="189"/>
      <c r="EC114" s="189"/>
      <c r="ED114" s="189"/>
      <c r="EE114" s="189"/>
      <c r="EF114" s="189"/>
      <c r="EG114" s="189"/>
      <c r="EH114" s="189"/>
      <c r="EI114" s="189"/>
      <c r="EJ114" s="189"/>
      <c r="EK114" s="189"/>
      <c r="EL114" s="189"/>
      <c r="EM114" s="189"/>
      <c r="EN114" s="189"/>
      <c r="EO114" s="189"/>
      <c r="EP114" s="189"/>
      <c r="EQ114" s="189"/>
      <c r="ER114" s="189"/>
      <c r="ES114" s="189"/>
      <c r="ET114" s="189"/>
      <c r="EU114" s="189"/>
      <c r="EV114" s="189"/>
      <c r="EW114" s="189"/>
      <c r="EX114" s="189"/>
      <c r="EY114" s="189"/>
      <c r="EZ114" s="189"/>
      <c r="FA114" s="189"/>
      <c r="FB114" s="189"/>
      <c r="FC114" s="189"/>
      <c r="FD114" s="189"/>
      <c r="FE114" s="189"/>
      <c r="FF114" s="189"/>
      <c r="FG114" s="189"/>
      <c r="FH114" s="189"/>
      <c r="FI114" s="189"/>
      <c r="FJ114" s="189"/>
      <c r="FK114" s="189"/>
      <c r="FL114" s="189"/>
      <c r="FM114" s="189"/>
      <c r="FN114" s="189"/>
      <c r="FO114" s="189"/>
      <c r="FP114" s="189"/>
      <c r="FQ114" s="189"/>
      <c r="FR114" s="189"/>
      <c r="FS114" s="189"/>
      <c r="FT114" s="189"/>
      <c r="FU114" s="189"/>
      <c r="FV114" s="189"/>
      <c r="FW114" s="189"/>
      <c r="FX114" s="189"/>
      <c r="FY114" s="189"/>
      <c r="FZ114" s="189"/>
      <c r="GA114" s="189"/>
      <c r="GB114" s="189"/>
      <c r="GC114" s="189"/>
      <c r="GD114" s="189"/>
      <c r="GE114" s="189"/>
      <c r="GF114" s="189"/>
      <c r="GG114" s="189"/>
      <c r="GH114" s="189"/>
      <c r="GI114" s="189"/>
      <c r="GJ114" s="189"/>
      <c r="GK114" s="189"/>
      <c r="GL114" s="189"/>
      <c r="GM114" s="189"/>
      <c r="GN114" s="189"/>
      <c r="GO114" s="189"/>
      <c r="GP114" s="189"/>
      <c r="GQ114" s="189"/>
      <c r="GR114" s="189"/>
      <c r="GS114" s="189"/>
      <c r="GT114" s="189"/>
      <c r="GU114" s="189"/>
      <c r="GV114" s="189"/>
      <c r="GW114" s="189"/>
      <c r="GX114" s="189"/>
      <c r="GY114" s="189"/>
      <c r="GZ114" s="189"/>
      <c r="HA114" s="189"/>
      <c r="HB114" s="189"/>
      <c r="HC114" s="189"/>
      <c r="HD114" s="189"/>
      <c r="HE114" s="189"/>
      <c r="HF114" s="189"/>
      <c r="HG114" s="189"/>
      <c r="HH114" s="189"/>
      <c r="HI114" s="189"/>
      <c r="HJ114" s="189"/>
      <c r="HK114" s="189"/>
      <c r="HL114" s="189"/>
      <c r="HM114" s="189"/>
      <c r="HN114" s="189"/>
      <c r="HO114" s="189"/>
      <c r="HP114" s="189"/>
      <c r="HQ114" s="189"/>
      <c r="HR114" s="189"/>
      <c r="HS114" s="189"/>
      <c r="HT114" s="189"/>
      <c r="HU114" s="189"/>
      <c r="HV114" s="189"/>
      <c r="HW114" s="189"/>
      <c r="HX114" s="189"/>
      <c r="HY114" s="189"/>
      <c r="HZ114" s="189"/>
      <c r="IA114" s="189"/>
      <c r="IB114" s="189"/>
      <c r="IC114" s="189"/>
      <c r="ID114" s="189"/>
      <c r="IE114" s="189"/>
      <c r="IF114" s="189"/>
      <c r="IG114" s="189"/>
      <c r="IH114" s="189"/>
      <c r="II114" s="189"/>
      <c r="IJ114" s="189"/>
      <c r="IK114" s="189"/>
      <c r="IL114" s="189"/>
      <c r="IM114" s="189"/>
      <c r="IN114" s="189"/>
      <c r="IO114" s="189"/>
      <c r="IP114" s="189"/>
      <c r="IQ114" s="189"/>
      <c r="IR114" s="189"/>
      <c r="IS114" s="189"/>
      <c r="IT114" s="189"/>
      <c r="IU114" s="189"/>
      <c r="IV114" s="189"/>
      <c r="IW114" s="189"/>
      <c r="IX114" s="189"/>
      <c r="IY114" s="189"/>
      <c r="IZ114" s="189"/>
      <c r="JA114" s="189"/>
      <c r="JB114" s="189"/>
      <c r="JC114" s="189"/>
      <c r="JD114" s="189"/>
      <c r="JE114" s="189"/>
      <c r="JF114" s="189"/>
      <c r="JG114" s="189"/>
      <c r="JH114" s="189"/>
      <c r="JI114" s="189"/>
      <c r="JJ114" s="189"/>
      <c r="JK114" s="189"/>
      <c r="JL114" s="189"/>
      <c r="JM114" s="189"/>
      <c r="JN114" s="189"/>
      <c r="JO114" s="189"/>
      <c r="JP114" s="189"/>
      <c r="JQ114" s="189"/>
      <c r="JR114" s="189"/>
      <c r="JS114" s="189"/>
      <c r="JT114" s="189"/>
      <c r="JU114" s="189"/>
      <c r="JV114" s="189"/>
      <c r="JW114" s="189"/>
      <c r="JX114" s="189"/>
      <c r="JY114" s="189"/>
      <c r="JZ114" s="189"/>
      <c r="KA114" s="189"/>
      <c r="KB114" s="189"/>
      <c r="KC114" s="189"/>
      <c r="KD114" s="189"/>
      <c r="KE114" s="189"/>
      <c r="KF114" s="189"/>
      <c r="KG114" s="189"/>
      <c r="KH114" s="189"/>
      <c r="KI114" s="189"/>
      <c r="KJ114" s="189"/>
      <c r="KK114" s="189"/>
      <c r="KL114" s="189"/>
      <c r="KM114" s="189"/>
      <c r="KN114" s="189"/>
      <c r="KO114" s="189"/>
      <c r="KP114" s="189"/>
      <c r="KQ114" s="189"/>
      <c r="KR114" s="189"/>
      <c r="KS114" s="189"/>
      <c r="KT114" s="189"/>
      <c r="KU114" s="189"/>
      <c r="KV114" s="189"/>
      <c r="KW114" s="189"/>
      <c r="KX114" s="189"/>
      <c r="KY114" s="189"/>
      <c r="KZ114" s="189"/>
      <c r="LA114" s="189"/>
      <c r="LB114" s="189"/>
      <c r="LC114" s="189"/>
      <c r="LD114" s="189"/>
      <c r="LE114" s="189"/>
      <c r="LF114" s="189"/>
      <c r="LG114" s="189"/>
      <c r="LH114" s="189"/>
      <c r="LI114" s="189"/>
      <c r="LJ114" s="189"/>
      <c r="LK114" s="189"/>
      <c r="LL114" s="189"/>
      <c r="LM114" s="189"/>
      <c r="LN114" s="189"/>
      <c r="LO114" s="189"/>
      <c r="LP114" s="189"/>
      <c r="LQ114" s="189"/>
      <c r="LR114" s="189"/>
      <c r="LS114" s="189"/>
      <c r="LT114" s="189"/>
      <c r="LU114" s="189"/>
      <c r="LV114" s="189"/>
      <c r="LW114" s="189"/>
      <c r="LX114" s="189"/>
      <c r="LY114" s="189"/>
      <c r="LZ114" s="189"/>
      <c r="MA114" s="189"/>
      <c r="MB114" s="189"/>
      <c r="MC114" s="189"/>
      <c r="MD114" s="189"/>
    </row>
    <row r="115" spans="1:342" ht="7.4" customHeight="1" x14ac:dyDescent="0.5">
      <c r="A115" s="42"/>
      <c r="B115" s="32"/>
      <c r="C115" s="408"/>
      <c r="D115" s="408"/>
      <c r="E115" s="424"/>
      <c r="F115" s="32"/>
      <c r="G115" s="408"/>
      <c r="H115" s="408"/>
      <c r="I115" s="408"/>
      <c r="J115" s="408"/>
      <c r="K115" s="408"/>
      <c r="L115" s="408"/>
      <c r="M115" s="408"/>
      <c r="N115" s="408"/>
      <c r="O115" s="408"/>
      <c r="P115" s="408"/>
      <c r="Q115" s="408"/>
      <c r="R115" s="424"/>
      <c r="S115" s="32"/>
      <c r="T115" s="408"/>
      <c r="U115" s="408"/>
      <c r="V115" s="408"/>
      <c r="W115" s="408"/>
      <c r="X115" s="408"/>
      <c r="Y115" s="408"/>
      <c r="Z115" s="408"/>
      <c r="AA115" s="408"/>
      <c r="AB115" s="408"/>
      <c r="AC115" s="408"/>
      <c r="AD115" s="408"/>
      <c r="AE115" s="408"/>
      <c r="AF115" s="408"/>
      <c r="AG115" s="408"/>
      <c r="AH115" s="408"/>
      <c r="AI115" s="408"/>
      <c r="AJ115" s="424"/>
      <c r="AK115" s="32"/>
      <c r="AL115" s="408"/>
      <c r="AM115" s="408"/>
      <c r="AN115" s="408"/>
      <c r="AO115" s="408"/>
      <c r="AP115" s="424"/>
      <c r="AQ115" s="365"/>
      <c r="AR115" s="366"/>
      <c r="AS115" s="366"/>
      <c r="AT115" s="366"/>
      <c r="AU115" s="366"/>
      <c r="AV115" s="366"/>
      <c r="AW115" s="366"/>
      <c r="AX115" s="366"/>
      <c r="AY115" s="366"/>
      <c r="AZ115" s="366"/>
      <c r="BA115" s="366"/>
      <c r="BB115" s="366"/>
      <c r="BC115" s="366"/>
      <c r="BD115" s="366"/>
      <c r="BE115" s="366"/>
      <c r="BF115" s="366"/>
      <c r="BG115" s="366"/>
      <c r="BH115" s="367"/>
      <c r="BI115" s="41"/>
      <c r="BK115" s="310">
        <v>1</v>
      </c>
      <c r="BL115" s="311"/>
      <c r="BM115" s="312"/>
      <c r="BN115" s="310">
        <v>2</v>
      </c>
      <c r="BO115" s="311"/>
      <c r="BP115" s="312"/>
      <c r="BQ115" s="310">
        <v>3</v>
      </c>
      <c r="BR115" s="311"/>
      <c r="BS115" s="312"/>
      <c r="BT115" s="310">
        <v>4</v>
      </c>
      <c r="BU115" s="311"/>
      <c r="BV115" s="312"/>
      <c r="BW115" s="310">
        <v>5</v>
      </c>
      <c r="BX115" s="311"/>
      <c r="BY115" s="312"/>
      <c r="BZ115" s="310">
        <v>6</v>
      </c>
      <c r="CA115" s="311"/>
      <c r="CB115" s="312"/>
      <c r="CC115" s="310">
        <v>7</v>
      </c>
      <c r="CD115" s="311"/>
      <c r="CE115" s="312"/>
      <c r="CF115" s="310">
        <v>8</v>
      </c>
      <c r="CG115" s="311"/>
      <c r="CH115" s="312"/>
      <c r="CI115" s="310">
        <v>9</v>
      </c>
      <c r="CJ115" s="311"/>
      <c r="CK115" s="312"/>
      <c r="CL115" s="310">
        <v>10</v>
      </c>
      <c r="CM115" s="311"/>
      <c r="CN115" s="312"/>
      <c r="CO115" s="310">
        <v>11</v>
      </c>
      <c r="CP115" s="311"/>
      <c r="CQ115" s="312"/>
      <c r="CR115" s="310">
        <v>12</v>
      </c>
      <c r="CS115" s="311"/>
      <c r="CT115" s="312"/>
      <c r="CU115" s="310">
        <v>13</v>
      </c>
      <c r="CV115" s="311"/>
      <c r="CW115" s="312"/>
      <c r="CX115" s="310">
        <v>14</v>
      </c>
      <c r="CY115" s="311"/>
      <c r="CZ115" s="312"/>
      <c r="DA115" s="310">
        <v>15</v>
      </c>
      <c r="DB115" s="311"/>
      <c r="DC115" s="312"/>
      <c r="DD115" s="310">
        <v>16</v>
      </c>
      <c r="DE115" s="311"/>
      <c r="DF115" s="312"/>
      <c r="DH115" s="331"/>
      <c r="DI115" s="331"/>
      <c r="DJ115" s="331"/>
      <c r="DK115" s="331"/>
      <c r="DL115" s="311"/>
      <c r="DM115" s="311"/>
      <c r="DN115" s="311"/>
      <c r="DO115" s="311"/>
      <c r="DP115" s="311"/>
      <c r="DQ115" s="311"/>
      <c r="DR115" s="311"/>
      <c r="DS115" s="311"/>
      <c r="DT115" s="311"/>
      <c r="DY115" s="190">
        <f t="shared" ref="DY115:GJ115" si="4">DZ110-DY110</f>
        <v>2.35</v>
      </c>
      <c r="DZ115" s="190">
        <f t="shared" si="4"/>
        <v>0.57499999999999973</v>
      </c>
      <c r="EA115" s="190">
        <f t="shared" si="4"/>
        <v>1.7750000000000004</v>
      </c>
      <c r="EB115" s="190">
        <f t="shared" si="4"/>
        <v>0.57500000000000018</v>
      </c>
      <c r="EC115" s="190">
        <f t="shared" si="4"/>
        <v>0.57499999999999929</v>
      </c>
      <c r="ED115" s="190">
        <f t="shared" si="4"/>
        <v>1.2000000000000011</v>
      </c>
      <c r="EE115" s="190">
        <f t="shared" si="4"/>
        <v>0.57499999999999929</v>
      </c>
      <c r="EF115" s="190">
        <f t="shared" si="4"/>
        <v>0.57499999999999929</v>
      </c>
      <c r="EG115" s="190">
        <f t="shared" si="4"/>
        <v>0.57499999999999929</v>
      </c>
      <c r="EH115" s="190">
        <f t="shared" si="4"/>
        <v>0.62500000000000178</v>
      </c>
      <c r="EI115" s="190">
        <f t="shared" si="4"/>
        <v>0.57500000000000107</v>
      </c>
      <c r="EJ115" s="190">
        <f t="shared" si="4"/>
        <v>0.57499999999999929</v>
      </c>
      <c r="EK115" s="190">
        <f t="shared" si="4"/>
        <v>0.57499999999999751</v>
      </c>
      <c r="EL115" s="190">
        <f t="shared" si="4"/>
        <v>0.57500000000000107</v>
      </c>
      <c r="EM115" s="190">
        <f t="shared" si="4"/>
        <v>5.0000000000000711E-2</v>
      </c>
      <c r="EN115" s="190">
        <f t="shared" si="4"/>
        <v>0.57499999999999929</v>
      </c>
      <c r="EO115" s="190">
        <f t="shared" si="4"/>
        <v>0.57500000000000107</v>
      </c>
      <c r="EP115" s="190">
        <f t="shared" si="4"/>
        <v>0.57499999999999751</v>
      </c>
      <c r="EQ115" s="190">
        <f t="shared" si="4"/>
        <v>0.57500000000000107</v>
      </c>
      <c r="ER115" s="190">
        <f t="shared" si="4"/>
        <v>0</v>
      </c>
      <c r="ES115" s="190">
        <f t="shared" si="4"/>
        <v>0.57500000000000107</v>
      </c>
      <c r="ET115" s="190">
        <f t="shared" si="4"/>
        <v>5.0000000000000711E-2</v>
      </c>
      <c r="EU115" s="190">
        <f t="shared" si="4"/>
        <v>0.57499999999999929</v>
      </c>
      <c r="EV115" s="190">
        <f t="shared" si="4"/>
        <v>0.57499999999999929</v>
      </c>
      <c r="EW115" s="190">
        <f t="shared" si="4"/>
        <v>0.57499999999999929</v>
      </c>
      <c r="EX115" s="190">
        <f t="shared" si="4"/>
        <v>5.0000000000000711E-2</v>
      </c>
      <c r="EY115" s="190">
        <f t="shared" si="4"/>
        <v>0.52500000000000213</v>
      </c>
      <c r="EZ115" s="190">
        <f t="shared" si="4"/>
        <v>0</v>
      </c>
      <c r="FA115" s="190">
        <f t="shared" si="4"/>
        <v>0.57499999999999574</v>
      </c>
      <c r="FB115" s="190">
        <f t="shared" si="4"/>
        <v>0</v>
      </c>
      <c r="FC115" s="190">
        <f t="shared" si="4"/>
        <v>0.625</v>
      </c>
      <c r="FD115" s="190">
        <f t="shared" si="4"/>
        <v>0.57500000000000284</v>
      </c>
      <c r="FE115" s="190">
        <f t="shared" si="4"/>
        <v>0</v>
      </c>
      <c r="FF115" s="190">
        <f t="shared" si="4"/>
        <v>0.57499999999999929</v>
      </c>
      <c r="FG115" s="190">
        <f t="shared" si="4"/>
        <v>5.0000000000000711E-2</v>
      </c>
      <c r="FH115" s="190">
        <f t="shared" si="4"/>
        <v>0.52499999999999858</v>
      </c>
      <c r="FI115" s="190">
        <f t="shared" si="4"/>
        <v>5.0000000000004263E-2</v>
      </c>
      <c r="FJ115" s="190">
        <f t="shared" si="4"/>
        <v>0.52499999999999503</v>
      </c>
      <c r="FK115" s="190">
        <f t="shared" si="4"/>
        <v>0</v>
      </c>
      <c r="FL115" s="190">
        <f t="shared" si="4"/>
        <v>0.62500000000000355</v>
      </c>
      <c r="FM115" s="190">
        <f t="shared" si="4"/>
        <v>5.0000000000000711E-2</v>
      </c>
      <c r="FN115" s="190">
        <f t="shared" si="4"/>
        <v>0.52499999999999858</v>
      </c>
      <c r="FO115" s="190">
        <f t="shared" si="4"/>
        <v>0</v>
      </c>
      <c r="FP115" s="190">
        <f t="shared" si="4"/>
        <v>0.57499999999999574</v>
      </c>
      <c r="FQ115" s="190">
        <f t="shared" si="4"/>
        <v>0</v>
      </c>
      <c r="FR115" s="190">
        <f t="shared" si="4"/>
        <v>0.57500000000000284</v>
      </c>
      <c r="FS115" s="190">
        <f t="shared" si="4"/>
        <v>5.0000000000000711E-2</v>
      </c>
      <c r="FT115" s="190">
        <f t="shared" si="4"/>
        <v>0.52499999999999858</v>
      </c>
      <c r="FU115" s="190">
        <f t="shared" si="4"/>
        <v>5.0000000000000711E-2</v>
      </c>
      <c r="FV115" s="190">
        <f t="shared" si="4"/>
        <v>0</v>
      </c>
      <c r="FW115" s="190">
        <f t="shared" si="4"/>
        <v>0.57499999999999929</v>
      </c>
      <c r="FX115" s="190">
        <f t="shared" si="4"/>
        <v>5.0000000000004263E-2</v>
      </c>
      <c r="FY115" s="190">
        <f t="shared" si="4"/>
        <v>0.52499999999999503</v>
      </c>
      <c r="FZ115" s="190">
        <f t="shared" si="4"/>
        <v>5.0000000000000711E-2</v>
      </c>
      <c r="GA115" s="190">
        <f t="shared" si="4"/>
        <v>0.52499999999999858</v>
      </c>
      <c r="GB115" s="190">
        <f t="shared" si="4"/>
        <v>0</v>
      </c>
      <c r="GC115" s="190">
        <f t="shared" si="4"/>
        <v>0.57500000000000284</v>
      </c>
      <c r="GD115" s="190">
        <f t="shared" si="4"/>
        <v>0</v>
      </c>
      <c r="GE115" s="190">
        <f t="shared" si="4"/>
        <v>0.10000000000000142</v>
      </c>
      <c r="GF115" s="190">
        <f t="shared" si="4"/>
        <v>0.47499999999999787</v>
      </c>
      <c r="GG115" s="190">
        <f t="shared" si="4"/>
        <v>5.0000000000000711E-2</v>
      </c>
      <c r="GH115" s="190">
        <f t="shared" si="4"/>
        <v>0</v>
      </c>
      <c r="GI115" s="190">
        <f t="shared" si="4"/>
        <v>0.57499999999999574</v>
      </c>
      <c r="GJ115" s="190">
        <f t="shared" si="4"/>
        <v>0</v>
      </c>
      <c r="GK115" s="190">
        <f t="shared" ref="GK115:IV115" si="5">GL110-GK110</f>
        <v>0.57500000000000284</v>
      </c>
      <c r="GL115" s="190">
        <f t="shared" si="5"/>
        <v>5.0000000000000711E-2</v>
      </c>
      <c r="GM115" s="190">
        <f t="shared" si="5"/>
        <v>0.52499999999999858</v>
      </c>
      <c r="GN115" s="190">
        <f t="shared" si="5"/>
        <v>5.0000000000000711E-2</v>
      </c>
      <c r="GO115" s="190">
        <f t="shared" si="5"/>
        <v>0</v>
      </c>
      <c r="GP115" s="190">
        <f t="shared" si="5"/>
        <v>0.52500000000000213</v>
      </c>
      <c r="GQ115" s="190">
        <f t="shared" si="5"/>
        <v>0</v>
      </c>
      <c r="GR115" s="190">
        <f t="shared" si="5"/>
        <v>0.10000000000000142</v>
      </c>
      <c r="GS115" s="190">
        <f t="shared" si="5"/>
        <v>0.47499999999999787</v>
      </c>
      <c r="GT115" s="190">
        <f t="shared" si="5"/>
        <v>0</v>
      </c>
      <c r="GU115" s="190">
        <f t="shared" si="5"/>
        <v>0.10000000000000142</v>
      </c>
      <c r="GV115" s="190">
        <f t="shared" si="5"/>
        <v>0.52499999999999858</v>
      </c>
      <c r="GW115" s="190">
        <f t="shared" si="5"/>
        <v>0</v>
      </c>
      <c r="GX115" s="190">
        <f t="shared" si="5"/>
        <v>0.57499999999999929</v>
      </c>
      <c r="GY115" s="190">
        <f t="shared" si="5"/>
        <v>0</v>
      </c>
      <c r="GZ115" s="190">
        <f t="shared" si="5"/>
        <v>0.10000000000000142</v>
      </c>
      <c r="HA115" s="190">
        <f t="shared" si="5"/>
        <v>0.47499999999999787</v>
      </c>
      <c r="HB115" s="190">
        <f t="shared" si="5"/>
        <v>5.0000000000000711E-2</v>
      </c>
      <c r="HC115" s="190">
        <f t="shared" si="5"/>
        <v>0</v>
      </c>
      <c r="HD115" s="190">
        <f t="shared" si="5"/>
        <v>0.52500000000000213</v>
      </c>
      <c r="HE115" s="190">
        <f t="shared" si="5"/>
        <v>4.9999999999997158E-2</v>
      </c>
      <c r="HF115" s="190">
        <f t="shared" si="5"/>
        <v>0</v>
      </c>
      <c r="HG115" s="190">
        <f t="shared" si="5"/>
        <v>0.52499999999999858</v>
      </c>
      <c r="HH115" s="190">
        <f t="shared" si="5"/>
        <v>0</v>
      </c>
      <c r="HI115" s="190">
        <f t="shared" si="5"/>
        <v>0.10000000000000142</v>
      </c>
      <c r="HJ115" s="190">
        <f t="shared" si="5"/>
        <v>0.52499999999999858</v>
      </c>
      <c r="HK115" s="190">
        <f t="shared" si="5"/>
        <v>5.0000000000004263E-2</v>
      </c>
      <c r="HL115" s="190">
        <f t="shared" si="5"/>
        <v>0</v>
      </c>
      <c r="HM115" s="190">
        <f t="shared" si="5"/>
        <v>0.52499999999999858</v>
      </c>
      <c r="HN115" s="190">
        <f t="shared" si="5"/>
        <v>0</v>
      </c>
      <c r="HO115" s="190">
        <f t="shared" si="5"/>
        <v>0.10000000000000142</v>
      </c>
      <c r="HP115" s="190">
        <f t="shared" si="5"/>
        <v>0.47500000000000142</v>
      </c>
      <c r="HQ115" s="190">
        <f t="shared" si="5"/>
        <v>0</v>
      </c>
      <c r="HR115" s="190">
        <f t="shared" si="5"/>
        <v>0.10000000000000142</v>
      </c>
      <c r="HS115" s="190">
        <f t="shared" si="5"/>
        <v>0.47499999999999432</v>
      </c>
      <c r="HT115" s="190">
        <f t="shared" si="5"/>
        <v>5.0000000000004263E-2</v>
      </c>
      <c r="HU115" s="190">
        <f t="shared" si="5"/>
        <v>0</v>
      </c>
      <c r="HV115" s="190">
        <f t="shared" si="5"/>
        <v>0.52499999999999147</v>
      </c>
      <c r="HW115" s="190">
        <f t="shared" si="5"/>
        <v>5.0000000000004263E-2</v>
      </c>
      <c r="HX115" s="190">
        <f t="shared" si="5"/>
        <v>0</v>
      </c>
      <c r="HY115" s="190">
        <f t="shared" si="5"/>
        <v>0.10000000000000142</v>
      </c>
      <c r="HZ115" s="190">
        <f t="shared" si="5"/>
        <v>0.47500000000000142</v>
      </c>
      <c r="IA115" s="190">
        <f t="shared" si="5"/>
        <v>5.0000000000004263E-2</v>
      </c>
      <c r="IB115" s="190">
        <f t="shared" si="5"/>
        <v>0</v>
      </c>
      <c r="IC115" s="190">
        <f t="shared" si="5"/>
        <v>0.52499999999999147</v>
      </c>
      <c r="ID115" s="190">
        <f t="shared" si="5"/>
        <v>4.9999999999997158E-2</v>
      </c>
      <c r="IE115" s="190">
        <f t="shared" si="5"/>
        <v>0</v>
      </c>
      <c r="IF115" s="190">
        <f t="shared" si="5"/>
        <v>0.52500000000000568</v>
      </c>
      <c r="IG115" s="190">
        <f t="shared" si="5"/>
        <v>0</v>
      </c>
      <c r="IH115" s="190">
        <f t="shared" si="5"/>
        <v>0.10000000000000142</v>
      </c>
      <c r="II115" s="190">
        <f t="shared" si="5"/>
        <v>0.47499999999999432</v>
      </c>
      <c r="IJ115" s="190">
        <f t="shared" si="5"/>
        <v>0</v>
      </c>
      <c r="IK115" s="190">
        <f t="shared" si="5"/>
        <v>0.10000000000000142</v>
      </c>
      <c r="IL115" s="190">
        <f t="shared" si="5"/>
        <v>0</v>
      </c>
      <c r="IM115" s="190">
        <f t="shared" si="5"/>
        <v>0.47500000000000142</v>
      </c>
      <c r="IN115" s="190">
        <f t="shared" si="5"/>
        <v>5.0000000000004263E-2</v>
      </c>
      <c r="IO115" s="190">
        <f t="shared" si="5"/>
        <v>0</v>
      </c>
      <c r="IP115" s="190">
        <f t="shared" si="5"/>
        <v>9.9999999999994316E-2</v>
      </c>
      <c r="IQ115" s="190">
        <f t="shared" si="5"/>
        <v>0.47500000000000142</v>
      </c>
      <c r="IR115" s="190">
        <f t="shared" si="5"/>
        <v>0</v>
      </c>
      <c r="IS115" s="190">
        <f t="shared" si="5"/>
        <v>0.10000000000000142</v>
      </c>
      <c r="IT115" s="190">
        <f t="shared" si="5"/>
        <v>0.47499999999999432</v>
      </c>
      <c r="IU115" s="190">
        <f t="shared" si="5"/>
        <v>5.0000000000004263E-2</v>
      </c>
      <c r="IV115" s="190">
        <f t="shared" si="5"/>
        <v>0</v>
      </c>
      <c r="IW115" s="190">
        <f t="shared" ref="IW115:LH115" si="6">IX110-IW110</f>
        <v>0.52499999999999858</v>
      </c>
      <c r="IX115" s="190">
        <f t="shared" si="6"/>
        <v>4.9999999999997158E-2</v>
      </c>
      <c r="IY115" s="190">
        <f t="shared" si="6"/>
        <v>0</v>
      </c>
      <c r="IZ115" s="190">
        <f t="shared" si="6"/>
        <v>0.10000000000000853</v>
      </c>
      <c r="JA115" s="190">
        <f t="shared" si="6"/>
        <v>0.42499999999999716</v>
      </c>
      <c r="JB115" s="190">
        <f t="shared" si="6"/>
        <v>0</v>
      </c>
      <c r="JC115" s="190">
        <f t="shared" si="6"/>
        <v>0.10000000000000142</v>
      </c>
      <c r="JD115" s="190">
        <f t="shared" si="6"/>
        <v>0</v>
      </c>
      <c r="JE115" s="190">
        <f t="shared" si="6"/>
        <v>0.47499999999999432</v>
      </c>
      <c r="JF115" s="190">
        <f t="shared" si="6"/>
        <v>0</v>
      </c>
      <c r="JG115" s="190">
        <f t="shared" si="6"/>
        <v>0.10000000000000142</v>
      </c>
      <c r="JH115" s="190">
        <f t="shared" si="6"/>
        <v>0</v>
      </c>
      <c r="JI115" s="190">
        <f t="shared" si="6"/>
        <v>0.52499999999999858</v>
      </c>
      <c r="JJ115" s="190">
        <f t="shared" si="6"/>
        <v>0</v>
      </c>
      <c r="JK115" s="190">
        <f t="shared" si="6"/>
        <v>0.10000000000000142</v>
      </c>
      <c r="JL115" s="190">
        <f t="shared" si="6"/>
        <v>0.47499999999999432</v>
      </c>
      <c r="JM115" s="190">
        <f t="shared" si="6"/>
        <v>0</v>
      </c>
      <c r="JN115" s="190">
        <f t="shared" si="6"/>
        <v>0.10000000000000853</v>
      </c>
      <c r="JO115" s="190">
        <f t="shared" si="6"/>
        <v>0</v>
      </c>
      <c r="JP115" s="190">
        <f t="shared" si="6"/>
        <v>0.47500000000000142</v>
      </c>
      <c r="JQ115" s="190">
        <f t="shared" si="6"/>
        <v>4.9999999999997158E-2</v>
      </c>
      <c r="JR115" s="190">
        <f t="shared" si="6"/>
        <v>0</v>
      </c>
      <c r="JS115" s="190">
        <f t="shared" si="6"/>
        <v>0.10000000000000142</v>
      </c>
      <c r="JT115" s="190">
        <f t="shared" si="6"/>
        <v>0.42499999999999716</v>
      </c>
      <c r="JU115" s="190">
        <f t="shared" si="6"/>
        <v>5.0000000000004263E-2</v>
      </c>
      <c r="JV115" s="190">
        <f t="shared" si="6"/>
        <v>0</v>
      </c>
      <c r="JW115" s="190">
        <f t="shared" si="6"/>
        <v>0.10000000000000142</v>
      </c>
      <c r="JX115" s="190">
        <f t="shared" si="6"/>
        <v>0.42499999999999716</v>
      </c>
      <c r="JY115" s="190">
        <f t="shared" si="6"/>
        <v>0</v>
      </c>
      <c r="JZ115" s="190">
        <f t="shared" si="6"/>
        <v>9.9999999999994316E-2</v>
      </c>
      <c r="KA115" s="190">
        <f t="shared" si="6"/>
        <v>0</v>
      </c>
      <c r="KB115" s="190">
        <f t="shared" si="6"/>
        <v>0.52499999999999858</v>
      </c>
      <c r="KC115" s="190">
        <f t="shared" si="6"/>
        <v>5.0000000000004263E-2</v>
      </c>
      <c r="KD115" s="190">
        <f t="shared" si="6"/>
        <v>0</v>
      </c>
      <c r="KE115" s="190">
        <f t="shared" si="6"/>
        <v>0.10000000000000142</v>
      </c>
      <c r="KF115" s="190">
        <f t="shared" si="6"/>
        <v>0.42500000000000426</v>
      </c>
      <c r="KG115" s="190">
        <f t="shared" si="6"/>
        <v>0</v>
      </c>
      <c r="KH115" s="190">
        <f t="shared" si="6"/>
        <v>9.9999999999994316E-2</v>
      </c>
      <c r="KI115" s="190">
        <f t="shared" si="6"/>
        <v>0</v>
      </c>
      <c r="KJ115" s="190">
        <f t="shared" si="6"/>
        <v>0.47500000000000142</v>
      </c>
      <c r="KK115" s="190">
        <f t="shared" si="6"/>
        <v>0</v>
      </c>
      <c r="KL115" s="190">
        <f t="shared" si="6"/>
        <v>0.10000000000000142</v>
      </c>
      <c r="KM115" s="190">
        <f t="shared" si="6"/>
        <v>0</v>
      </c>
      <c r="KN115" s="190">
        <f t="shared" si="6"/>
        <v>0.47500000000000142</v>
      </c>
      <c r="KO115" s="190">
        <f t="shared" si="6"/>
        <v>4.9999999999997158E-2</v>
      </c>
      <c r="KP115" s="190">
        <f t="shared" si="6"/>
        <v>0</v>
      </c>
      <c r="KQ115" s="190">
        <f t="shared" si="6"/>
        <v>0.10000000000000142</v>
      </c>
      <c r="KR115" s="190">
        <f t="shared" si="6"/>
        <v>0.42499999999999716</v>
      </c>
      <c r="KS115" s="190">
        <f t="shared" si="6"/>
        <v>4.9999999999997158E-2</v>
      </c>
      <c r="KT115" s="190">
        <f t="shared" si="6"/>
        <v>0</v>
      </c>
      <c r="KU115" s="190">
        <f t="shared" si="6"/>
        <v>0.10000000000000853</v>
      </c>
      <c r="KV115" s="190">
        <f t="shared" si="6"/>
        <v>0.47499999999999432</v>
      </c>
      <c r="KW115" s="190">
        <f t="shared" si="6"/>
        <v>5.0000000000004263E-2</v>
      </c>
      <c r="KX115" s="190">
        <f t="shared" si="6"/>
        <v>0</v>
      </c>
      <c r="KY115" s="190">
        <f t="shared" si="6"/>
        <v>0.52499999999999858</v>
      </c>
      <c r="KZ115" s="190">
        <f t="shared" si="6"/>
        <v>4.9999999999997158E-2</v>
      </c>
      <c r="LA115" s="190">
        <f t="shared" si="6"/>
        <v>0</v>
      </c>
      <c r="LB115" s="190">
        <f t="shared" si="6"/>
        <v>0.10000000000000853</v>
      </c>
      <c r="LC115" s="190">
        <f t="shared" si="6"/>
        <v>0.42499999999999716</v>
      </c>
      <c r="LD115" s="190">
        <f t="shared" si="6"/>
        <v>0</v>
      </c>
      <c r="LE115" s="190">
        <f t="shared" si="6"/>
        <v>9.9999999999994316E-2</v>
      </c>
      <c r="LF115" s="190">
        <f t="shared" si="6"/>
        <v>0</v>
      </c>
      <c r="LG115" s="190">
        <f t="shared" si="6"/>
        <v>0.47500000000000142</v>
      </c>
      <c r="LH115" s="190">
        <f t="shared" si="6"/>
        <v>0</v>
      </c>
      <c r="LI115" s="190">
        <f t="shared" ref="LI115:MD115" si="7">LJ110-LI110</f>
        <v>0.10000000000000142</v>
      </c>
      <c r="LJ115" s="190">
        <f t="shared" si="7"/>
        <v>0</v>
      </c>
      <c r="LK115" s="190">
        <f t="shared" si="7"/>
        <v>0.10000000000000142</v>
      </c>
      <c r="LL115" s="190">
        <f t="shared" si="7"/>
        <v>0.37499999999999289</v>
      </c>
      <c r="LM115" s="190">
        <f t="shared" si="7"/>
        <v>5.0000000000004263E-2</v>
      </c>
      <c r="LN115" s="190">
        <f t="shared" si="7"/>
        <v>0</v>
      </c>
      <c r="LO115" s="190">
        <f t="shared" si="7"/>
        <v>0.10000000000000142</v>
      </c>
      <c r="LP115" s="190">
        <f t="shared" si="7"/>
        <v>0</v>
      </c>
      <c r="LQ115" s="190">
        <f t="shared" si="7"/>
        <v>0.47499999999999432</v>
      </c>
      <c r="LR115" s="190">
        <f t="shared" si="7"/>
        <v>0</v>
      </c>
      <c r="LS115" s="190">
        <f t="shared" si="7"/>
        <v>0.10000000000000142</v>
      </c>
      <c r="LT115" s="190">
        <f t="shared" si="7"/>
        <v>0.47500000000000142</v>
      </c>
      <c r="LU115" s="190">
        <f t="shared" si="7"/>
        <v>4.9999999999997158E-2</v>
      </c>
      <c r="LV115" s="190">
        <f t="shared" si="7"/>
        <v>0</v>
      </c>
      <c r="LW115" s="190">
        <f t="shared" si="7"/>
        <v>0.10000000000000853</v>
      </c>
      <c r="LX115" s="190">
        <f t="shared" si="7"/>
        <v>0.42499999999999716</v>
      </c>
      <c r="LY115" s="190">
        <f t="shared" si="7"/>
        <v>4.9999999999997158E-2</v>
      </c>
      <c r="LZ115" s="190">
        <f t="shared" si="7"/>
        <v>0</v>
      </c>
      <c r="MA115" s="190">
        <f t="shared" si="7"/>
        <v>0.10000000000000853</v>
      </c>
      <c r="MB115" s="190">
        <f t="shared" si="7"/>
        <v>0</v>
      </c>
      <c r="MC115" s="190">
        <f t="shared" si="7"/>
        <v>0.42499999999999005</v>
      </c>
      <c r="MD115" s="190">
        <f t="shared" si="7"/>
        <v>0</v>
      </c>
    </row>
    <row r="116" spans="1:342" ht="7.4" customHeight="1" x14ac:dyDescent="0.5">
      <c r="A116" s="42"/>
      <c r="B116" s="32"/>
      <c r="C116" s="408"/>
      <c r="D116" s="408"/>
      <c r="E116" s="424"/>
      <c r="F116" s="32"/>
      <c r="G116" s="408"/>
      <c r="H116" s="408"/>
      <c r="I116" s="408"/>
      <c r="J116" s="408"/>
      <c r="K116" s="408"/>
      <c r="L116" s="408"/>
      <c r="M116" s="408"/>
      <c r="N116" s="408"/>
      <c r="O116" s="408"/>
      <c r="P116" s="408"/>
      <c r="Q116" s="408"/>
      <c r="R116" s="424"/>
      <c r="S116" s="32"/>
      <c r="T116" s="408"/>
      <c r="U116" s="408"/>
      <c r="V116" s="408"/>
      <c r="W116" s="408"/>
      <c r="X116" s="408"/>
      <c r="Y116" s="408"/>
      <c r="Z116" s="408"/>
      <c r="AA116" s="408"/>
      <c r="AB116" s="408"/>
      <c r="AC116" s="408"/>
      <c r="AD116" s="408"/>
      <c r="AE116" s="408"/>
      <c r="AF116" s="408"/>
      <c r="AG116" s="408"/>
      <c r="AH116" s="408"/>
      <c r="AI116" s="408"/>
      <c r="AJ116" s="424"/>
      <c r="AK116" s="32"/>
      <c r="AL116" s="408"/>
      <c r="AM116" s="408"/>
      <c r="AN116" s="408"/>
      <c r="AO116" s="408"/>
      <c r="AP116" s="424"/>
      <c r="AQ116" s="365"/>
      <c r="AR116" s="366"/>
      <c r="AS116" s="366"/>
      <c r="AT116" s="366"/>
      <c r="AU116" s="366"/>
      <c r="AV116" s="366"/>
      <c r="AW116" s="366"/>
      <c r="AX116" s="366"/>
      <c r="AY116" s="366"/>
      <c r="AZ116" s="366"/>
      <c r="BA116" s="366"/>
      <c r="BB116" s="366"/>
      <c r="BC116" s="366"/>
      <c r="BD116" s="366"/>
      <c r="BE116" s="366"/>
      <c r="BF116" s="366"/>
      <c r="BG116" s="366"/>
      <c r="BH116" s="367"/>
      <c r="BI116" s="41"/>
      <c r="BK116" s="310"/>
      <c r="BL116" s="311"/>
      <c r="BM116" s="312"/>
      <c r="BN116" s="310"/>
      <c r="BO116" s="311"/>
      <c r="BP116" s="312"/>
      <c r="BQ116" s="310"/>
      <c r="BR116" s="311"/>
      <c r="BS116" s="312"/>
      <c r="BT116" s="310"/>
      <c r="BU116" s="311"/>
      <c r="BV116" s="312"/>
      <c r="BW116" s="310"/>
      <c r="BX116" s="311"/>
      <c r="BY116" s="312"/>
      <c r="BZ116" s="310"/>
      <c r="CA116" s="311"/>
      <c r="CB116" s="312"/>
      <c r="CC116" s="310"/>
      <c r="CD116" s="311"/>
      <c r="CE116" s="312"/>
      <c r="CF116" s="310"/>
      <c r="CG116" s="311"/>
      <c r="CH116" s="312"/>
      <c r="CI116" s="310"/>
      <c r="CJ116" s="311"/>
      <c r="CK116" s="312"/>
      <c r="CL116" s="310"/>
      <c r="CM116" s="311"/>
      <c r="CN116" s="312"/>
      <c r="CO116" s="310"/>
      <c r="CP116" s="311"/>
      <c r="CQ116" s="312"/>
      <c r="CR116" s="310"/>
      <c r="CS116" s="311"/>
      <c r="CT116" s="312"/>
      <c r="CU116" s="310"/>
      <c r="CV116" s="311"/>
      <c r="CW116" s="312"/>
      <c r="CX116" s="310"/>
      <c r="CY116" s="311"/>
      <c r="CZ116" s="312"/>
      <c r="DA116" s="310"/>
      <c r="DB116" s="311"/>
      <c r="DC116" s="312"/>
      <c r="DD116" s="310"/>
      <c r="DE116" s="311"/>
      <c r="DF116" s="312"/>
      <c r="DH116" s="331"/>
      <c r="DI116" s="331"/>
      <c r="DJ116" s="331"/>
      <c r="DK116" s="331"/>
      <c r="DL116" s="311"/>
      <c r="DM116" s="311"/>
      <c r="DN116" s="311"/>
      <c r="DO116" s="311"/>
      <c r="DP116" s="311"/>
      <c r="DQ116" s="311"/>
      <c r="DR116" s="311"/>
      <c r="DS116" s="311"/>
      <c r="DT116" s="311"/>
      <c r="DY116" s="181"/>
      <c r="DZ116" s="181"/>
      <c r="EA116" s="181"/>
      <c r="EB116" s="181"/>
      <c r="EC116" s="181"/>
      <c r="ED116" s="181"/>
      <c r="EE116" s="181"/>
      <c r="EF116" s="181"/>
      <c r="EG116" s="181"/>
      <c r="EH116" s="181"/>
      <c r="EI116" s="181"/>
      <c r="EJ116" s="181"/>
      <c r="EK116" s="181"/>
      <c r="EL116" s="181"/>
      <c r="EM116" s="181"/>
      <c r="EN116" s="181"/>
      <c r="EO116" s="181"/>
      <c r="EP116" s="181"/>
      <c r="EQ116" s="181"/>
      <c r="ER116" s="181"/>
      <c r="ES116" s="181"/>
      <c r="ET116" s="181"/>
      <c r="EU116" s="181"/>
      <c r="EV116" s="181"/>
      <c r="EW116" s="181"/>
      <c r="EX116" s="181"/>
      <c r="EY116" s="181"/>
      <c r="EZ116" s="181"/>
      <c r="FA116" s="181"/>
      <c r="FB116" s="181"/>
      <c r="FC116" s="181"/>
      <c r="FD116" s="181"/>
      <c r="FE116" s="181"/>
      <c r="FF116" s="181"/>
      <c r="FG116" s="181"/>
      <c r="FH116" s="181"/>
      <c r="FI116" s="181"/>
      <c r="FJ116" s="181"/>
      <c r="FK116" s="181"/>
      <c r="FL116" s="181"/>
      <c r="FM116" s="181"/>
      <c r="FN116" s="181"/>
      <c r="FO116" s="181"/>
      <c r="FP116" s="181"/>
      <c r="FQ116" s="181"/>
      <c r="FR116" s="181"/>
      <c r="FS116" s="181"/>
      <c r="FT116" s="181"/>
      <c r="FU116" s="181"/>
      <c r="FV116" s="181"/>
      <c r="FW116" s="181"/>
      <c r="FX116" s="181"/>
      <c r="FY116" s="181"/>
      <c r="FZ116" s="181"/>
      <c r="GA116" s="181"/>
      <c r="GB116" s="181"/>
      <c r="GC116" s="181"/>
      <c r="GD116" s="181"/>
      <c r="GE116" s="181"/>
      <c r="GF116" s="181"/>
      <c r="GG116" s="181"/>
      <c r="GH116" s="181"/>
      <c r="GI116" s="181"/>
      <c r="GJ116" s="181"/>
      <c r="GK116" s="181"/>
      <c r="GL116" s="181"/>
      <c r="GM116" s="181"/>
      <c r="GN116" s="181"/>
      <c r="GO116" s="181"/>
      <c r="GP116" s="181"/>
      <c r="GQ116" s="181"/>
      <c r="GR116" s="181"/>
      <c r="GS116" s="181"/>
      <c r="GT116" s="181"/>
      <c r="GU116" s="181"/>
      <c r="GV116" s="181"/>
      <c r="GW116" s="181"/>
      <c r="GX116" s="181"/>
      <c r="GY116" s="181"/>
      <c r="GZ116" s="181"/>
      <c r="HA116" s="181"/>
      <c r="HB116" s="181"/>
      <c r="HC116" s="181"/>
      <c r="HD116" s="181"/>
      <c r="HE116" s="181"/>
      <c r="HF116" s="181"/>
      <c r="HG116" s="181"/>
      <c r="HH116" s="181"/>
      <c r="HI116" s="181"/>
      <c r="HJ116" s="181"/>
      <c r="HK116" s="181"/>
      <c r="HL116" s="181"/>
      <c r="HM116" s="181"/>
      <c r="HN116" s="181"/>
      <c r="HO116" s="181"/>
      <c r="HP116" s="181"/>
      <c r="HQ116" s="181"/>
      <c r="HR116" s="181"/>
      <c r="HS116" s="181"/>
      <c r="HT116" s="181"/>
      <c r="HU116" s="181"/>
      <c r="HV116" s="181"/>
      <c r="HW116" s="181"/>
      <c r="HX116" s="181"/>
      <c r="HY116" s="181"/>
      <c r="HZ116" s="181"/>
      <c r="IA116" s="181"/>
      <c r="IB116" s="181"/>
      <c r="IC116" s="181"/>
      <c r="ID116" s="181"/>
      <c r="IE116" s="181"/>
      <c r="IF116" s="181"/>
      <c r="IG116" s="181"/>
      <c r="IH116" s="181"/>
      <c r="II116" s="181"/>
      <c r="IJ116" s="181"/>
      <c r="IK116" s="181"/>
      <c r="IL116" s="181"/>
      <c r="IM116" s="181"/>
      <c r="IN116" s="181"/>
      <c r="IO116" s="181"/>
      <c r="IP116" s="181"/>
      <c r="IQ116" s="181"/>
      <c r="IR116" s="181"/>
      <c r="IS116" s="181"/>
      <c r="IT116" s="181"/>
      <c r="IU116" s="181"/>
      <c r="IV116" s="181"/>
      <c r="IW116" s="181"/>
      <c r="IX116" s="181"/>
      <c r="IY116" s="181"/>
      <c r="IZ116" s="181"/>
      <c r="JA116" s="181"/>
      <c r="JB116" s="181"/>
      <c r="JC116" s="181"/>
      <c r="JD116" s="181"/>
      <c r="JE116" s="181"/>
      <c r="JF116" s="181"/>
      <c r="JG116" s="181"/>
      <c r="JH116" s="181"/>
      <c r="JI116" s="181"/>
      <c r="JJ116" s="181"/>
      <c r="JK116" s="181"/>
      <c r="JL116" s="181"/>
      <c r="JM116" s="181"/>
      <c r="JN116" s="181"/>
      <c r="JO116" s="181"/>
      <c r="JP116" s="181"/>
      <c r="JQ116" s="181"/>
      <c r="JR116" s="181"/>
      <c r="JS116" s="181"/>
      <c r="JT116" s="181"/>
      <c r="JU116" s="181"/>
      <c r="JV116" s="181"/>
      <c r="JW116" s="181"/>
      <c r="JX116" s="181"/>
      <c r="JY116" s="181"/>
      <c r="JZ116" s="181"/>
      <c r="KA116" s="181"/>
      <c r="KB116" s="181"/>
      <c r="KC116" s="181"/>
      <c r="KD116" s="181"/>
      <c r="KE116" s="181"/>
      <c r="KF116" s="181"/>
      <c r="KG116" s="181"/>
      <c r="KH116" s="181"/>
      <c r="KI116" s="181"/>
      <c r="KJ116" s="181"/>
      <c r="KK116" s="181"/>
      <c r="KL116" s="181"/>
      <c r="KM116" s="181"/>
      <c r="KN116" s="181"/>
      <c r="KO116" s="181"/>
      <c r="KP116" s="181"/>
      <c r="KQ116" s="181"/>
      <c r="KR116" s="181"/>
      <c r="KS116" s="181"/>
      <c r="KT116" s="181"/>
      <c r="KU116" s="181"/>
      <c r="KV116" s="181"/>
      <c r="KW116" s="181"/>
      <c r="KX116" s="181"/>
      <c r="KY116" s="181"/>
      <c r="KZ116" s="181"/>
      <c r="LA116" s="181"/>
      <c r="LB116" s="181"/>
      <c r="LC116" s="181"/>
      <c r="LD116" s="181"/>
      <c r="LE116" s="181"/>
      <c r="LF116" s="181"/>
      <c r="LG116" s="181"/>
      <c r="LH116" s="181"/>
      <c r="LI116" s="181"/>
      <c r="LJ116" s="181"/>
      <c r="LK116" s="181"/>
      <c r="LL116" s="181"/>
      <c r="LM116" s="181"/>
      <c r="LN116" s="181"/>
      <c r="LO116" s="181"/>
      <c r="LP116" s="181"/>
      <c r="LQ116" s="181"/>
      <c r="LR116" s="181"/>
      <c r="LS116" s="181"/>
      <c r="LT116" s="181"/>
      <c r="LU116" s="181"/>
      <c r="LV116" s="181"/>
      <c r="LW116" s="181"/>
      <c r="LX116" s="181"/>
      <c r="LY116" s="181"/>
      <c r="LZ116" s="181"/>
      <c r="MA116" s="181"/>
      <c r="MB116" s="181"/>
      <c r="MC116" s="181"/>
      <c r="MD116" s="181"/>
    </row>
    <row r="117" spans="1:342" ht="7.4" customHeight="1" x14ac:dyDescent="0.5">
      <c r="A117" s="42"/>
      <c r="B117" s="35"/>
      <c r="C117" s="425"/>
      <c r="D117" s="425"/>
      <c r="E117" s="426"/>
      <c r="F117" s="35"/>
      <c r="G117" s="425"/>
      <c r="H117" s="425"/>
      <c r="I117" s="425"/>
      <c r="J117" s="425"/>
      <c r="K117" s="425"/>
      <c r="L117" s="425"/>
      <c r="M117" s="425"/>
      <c r="N117" s="425"/>
      <c r="O117" s="425"/>
      <c r="P117" s="425"/>
      <c r="Q117" s="425"/>
      <c r="R117" s="426"/>
      <c r="S117" s="35"/>
      <c r="T117" s="425"/>
      <c r="U117" s="425"/>
      <c r="V117" s="425"/>
      <c r="W117" s="425"/>
      <c r="X117" s="425"/>
      <c r="Y117" s="425"/>
      <c r="Z117" s="425"/>
      <c r="AA117" s="425"/>
      <c r="AB117" s="425"/>
      <c r="AC117" s="425"/>
      <c r="AD117" s="425"/>
      <c r="AE117" s="425"/>
      <c r="AF117" s="425"/>
      <c r="AG117" s="425"/>
      <c r="AH117" s="425"/>
      <c r="AI117" s="425"/>
      <c r="AJ117" s="426"/>
      <c r="AK117" s="35"/>
      <c r="AL117" s="425"/>
      <c r="AM117" s="425"/>
      <c r="AN117" s="425"/>
      <c r="AO117" s="425"/>
      <c r="AP117" s="426"/>
      <c r="AQ117" s="368"/>
      <c r="AR117" s="369"/>
      <c r="AS117" s="369"/>
      <c r="AT117" s="369"/>
      <c r="AU117" s="369"/>
      <c r="AV117" s="369"/>
      <c r="AW117" s="369"/>
      <c r="AX117" s="369"/>
      <c r="AY117" s="369"/>
      <c r="AZ117" s="369"/>
      <c r="BA117" s="369"/>
      <c r="BB117" s="369"/>
      <c r="BC117" s="369"/>
      <c r="BD117" s="369"/>
      <c r="BE117" s="369"/>
      <c r="BF117" s="369"/>
      <c r="BG117" s="369"/>
      <c r="BH117" s="370"/>
      <c r="BI117" s="41"/>
      <c r="BK117" s="220"/>
      <c r="BL117" s="134"/>
      <c r="BM117" s="85"/>
      <c r="BN117" s="134"/>
      <c r="BO117" s="134"/>
      <c r="BP117" s="85"/>
      <c r="BQ117" s="220"/>
      <c r="BR117" s="134"/>
      <c r="BS117" s="85"/>
      <c r="BT117" s="220"/>
      <c r="BU117" s="134"/>
      <c r="BV117" s="85"/>
      <c r="BW117" s="220"/>
      <c r="BX117" s="134"/>
      <c r="BY117" s="85"/>
      <c r="BZ117" s="220"/>
      <c r="CA117" s="134"/>
      <c r="CB117" s="85"/>
      <c r="CC117" s="220"/>
      <c r="CD117" s="134"/>
      <c r="CE117" s="85"/>
      <c r="CF117" s="220"/>
      <c r="CG117" s="134"/>
      <c r="CH117" s="85"/>
      <c r="CI117" s="220"/>
      <c r="CJ117" s="134"/>
      <c r="CK117" s="85"/>
      <c r="CL117" s="220"/>
      <c r="CM117" s="134"/>
      <c r="CN117" s="85"/>
      <c r="CO117" s="220"/>
      <c r="CP117" s="134"/>
      <c r="CQ117" s="85"/>
      <c r="CR117" s="220"/>
      <c r="CS117" s="134"/>
      <c r="CT117" s="85"/>
      <c r="CU117" s="220"/>
      <c r="CV117" s="134"/>
      <c r="CW117" s="85"/>
      <c r="CX117" s="220"/>
      <c r="CY117" s="134"/>
      <c r="CZ117" s="85"/>
      <c r="DA117" s="220"/>
      <c r="DB117" s="134"/>
      <c r="DC117" s="85"/>
      <c r="DD117" s="220"/>
      <c r="DE117" s="134"/>
      <c r="DF117" s="85"/>
      <c r="DY117" s="191"/>
      <c r="DZ117" s="191"/>
      <c r="EA117" s="191"/>
      <c r="EB117" s="191"/>
      <c r="EC117" s="191"/>
      <c r="ED117" s="191"/>
      <c r="EE117" s="191"/>
      <c r="EF117" s="191"/>
      <c r="EG117" s="191"/>
      <c r="EH117" s="191"/>
      <c r="EI117" s="191"/>
      <c r="EJ117" s="192"/>
      <c r="EK117" s="192"/>
      <c r="EL117" s="192"/>
      <c r="EM117" s="192"/>
      <c r="EN117" s="191"/>
      <c r="EO117" s="192"/>
      <c r="EP117" s="192"/>
      <c r="EQ117" s="192"/>
      <c r="ER117" s="192"/>
      <c r="ES117" s="192"/>
      <c r="ET117" s="192"/>
      <c r="EU117" s="192"/>
      <c r="EV117" s="192"/>
      <c r="EW117" s="192"/>
      <c r="EX117" s="192"/>
      <c r="EY117" s="192"/>
      <c r="EZ117" s="192"/>
      <c r="FA117" s="191"/>
      <c r="FB117" s="191"/>
      <c r="FC117" s="191"/>
      <c r="FD117" s="192"/>
      <c r="FE117" s="192"/>
      <c r="FF117" s="192"/>
      <c r="FG117" s="192"/>
      <c r="FH117" s="191"/>
      <c r="FI117" s="191"/>
      <c r="FJ117" s="191"/>
      <c r="FK117" s="191"/>
      <c r="FL117" s="191"/>
      <c r="FM117" s="191"/>
      <c r="FN117" s="191"/>
      <c r="FO117" s="191"/>
      <c r="FP117" s="191"/>
      <c r="FQ117" s="191"/>
      <c r="FR117" s="191"/>
    </row>
    <row r="118" spans="1:342" ht="7.4" customHeight="1" x14ac:dyDescent="0.5">
      <c r="A118" s="42"/>
      <c r="B118" s="38"/>
      <c r="C118" s="39"/>
      <c r="D118" s="39"/>
      <c r="E118" s="40"/>
      <c r="F118" s="38"/>
      <c r="G118" s="140"/>
      <c r="H118" s="140"/>
      <c r="I118" s="140"/>
      <c r="J118" s="140"/>
      <c r="K118" s="140"/>
      <c r="L118" s="140"/>
      <c r="M118" s="140"/>
      <c r="N118" s="140"/>
      <c r="O118" s="140"/>
      <c r="P118" s="140"/>
      <c r="Q118" s="140"/>
      <c r="R118" s="193"/>
      <c r="S118" s="38"/>
      <c r="T118" s="39"/>
      <c r="U118" s="39"/>
      <c r="V118" s="39"/>
      <c r="W118" s="39"/>
      <c r="X118" s="39"/>
      <c r="Y118" s="39"/>
      <c r="Z118" s="39"/>
      <c r="AA118" s="39"/>
      <c r="AB118" s="39"/>
      <c r="AC118" s="39"/>
      <c r="AD118" s="39"/>
      <c r="AE118" s="39"/>
      <c r="AF118" s="39"/>
      <c r="AG118" s="39"/>
      <c r="AH118" s="39"/>
      <c r="AI118" s="39"/>
      <c r="AJ118" s="40"/>
      <c r="AK118" s="38"/>
      <c r="AL118" s="39"/>
      <c r="AM118" s="39"/>
      <c r="AN118" s="39"/>
      <c r="AO118" s="39"/>
      <c r="AP118" s="39"/>
      <c r="AQ118" s="38"/>
      <c r="AR118" s="39"/>
      <c r="AS118" s="39"/>
      <c r="AT118" s="39"/>
      <c r="AU118" s="39"/>
      <c r="AV118" s="39"/>
      <c r="AW118" s="39"/>
      <c r="AX118" s="39"/>
      <c r="AY118" s="39"/>
      <c r="AZ118" s="39"/>
      <c r="BA118" s="39"/>
      <c r="BB118" s="39"/>
      <c r="BC118" s="39"/>
      <c r="BD118" s="39"/>
      <c r="BE118" s="39"/>
      <c r="BF118" s="39"/>
      <c r="BG118" s="39"/>
      <c r="BH118" s="40"/>
      <c r="BI118" s="41"/>
      <c r="BK118" s="415">
        <f>IF($N$81="Combination",0,($AE$45*M58+20*(M58-1)+$N$85*2)*2*M54/$N$81)</f>
        <v>0</v>
      </c>
      <c r="BL118" s="416"/>
      <c r="BM118" s="417"/>
      <c r="BN118" s="415">
        <f>IF($N$81="Combination",0,($AE$45*P58+20*(P58-1)+$N$85*2)*2*P54/$N$81)</f>
        <v>0</v>
      </c>
      <c r="BO118" s="416"/>
      <c r="BP118" s="417"/>
      <c r="BQ118" s="415">
        <f>IF($N$81="Combination",0,($AE$45*S58+20*(S58-1)+$N$85*2)*2*S54/$N$81)</f>
        <v>0</v>
      </c>
      <c r="BR118" s="416"/>
      <c r="BS118" s="417"/>
      <c r="BT118" s="415">
        <f>IF($N$81="Combination",0,($AE$45*V58+20*(V58-1)+$N$85*2)*2*V54/$N$81)</f>
        <v>0</v>
      </c>
      <c r="BU118" s="416"/>
      <c r="BV118" s="417"/>
      <c r="BW118" s="415">
        <f>IF($N$81="Combination",0,($AE$45*Y58+20*(Y58-1)+$N$85*2)*2*Y54/$N$81)</f>
        <v>0</v>
      </c>
      <c r="BX118" s="416"/>
      <c r="BY118" s="417"/>
      <c r="BZ118" s="415">
        <f>IF($N$81="Combination",0,($AE$45*AB58+20*(AB58-1)+$N$85*2)*2*AB54/$N$81)</f>
        <v>0</v>
      </c>
      <c r="CA118" s="416"/>
      <c r="CB118" s="417"/>
      <c r="CC118" s="415">
        <f>IF($N$81="Combination",0,($AE$45*AE58+20*(AE58-1)+$N$85*2)*2*AE54/$N$81)</f>
        <v>0</v>
      </c>
      <c r="CD118" s="416"/>
      <c r="CE118" s="417"/>
      <c r="CF118" s="415">
        <f>IF($N$81="Combination",0,($AE$45*AH58+20*(AH58-1)+$N$85*2)*2*AH54/$N$81)</f>
        <v>0</v>
      </c>
      <c r="CG118" s="416"/>
      <c r="CH118" s="417"/>
      <c r="CI118" s="415">
        <f>IF($N$81="Combination",0,($AE$45*AK58+20*(AK58-1)+$N$85*2)*2*AK54/$N$81)</f>
        <v>0</v>
      </c>
      <c r="CJ118" s="416"/>
      <c r="CK118" s="417"/>
      <c r="CL118" s="415">
        <f>IF($N$81="Combination",0,($AE$45*AN58+20*(AN58-1)+$N$85*2)*2*AN54/$N$81)</f>
        <v>0</v>
      </c>
      <c r="CM118" s="416"/>
      <c r="CN118" s="417"/>
      <c r="CO118" s="415">
        <f>IF($N$81="Combination",0,($AE$45*AQ58+20*(AQ58-1)+$N$85*2)*2*AQ54/$N$81)</f>
        <v>0</v>
      </c>
      <c r="CP118" s="416"/>
      <c r="CQ118" s="417"/>
      <c r="CR118" s="415">
        <f>IF($N$81="Combination",0,($AE$45*AT58+20*(AT58-1)+$N$85*2)*2*AT54/$N$81)</f>
        <v>0</v>
      </c>
      <c r="CS118" s="416"/>
      <c r="CT118" s="417"/>
      <c r="CU118" s="415">
        <f>IF($N$81="Combination",0,($AE$45*AW58+20*(AW58-1)+$N$85*2)*2*AW54/$N$81)</f>
        <v>0</v>
      </c>
      <c r="CV118" s="416"/>
      <c r="CW118" s="417"/>
      <c r="CX118" s="415">
        <f>IF($N$81="Combination",0,($AE$45*AZ58+20*(AZ58-1)+$N$85*2)*2*AZ54/$N$81)</f>
        <v>0</v>
      </c>
      <c r="CY118" s="416"/>
      <c r="CZ118" s="417"/>
      <c r="DA118" s="415">
        <f>IF($N$81="Combination",0,($AE$45*BC58+20*(BC58-1)+$N$85*2)*2*BC54/$N$81)</f>
        <v>0</v>
      </c>
      <c r="DB118" s="416"/>
      <c r="DC118" s="417"/>
      <c r="DD118" s="415">
        <f>IF($N$81="Combination",0,($AE$45*BF58+20*(BF58-1)+$N$85*2)*2*BF54/$N$81)</f>
        <v>0</v>
      </c>
      <c r="DE118" s="416"/>
      <c r="DF118" s="417"/>
      <c r="DY118" s="191"/>
      <c r="DZ118" s="191"/>
      <c r="EA118" s="191"/>
      <c r="EB118" s="191"/>
      <c r="EC118" s="191"/>
      <c r="ED118" s="191"/>
      <c r="EE118" s="191"/>
      <c r="EF118" s="191"/>
      <c r="EG118" s="191"/>
      <c r="EH118" s="191"/>
      <c r="EI118" s="191"/>
      <c r="EJ118" s="192"/>
      <c r="EK118" s="192"/>
      <c r="EL118" s="192"/>
      <c r="EM118" s="192"/>
      <c r="EN118" s="191"/>
      <c r="EO118" s="192"/>
      <c r="EP118" s="192"/>
      <c r="EQ118" s="192"/>
      <c r="ER118" s="192"/>
      <c r="ES118" s="192"/>
      <c r="ET118" s="192"/>
      <c r="EU118" s="192"/>
      <c r="EV118" s="192"/>
      <c r="EW118" s="192"/>
      <c r="EX118" s="192"/>
      <c r="EY118" s="192"/>
      <c r="EZ118" s="192"/>
      <c r="FA118" s="191"/>
      <c r="FB118" s="191"/>
      <c r="FC118" s="191"/>
      <c r="FD118" s="192"/>
      <c r="FE118" s="192"/>
      <c r="FF118" s="192"/>
      <c r="FG118" s="192"/>
      <c r="FH118" s="191"/>
      <c r="FI118" s="191"/>
      <c r="FJ118" s="191"/>
      <c r="FK118" s="191"/>
      <c r="FL118" s="191"/>
      <c r="FM118" s="191"/>
      <c r="FN118" s="191"/>
      <c r="FO118" s="191"/>
      <c r="FP118" s="191"/>
      <c r="FQ118" s="191"/>
      <c r="FR118" s="191"/>
    </row>
    <row r="119" spans="1:342" ht="7.4" customHeight="1" x14ac:dyDescent="0.5">
      <c r="A119" s="42"/>
      <c r="B119" s="42"/>
      <c r="C119" s="419">
        <v>1</v>
      </c>
      <c r="D119" s="419"/>
      <c r="E119" s="41"/>
      <c r="F119" s="42"/>
      <c r="G119" s="319" t="str">
        <f>IF(AL119=0,"N/A","AXE_L_R_40_30_AL")</f>
        <v>N/A</v>
      </c>
      <c r="H119" s="319"/>
      <c r="I119" s="319"/>
      <c r="J119" s="319"/>
      <c r="K119" s="319"/>
      <c r="L119" s="319"/>
      <c r="M119" s="319"/>
      <c r="N119" s="319"/>
      <c r="O119" s="319"/>
      <c r="P119" s="319"/>
      <c r="Q119" s="319"/>
      <c r="R119" s="320"/>
      <c r="S119" s="42"/>
      <c r="T119" s="405" t="str">
        <f>VLOOKUP(G119,PL!$B$9:$BH$1265,14,FALSE)</f>
        <v>No Item</v>
      </c>
      <c r="U119" s="405"/>
      <c r="V119" s="405"/>
      <c r="W119" s="405"/>
      <c r="X119" s="405"/>
      <c r="Y119" s="405"/>
      <c r="Z119" s="405"/>
      <c r="AA119" s="405"/>
      <c r="AB119" s="405"/>
      <c r="AC119" s="405"/>
      <c r="AD119" s="339" t="str">
        <f>IF(AL119=0,"","("&amp;IF(N81="Combination",DW111,N81)/1000&amp;"m)")</f>
        <v/>
      </c>
      <c r="AE119" s="339"/>
      <c r="AF119" s="339"/>
      <c r="AG119" s="339"/>
      <c r="AH119" s="339"/>
      <c r="AI119" s="339"/>
      <c r="AJ119" s="508"/>
      <c r="AK119" s="42"/>
      <c r="AL119" s="311">
        <f>IF(N81="Combination",ROUND(SUM(BK121:DF121)*(1+$BF$81),0),ROUNDUP(SUM(BK119:DF119)*(1+$BF$81),0))</f>
        <v>0</v>
      </c>
      <c r="AM119" s="311"/>
      <c r="AN119" s="311"/>
      <c r="AO119" s="311"/>
      <c r="AP119" s="43"/>
      <c r="AQ119" s="128"/>
      <c r="AR119" s="308" t="str">
        <f>VLOOKUP(G119,PL!$B$9:$BH$818,52,FALSE)</f>
        <v>-</v>
      </c>
      <c r="AS119" s="309"/>
      <c r="AT119" s="309"/>
      <c r="AU119" s="309"/>
      <c r="AV119" s="309"/>
      <c r="AW119" s="309"/>
      <c r="AX119" s="309"/>
      <c r="AY119" s="309"/>
      <c r="AZ119" s="309"/>
      <c r="BA119" s="309"/>
      <c r="BB119" s="309"/>
      <c r="BC119" s="309"/>
      <c r="BD119" s="309"/>
      <c r="BE119" s="309"/>
      <c r="BF119" s="309"/>
      <c r="BG119" s="309"/>
      <c r="BH119" s="124"/>
      <c r="BI119" s="124"/>
      <c r="BK119" s="415">
        <f>IF($N$81="Combination",0,($AE$45*M58+20*(M58-1)+$N$85*2+IF(OR(BK96&lt;$BW$81,BK98&lt;$BW$81),MIN(BK96,BK98),0))*2*M54/$N$81)</f>
        <v>0</v>
      </c>
      <c r="BL119" s="416"/>
      <c r="BM119" s="417"/>
      <c r="BN119" s="415">
        <f>IF($N$81="Combination",0,($AE$45*P58+20*(P58-1)+$N$85*2+IF(OR(BN96&lt;$BW$81,BN98&lt;$BW$81),MIN(BN96,BN98),0))*2*P54/$N$81)</f>
        <v>0</v>
      </c>
      <c r="BO119" s="416"/>
      <c r="BP119" s="417"/>
      <c r="BQ119" s="415">
        <f>IF($N$81="Combination",0,($AE$45*S58+20*(S58-1)+$N$85*2+IF(OR(BQ96&lt;$BW$81,BQ98&lt;$BW$81),MIN(BQ96,BQ98),0))*2*S54/$N$81)</f>
        <v>0</v>
      </c>
      <c r="BR119" s="416"/>
      <c r="BS119" s="417"/>
      <c r="BT119" s="415">
        <f>IF($N$81="Combination",0,($AE$45*V58+20*(V58-1)+$N$85*2+IF(OR(BT96&lt;$BW$81,BT98&lt;$BW$81),MIN(BT96,BT98),0))*2*V54/$N$81)</f>
        <v>0</v>
      </c>
      <c r="BU119" s="416"/>
      <c r="BV119" s="417"/>
      <c r="BW119" s="415">
        <f>IF($N$81="Combination",0,($AE$45*Y58+20*(Y58-1)+$N$85*2+IF(OR(BW96&lt;$BW$81,BW98&lt;$BW$81),MIN(BW96,BW98),0))*2*Y54/$N$81)</f>
        <v>0</v>
      </c>
      <c r="BX119" s="416"/>
      <c r="BY119" s="417"/>
      <c r="BZ119" s="415">
        <f>IF($N$81="Combination",0,($AE$45*AB58+20*(AB58-1)+$N$85*2+IF(OR(BZ96&lt;$BW$81,BZ98&lt;$BW$81),MIN(BZ96,BZ98),0))*2*AB54/$N$81)</f>
        <v>0</v>
      </c>
      <c r="CA119" s="416"/>
      <c r="CB119" s="417"/>
      <c r="CC119" s="415">
        <f>IF($N$81="Combination",0,($AE$45*AE58+20*(AE58-1)+$N$85*2+IF(OR(CC96&lt;$BW$81,CC98&lt;$BW$81),MIN(CC96,CC98),0))*2*AE54/$N$81)</f>
        <v>0</v>
      </c>
      <c r="CD119" s="416"/>
      <c r="CE119" s="417"/>
      <c r="CF119" s="415">
        <f>IF($N$81="Combination",0,($AE$45*AH58+20*(AH58-1)+$N$85*2+IF(OR(CF96&lt;$BW$81,CF98&lt;$BW$81),MIN(CF96,CF98),0))*2*AH54/$N$81)</f>
        <v>0</v>
      </c>
      <c r="CG119" s="416"/>
      <c r="CH119" s="417"/>
      <c r="CI119" s="415">
        <f>IF($N$81="Combination",0,($AE$45*AK58+20*(AK58-1)+$N$85*2+IF(OR(CI96&lt;$BW$81,CI98&lt;$BW$81),MIN(CI96,CI98),0))*2*AK54/$N$81)</f>
        <v>0</v>
      </c>
      <c r="CJ119" s="416"/>
      <c r="CK119" s="417"/>
      <c r="CL119" s="415">
        <f>IF($N$81="Combination",0,($AE$45*AN58+20*(AN58-1)+$N$85*2+IF(OR(CL96&lt;$BW$81,CL98&lt;$BW$81),MIN(CL96,CL98),0))*2*AN54/$N$81)</f>
        <v>0</v>
      </c>
      <c r="CM119" s="416"/>
      <c r="CN119" s="417"/>
      <c r="CO119" s="415">
        <f>IF($N$81="Combination",0,($AE$45*AQ58+20*(AQ58-1)+$N$85*2+IF(OR(CO96&lt;$BW$81,CO98&lt;$BW$81),MIN(CO96,CO98),0))*2*AQ54/$N$81)</f>
        <v>0</v>
      </c>
      <c r="CP119" s="416"/>
      <c r="CQ119" s="417"/>
      <c r="CR119" s="415">
        <f>IF($N$81="Combination",0,($AE$45*AT58+20*(AT58-1)+$N$85*2+IF(OR(CR96&lt;$BW$81,CR98&lt;$BW$81),MIN(CR96,CR98),0))*2*AT54/$N$81)</f>
        <v>0</v>
      </c>
      <c r="CS119" s="416"/>
      <c r="CT119" s="417"/>
      <c r="CU119" s="415">
        <f>IF($N$81="Combination",0,($AE$45*AW58+20*(AW58-1)+$N$85*2+IF(OR(CU96&lt;$BW$81,CU98&lt;$BW$81),MIN(CU96,CU98),0))*2*AW54/$N$81)</f>
        <v>0</v>
      </c>
      <c r="CV119" s="416"/>
      <c r="CW119" s="417"/>
      <c r="CX119" s="415">
        <f>IF($N$81="Combination",0,($AE$45*AZ58+20*(AZ58-1)+$N$85*2+IF(OR(CX96&lt;$BW$81,CX98&lt;$BW$81),MIN(CX96,CX98),0))*2*AZ54/$N$81)</f>
        <v>0</v>
      </c>
      <c r="CY119" s="416"/>
      <c r="CZ119" s="417"/>
      <c r="DA119" s="415">
        <f>IF($N$81="Combination",0,($AE$45*BC58+20*(BC58-1)+$N$85*2+IF(OR(DA96&lt;$BW$81,DA98&lt;$BW$81),MIN(DA96,DA98),0))*2*BC54/$N$81)</f>
        <v>0</v>
      </c>
      <c r="DB119" s="416"/>
      <c r="DC119" s="417"/>
      <c r="DD119" s="415">
        <f>IF($N$81="Combination",0,($AE$45*BF58+20*(BF58-1)+$N$85*2+IF(OR(DD96&lt;$BW$81,DD98&lt;$BW$81),MIN(DD96,DD98),0))*2*BF54/$N$81)</f>
        <v>0</v>
      </c>
      <c r="DE119" s="416"/>
      <c r="DF119" s="417"/>
      <c r="DH119" s="311"/>
      <c r="DI119" s="311"/>
      <c r="DJ119" s="311"/>
      <c r="DK119" s="311"/>
      <c r="DL119" s="321"/>
      <c r="DM119" s="321"/>
      <c r="DN119" s="321"/>
      <c r="DO119" s="321"/>
      <c r="DP119" s="321"/>
      <c r="DQ119" s="321"/>
      <c r="DR119" s="321"/>
      <c r="DS119" s="321"/>
    </row>
    <row r="120" spans="1:342" ht="7.4" customHeight="1" x14ac:dyDescent="0.5">
      <c r="A120" s="42"/>
      <c r="B120" s="42"/>
      <c r="C120" s="419"/>
      <c r="D120" s="419"/>
      <c r="E120" s="41"/>
      <c r="F120" s="42"/>
      <c r="G120" s="319"/>
      <c r="H120" s="319"/>
      <c r="I120" s="319"/>
      <c r="J120" s="319"/>
      <c r="K120" s="319"/>
      <c r="L120" s="319"/>
      <c r="M120" s="319"/>
      <c r="N120" s="319"/>
      <c r="O120" s="319"/>
      <c r="P120" s="319"/>
      <c r="Q120" s="319"/>
      <c r="R120" s="320"/>
      <c r="S120" s="42"/>
      <c r="T120" s="405"/>
      <c r="U120" s="405"/>
      <c r="V120" s="405"/>
      <c r="W120" s="405"/>
      <c r="X120" s="405"/>
      <c r="Y120" s="405"/>
      <c r="Z120" s="405"/>
      <c r="AA120" s="405"/>
      <c r="AB120" s="405"/>
      <c r="AC120" s="405"/>
      <c r="AD120" s="339"/>
      <c r="AE120" s="339"/>
      <c r="AF120" s="339"/>
      <c r="AG120" s="339"/>
      <c r="AH120" s="339"/>
      <c r="AI120" s="339"/>
      <c r="AJ120" s="508"/>
      <c r="AK120" s="42"/>
      <c r="AL120" s="311"/>
      <c r="AM120" s="311"/>
      <c r="AN120" s="311"/>
      <c r="AO120" s="311"/>
      <c r="AP120" s="43"/>
      <c r="AQ120" s="128"/>
      <c r="AR120" s="309"/>
      <c r="AS120" s="309"/>
      <c r="AT120" s="309"/>
      <c r="AU120" s="309"/>
      <c r="AV120" s="309"/>
      <c r="AW120" s="309"/>
      <c r="AX120" s="309"/>
      <c r="AY120" s="309"/>
      <c r="AZ120" s="309"/>
      <c r="BA120" s="309"/>
      <c r="BB120" s="309"/>
      <c r="BC120" s="309"/>
      <c r="BD120" s="309"/>
      <c r="BE120" s="309"/>
      <c r="BF120" s="309"/>
      <c r="BG120" s="309"/>
      <c r="BH120" s="124"/>
      <c r="BI120" s="124"/>
      <c r="BK120" s="415"/>
      <c r="BL120" s="416"/>
      <c r="BM120" s="417"/>
      <c r="BN120" s="415"/>
      <c r="BO120" s="416"/>
      <c r="BP120" s="417"/>
      <c r="BQ120" s="415"/>
      <c r="BR120" s="416"/>
      <c r="BS120" s="417"/>
      <c r="BT120" s="415"/>
      <c r="BU120" s="416"/>
      <c r="BV120" s="417"/>
      <c r="BW120" s="415"/>
      <c r="BX120" s="416"/>
      <c r="BY120" s="417"/>
      <c r="BZ120" s="415"/>
      <c r="CA120" s="416"/>
      <c r="CB120" s="417"/>
      <c r="CC120" s="415"/>
      <c r="CD120" s="416"/>
      <c r="CE120" s="417"/>
      <c r="CF120" s="415"/>
      <c r="CG120" s="416"/>
      <c r="CH120" s="417"/>
      <c r="CI120" s="415"/>
      <c r="CJ120" s="416"/>
      <c r="CK120" s="417"/>
      <c r="CL120" s="415"/>
      <c r="CM120" s="416"/>
      <c r="CN120" s="417"/>
      <c r="CO120" s="415"/>
      <c r="CP120" s="416"/>
      <c r="CQ120" s="417"/>
      <c r="CR120" s="415"/>
      <c r="CS120" s="416"/>
      <c r="CT120" s="417"/>
      <c r="CU120" s="415"/>
      <c r="CV120" s="416"/>
      <c r="CW120" s="417"/>
      <c r="CX120" s="415"/>
      <c r="CY120" s="416"/>
      <c r="CZ120" s="417"/>
      <c r="DA120" s="415"/>
      <c r="DB120" s="416"/>
      <c r="DC120" s="417"/>
      <c r="DD120" s="415"/>
      <c r="DE120" s="416"/>
      <c r="DF120" s="417"/>
      <c r="DH120" s="311"/>
      <c r="DI120" s="311"/>
      <c r="DJ120" s="311"/>
      <c r="DK120" s="311"/>
      <c r="DL120" s="321"/>
      <c r="DM120" s="321"/>
      <c r="DN120" s="321"/>
      <c r="DO120" s="321"/>
      <c r="DP120" s="321"/>
      <c r="DQ120" s="321"/>
      <c r="DR120" s="321"/>
      <c r="DS120" s="321"/>
    </row>
    <row r="121" spans="1:342" ht="7.4" customHeight="1" x14ac:dyDescent="0.5">
      <c r="A121" s="42"/>
      <c r="B121" s="42"/>
      <c r="C121" s="333"/>
      <c r="D121" s="333"/>
      <c r="E121" s="41"/>
      <c r="F121" s="42"/>
      <c r="G121" s="56"/>
      <c r="H121" s="56"/>
      <c r="I121" s="56"/>
      <c r="J121" s="56"/>
      <c r="K121" s="56"/>
      <c r="L121" s="56"/>
      <c r="M121" s="56"/>
      <c r="N121" s="56"/>
      <c r="O121" s="56"/>
      <c r="P121" s="56"/>
      <c r="Q121" s="56"/>
      <c r="R121" s="126"/>
      <c r="S121" s="42"/>
      <c r="T121" s="116" t="str">
        <f>VLOOKUP(G119,PL!$B$9:$BH$1265,33,FALSE)</f>
        <v>.</v>
      </c>
      <c r="AJ121" s="41"/>
      <c r="AK121" s="42"/>
      <c r="AL121" s="311"/>
      <c r="AM121" s="311"/>
      <c r="AN121" s="311"/>
      <c r="AO121" s="311"/>
      <c r="AP121" s="43"/>
      <c r="AQ121" s="42"/>
      <c r="AR121" s="131"/>
      <c r="AS121" s="131"/>
      <c r="AT121" s="131"/>
      <c r="AU121" s="131"/>
      <c r="AV121" s="131"/>
      <c r="AW121" s="131"/>
      <c r="AX121" s="105"/>
      <c r="AZ121" s="131"/>
      <c r="BA121" s="131"/>
      <c r="BB121" s="131"/>
      <c r="BC121" s="131"/>
      <c r="BD121" s="131"/>
      <c r="BE121" s="131"/>
      <c r="BF121" s="131"/>
      <c r="BG121" s="131"/>
      <c r="BH121" s="124"/>
      <c r="BI121" s="124"/>
      <c r="BK121" s="415">
        <f>IF(M54&gt;0,HLOOKUP(BK88,$DY$110:$ME$112,2)*M54*2,0)</f>
        <v>0</v>
      </c>
      <c r="BL121" s="416"/>
      <c r="BM121" s="417"/>
      <c r="BN121" s="415">
        <f>IF(P54&gt;0,HLOOKUP(BN88,$DY$110:$ME$112,2)*P54*2,0)</f>
        <v>0</v>
      </c>
      <c r="BO121" s="416"/>
      <c r="BP121" s="417"/>
      <c r="BQ121" s="415">
        <f>IF(S54&gt;0,HLOOKUP(BQ88,$DY$110:$ME$112,2)*S54*2,0)</f>
        <v>0</v>
      </c>
      <c r="BR121" s="416"/>
      <c r="BS121" s="417"/>
      <c r="BT121" s="415">
        <f>IF(V54&gt;0,HLOOKUP(BT88,$DY$110:$ME$112,2)*V54*2,0)</f>
        <v>0</v>
      </c>
      <c r="BU121" s="416"/>
      <c r="BV121" s="417"/>
      <c r="BW121" s="415">
        <f>IF(Y54&gt;0,HLOOKUP(BW88,$DY$110:$ME$112,2)*Y54*2,0)</f>
        <v>0</v>
      </c>
      <c r="BX121" s="416"/>
      <c r="BY121" s="417"/>
      <c r="BZ121" s="415">
        <f>IF(AB54&gt;0,HLOOKUP(BZ88,$DY$110:$ME$112,2)*AB54*2,0)</f>
        <v>0</v>
      </c>
      <c r="CA121" s="416"/>
      <c r="CB121" s="417"/>
      <c r="CC121" s="415">
        <f>IF(AE54&gt;0,HLOOKUP(CC88,$DY$110:$ME$112,2)*AE54*2,0)</f>
        <v>0</v>
      </c>
      <c r="CD121" s="416"/>
      <c r="CE121" s="417"/>
      <c r="CF121" s="415">
        <f>IF(AH54&gt;0,HLOOKUP(CF88,$DY$110:$ME$112,2)*AH54*2,0)</f>
        <v>0</v>
      </c>
      <c r="CG121" s="416"/>
      <c r="CH121" s="417"/>
      <c r="CI121" s="415">
        <f>IF(AK54&gt;0,HLOOKUP(CI88,$DY$110:$ME$112,2)*AK54*2,0)</f>
        <v>0</v>
      </c>
      <c r="CJ121" s="416"/>
      <c r="CK121" s="417"/>
      <c r="CL121" s="415">
        <f>IF(AN54&gt;0,HLOOKUP(CL88,$DY$110:$ME$112,2)*AN54*2,0)</f>
        <v>0</v>
      </c>
      <c r="CM121" s="416"/>
      <c r="CN121" s="417"/>
      <c r="CO121" s="415">
        <f>IF(AQ54&gt;0,HLOOKUP(CO88,$DY$110:$ME$112,2)*AQ54*2,0)</f>
        <v>0</v>
      </c>
      <c r="CP121" s="416"/>
      <c r="CQ121" s="417"/>
      <c r="CR121" s="415">
        <f>IF(AT54&gt;0,HLOOKUP(CR88,$DY$110:$ME$112,2)*AT54*2,0)</f>
        <v>0</v>
      </c>
      <c r="CS121" s="416"/>
      <c r="CT121" s="417"/>
      <c r="CU121" s="415">
        <f>IF(AW54&gt;0,HLOOKUP(CU88,$DY$110:$ME$112,2)*AW54*2,0)</f>
        <v>0</v>
      </c>
      <c r="CV121" s="416"/>
      <c r="CW121" s="417"/>
      <c r="CX121" s="415">
        <f>IF(AZ54&gt;0,HLOOKUP(CX88,$DY$110:$ME$112,2)*AZ54*2,0)</f>
        <v>0</v>
      </c>
      <c r="CY121" s="416"/>
      <c r="CZ121" s="417"/>
      <c r="DA121" s="415">
        <f>IF(BC54&gt;0,HLOOKUP(DA88,$DY$110:$ME$112,2)*BC54*2,0)</f>
        <v>0</v>
      </c>
      <c r="DB121" s="416"/>
      <c r="DC121" s="417"/>
      <c r="DD121" s="415">
        <f>IF(BF54&gt;0,HLOOKUP(DD88,$DY$110:$ME$112,2)*BF54*2,0)</f>
        <v>0</v>
      </c>
      <c r="DE121" s="416"/>
      <c r="DF121" s="417"/>
      <c r="DH121" s="311"/>
      <c r="DI121" s="311"/>
      <c r="DJ121" s="311"/>
      <c r="DK121" s="311"/>
      <c r="DL121" s="321"/>
      <c r="DM121" s="321"/>
      <c r="DN121" s="321"/>
      <c r="DO121" s="321"/>
      <c r="DP121" s="321"/>
      <c r="DQ121" s="321"/>
      <c r="DR121" s="321"/>
      <c r="DS121" s="321"/>
    </row>
    <row r="122" spans="1:342" ht="7.4" customHeight="1" x14ac:dyDescent="0.5">
      <c r="A122" s="42"/>
      <c r="B122" s="42"/>
      <c r="C122" s="55"/>
      <c r="D122" s="55"/>
      <c r="E122" s="41"/>
      <c r="F122" s="42"/>
      <c r="G122" s="56"/>
      <c r="H122" s="56"/>
      <c r="I122" s="56"/>
      <c r="J122" s="56"/>
      <c r="K122" s="56"/>
      <c r="L122" s="56"/>
      <c r="M122" s="56"/>
      <c r="N122" s="56"/>
      <c r="O122" s="56"/>
      <c r="P122" s="56"/>
      <c r="Q122" s="56"/>
      <c r="R122" s="126"/>
      <c r="S122" s="42"/>
      <c r="AJ122" s="41"/>
      <c r="AK122" s="42"/>
      <c r="AL122" s="311"/>
      <c r="AM122" s="311"/>
      <c r="AN122" s="311"/>
      <c r="AO122" s="311"/>
      <c r="AP122" s="43"/>
      <c r="AQ122" s="42"/>
      <c r="AR122" s="131"/>
      <c r="AS122" s="131"/>
      <c r="AT122" s="131"/>
      <c r="AU122" s="131"/>
      <c r="AV122" s="131"/>
      <c r="AW122" s="131"/>
      <c r="AX122" s="105"/>
      <c r="AZ122" s="131"/>
      <c r="BA122" s="131"/>
      <c r="BB122" s="131"/>
      <c r="BC122" s="131"/>
      <c r="BD122" s="131"/>
      <c r="BE122" s="131"/>
      <c r="BF122" s="131"/>
      <c r="BG122" s="131"/>
      <c r="BH122" s="124"/>
      <c r="BI122" s="124"/>
      <c r="BK122" s="415"/>
      <c r="BL122" s="416"/>
      <c r="BM122" s="417"/>
      <c r="BN122" s="415"/>
      <c r="BO122" s="416"/>
      <c r="BP122" s="417"/>
      <c r="BQ122" s="415"/>
      <c r="BR122" s="416"/>
      <c r="BS122" s="417"/>
      <c r="BT122" s="415"/>
      <c r="BU122" s="416"/>
      <c r="BV122" s="417"/>
      <c r="BW122" s="415"/>
      <c r="BX122" s="416"/>
      <c r="BY122" s="417"/>
      <c r="BZ122" s="415"/>
      <c r="CA122" s="416"/>
      <c r="CB122" s="417"/>
      <c r="CC122" s="415"/>
      <c r="CD122" s="416"/>
      <c r="CE122" s="417"/>
      <c r="CF122" s="415"/>
      <c r="CG122" s="416"/>
      <c r="CH122" s="417"/>
      <c r="CI122" s="415"/>
      <c r="CJ122" s="416"/>
      <c r="CK122" s="417"/>
      <c r="CL122" s="415"/>
      <c r="CM122" s="416"/>
      <c r="CN122" s="417"/>
      <c r="CO122" s="415"/>
      <c r="CP122" s="416"/>
      <c r="CQ122" s="417"/>
      <c r="CR122" s="415"/>
      <c r="CS122" s="416"/>
      <c r="CT122" s="417"/>
      <c r="CU122" s="415"/>
      <c r="CV122" s="416"/>
      <c r="CW122" s="417"/>
      <c r="CX122" s="415"/>
      <c r="CY122" s="416"/>
      <c r="CZ122" s="417"/>
      <c r="DA122" s="415"/>
      <c r="DB122" s="416"/>
      <c r="DC122" s="417"/>
      <c r="DD122" s="415"/>
      <c r="DE122" s="416"/>
      <c r="DF122" s="417"/>
      <c r="DL122" s="105"/>
      <c r="DM122" s="105"/>
      <c r="DN122" s="105"/>
      <c r="DO122" s="105"/>
      <c r="DP122" s="105"/>
      <c r="DQ122" s="105"/>
      <c r="DR122" s="105"/>
      <c r="DS122" s="105"/>
    </row>
    <row r="123" spans="1:342" ht="7.4" customHeight="1" x14ac:dyDescent="0.5">
      <c r="A123" s="42"/>
      <c r="B123" s="42"/>
      <c r="C123" s="311">
        <f>C119+1</f>
        <v>2</v>
      </c>
      <c r="D123" s="311"/>
      <c r="E123" s="41"/>
      <c r="F123" s="42"/>
      <c r="G123" s="319" t="str">
        <f>IF(AL123=0,"N/A","AXE_L_R_40_30_AL")</f>
        <v>AXE_L_R_40_30_AL</v>
      </c>
      <c r="H123" s="319"/>
      <c r="I123" s="319"/>
      <c r="J123" s="319"/>
      <c r="K123" s="319"/>
      <c r="L123" s="319"/>
      <c r="M123" s="319"/>
      <c r="N123" s="319"/>
      <c r="O123" s="319"/>
      <c r="P123" s="319"/>
      <c r="Q123" s="319"/>
      <c r="R123" s="320"/>
      <c r="S123" s="42"/>
      <c r="T123" s="405" t="str">
        <f>VLOOKUP(G123,PL!$B$9:$BH$1265,14,FALSE)</f>
        <v xml:space="preserve">Rail Profile </v>
      </c>
      <c r="U123" s="405"/>
      <c r="V123" s="405"/>
      <c r="W123" s="405"/>
      <c r="X123" s="405"/>
      <c r="Y123" s="405"/>
      <c r="Z123" s="405"/>
      <c r="AA123" s="405"/>
      <c r="AB123" s="405"/>
      <c r="AC123" s="405"/>
      <c r="AE123" s="130"/>
      <c r="AF123" s="339" t="str">
        <f>IF(AL123=0,"","("&amp;IF(N81="Combination",DW112/1000,0)&amp;"m)")</f>
        <v>(5.85m)</v>
      </c>
      <c r="AG123" s="507"/>
      <c r="AH123" s="507"/>
      <c r="AI123" s="507"/>
      <c r="AJ123" s="221"/>
      <c r="AK123" s="42"/>
      <c r="AL123" s="311">
        <f>IF(N81="Combination",ROUND(SUM(BK123:DF123)*(1+$BF$81),0),0)</f>
        <v>102</v>
      </c>
      <c r="AM123" s="311"/>
      <c r="AN123" s="311"/>
      <c r="AO123" s="311"/>
      <c r="AP123" s="43"/>
      <c r="AQ123" s="128"/>
      <c r="AR123" s="308" t="str">
        <f>VLOOKUP(G123,PL!$B$9:$BH$818,52,FALSE)</f>
        <v>SOL-580404</v>
      </c>
      <c r="AS123" s="309"/>
      <c r="AT123" s="309"/>
      <c r="AU123" s="309"/>
      <c r="AV123" s="309"/>
      <c r="AW123" s="309"/>
      <c r="AX123" s="309"/>
      <c r="AY123" s="309"/>
      <c r="AZ123" s="309"/>
      <c r="BA123" s="309"/>
      <c r="BB123" s="309"/>
      <c r="BC123" s="309"/>
      <c r="BD123" s="309"/>
      <c r="BE123" s="309"/>
      <c r="BF123" s="309"/>
      <c r="BG123" s="309"/>
      <c r="BH123" s="124"/>
      <c r="BI123" s="124"/>
      <c r="BK123" s="415">
        <f>IF(M54&gt;0,HLOOKUP(BK88,$DY$110:$ME$112,3)*M54*2,0)</f>
        <v>100</v>
      </c>
      <c r="BL123" s="416"/>
      <c r="BM123" s="417"/>
      <c r="BN123" s="415">
        <f>IF(P54&gt;0,HLOOKUP(BN88,$DY$110:$ME$112,3)*P54*2,0)</f>
        <v>0</v>
      </c>
      <c r="BO123" s="416"/>
      <c r="BP123" s="417"/>
      <c r="BQ123" s="415">
        <f>IF(S54&gt;0,HLOOKUP(BQ88,$DY$110:$ME$112,3)*S54*2,0)</f>
        <v>0</v>
      </c>
      <c r="BR123" s="416"/>
      <c r="BS123" s="417"/>
      <c r="BT123" s="415">
        <f>IF(V54&gt;0,HLOOKUP(BT88,$DY$110:$ME$112,3)*V54*2,0)</f>
        <v>0</v>
      </c>
      <c r="BU123" s="416"/>
      <c r="BV123" s="417"/>
      <c r="BW123" s="415">
        <f>IF(Y54&gt;0,HLOOKUP(BW88,$DY$110:$ME$112,3)*Y54*2,0)</f>
        <v>0</v>
      </c>
      <c r="BX123" s="416"/>
      <c r="BY123" s="417"/>
      <c r="BZ123" s="415">
        <f>IF(AB54&gt;0,HLOOKUP(BZ88,$DY$110:$ME$112,3)*AB54*2,0)</f>
        <v>0</v>
      </c>
      <c r="CA123" s="416"/>
      <c r="CB123" s="417"/>
      <c r="CC123" s="415">
        <f>IF(AE54&gt;0,HLOOKUP(CC88,$DY$110:$ME$112,3)*AE54*2,0)</f>
        <v>0</v>
      </c>
      <c r="CD123" s="416"/>
      <c r="CE123" s="417"/>
      <c r="CF123" s="415">
        <f>IF(AH54&gt;0,HLOOKUP(CF88,$DY$110:$ME$112,3)*AH54*2,0)</f>
        <v>0</v>
      </c>
      <c r="CG123" s="416"/>
      <c r="CH123" s="417"/>
      <c r="CI123" s="415">
        <f>IF(AK54&gt;0,HLOOKUP(CI88,$DY$110:$ME$112,3)*AK54*2,0)</f>
        <v>0</v>
      </c>
      <c r="CJ123" s="416"/>
      <c r="CK123" s="417"/>
      <c r="CL123" s="415">
        <f>IF(AN54&gt;0,HLOOKUP(CL88,$DY$110:$ME$112,3)*AN54*2,0)</f>
        <v>0</v>
      </c>
      <c r="CM123" s="416"/>
      <c r="CN123" s="417"/>
      <c r="CO123" s="415">
        <f>IF(AQ54&gt;0,HLOOKUP(CO88,$DY$110:$ME$112,3)*AQ54*2,0)</f>
        <v>0</v>
      </c>
      <c r="CP123" s="416"/>
      <c r="CQ123" s="417"/>
      <c r="CR123" s="415">
        <f>IF(AT54&gt;0,HLOOKUP(CR88,$DY$110:$ME$112,3)*AT54*2,0)</f>
        <v>0</v>
      </c>
      <c r="CS123" s="416"/>
      <c r="CT123" s="417"/>
      <c r="CU123" s="415">
        <f>IF(AW54&gt;0,HLOOKUP(CU88,$DY$110:$ME$112,3)*AW54*2,0)</f>
        <v>0</v>
      </c>
      <c r="CV123" s="416"/>
      <c r="CW123" s="417"/>
      <c r="CX123" s="415">
        <f>IF(AZ54&gt;0,HLOOKUP(CX88,$DY$110:$ME$112,3)*AZ54*2,0)</f>
        <v>0</v>
      </c>
      <c r="CY123" s="416"/>
      <c r="CZ123" s="417"/>
      <c r="DA123" s="415">
        <f>IF(BC54&gt;0,HLOOKUP(DA88,$DY$110:$ME$112,3)*BC54*2,0)</f>
        <v>0</v>
      </c>
      <c r="DB123" s="416"/>
      <c r="DC123" s="417"/>
      <c r="DD123" s="415">
        <f>IF(BF54&gt;0,HLOOKUP(DD88,$DY$110:$ME$112,3)*BF54*2,0)</f>
        <v>0</v>
      </c>
      <c r="DE123" s="416"/>
      <c r="DF123" s="417"/>
      <c r="DH123" s="311"/>
      <c r="DI123" s="311"/>
      <c r="DJ123" s="311"/>
      <c r="DK123" s="311"/>
      <c r="DL123" s="321"/>
      <c r="DM123" s="321"/>
      <c r="DN123" s="321"/>
      <c r="DO123" s="321"/>
      <c r="DP123" s="321"/>
      <c r="DQ123" s="321"/>
      <c r="DR123" s="321"/>
      <c r="DS123" s="321"/>
    </row>
    <row r="124" spans="1:342" ht="7.4" customHeight="1" x14ac:dyDescent="0.5">
      <c r="A124" s="42"/>
      <c r="B124" s="42"/>
      <c r="C124" s="311"/>
      <c r="D124" s="311"/>
      <c r="E124" s="41"/>
      <c r="F124" s="42"/>
      <c r="G124" s="319"/>
      <c r="H124" s="319"/>
      <c r="I124" s="319"/>
      <c r="J124" s="319"/>
      <c r="K124" s="319"/>
      <c r="L124" s="319"/>
      <c r="M124" s="319"/>
      <c r="N124" s="319"/>
      <c r="O124" s="319"/>
      <c r="P124" s="319"/>
      <c r="Q124" s="319"/>
      <c r="R124" s="320"/>
      <c r="S124" s="42"/>
      <c r="T124" s="405"/>
      <c r="U124" s="405"/>
      <c r="V124" s="405"/>
      <c r="W124" s="405"/>
      <c r="X124" s="405"/>
      <c r="Y124" s="405"/>
      <c r="Z124" s="405"/>
      <c r="AA124" s="405"/>
      <c r="AB124" s="405"/>
      <c r="AC124" s="405"/>
      <c r="AD124" s="130"/>
      <c r="AE124" s="130"/>
      <c r="AF124" s="507"/>
      <c r="AG124" s="507"/>
      <c r="AH124" s="507"/>
      <c r="AI124" s="507"/>
      <c r="AJ124" s="221"/>
      <c r="AK124" s="42"/>
      <c r="AL124" s="311"/>
      <c r="AM124" s="311"/>
      <c r="AN124" s="311"/>
      <c r="AO124" s="311"/>
      <c r="AP124" s="43"/>
      <c r="AQ124" s="128"/>
      <c r="AR124" s="309"/>
      <c r="AS124" s="309"/>
      <c r="AT124" s="309"/>
      <c r="AU124" s="309"/>
      <c r="AV124" s="309"/>
      <c r="AW124" s="309"/>
      <c r="AX124" s="309"/>
      <c r="AY124" s="309"/>
      <c r="AZ124" s="309"/>
      <c r="BA124" s="309"/>
      <c r="BB124" s="309"/>
      <c r="BC124" s="309"/>
      <c r="BD124" s="309"/>
      <c r="BE124" s="309"/>
      <c r="BF124" s="309"/>
      <c r="BG124" s="309"/>
      <c r="BH124" s="124"/>
      <c r="BI124" s="124"/>
      <c r="BK124" s="415"/>
      <c r="BL124" s="416"/>
      <c r="BM124" s="417"/>
      <c r="BN124" s="415"/>
      <c r="BO124" s="416"/>
      <c r="BP124" s="417"/>
      <c r="BQ124" s="415"/>
      <c r="BR124" s="416"/>
      <c r="BS124" s="417"/>
      <c r="BT124" s="415"/>
      <c r="BU124" s="416"/>
      <c r="BV124" s="417"/>
      <c r="BW124" s="415"/>
      <c r="BX124" s="416"/>
      <c r="BY124" s="417"/>
      <c r="BZ124" s="415"/>
      <c r="CA124" s="416"/>
      <c r="CB124" s="417"/>
      <c r="CC124" s="415"/>
      <c r="CD124" s="416"/>
      <c r="CE124" s="417"/>
      <c r="CF124" s="415"/>
      <c r="CG124" s="416"/>
      <c r="CH124" s="417"/>
      <c r="CI124" s="415"/>
      <c r="CJ124" s="416"/>
      <c r="CK124" s="417"/>
      <c r="CL124" s="415"/>
      <c r="CM124" s="416"/>
      <c r="CN124" s="417"/>
      <c r="CO124" s="415"/>
      <c r="CP124" s="416"/>
      <c r="CQ124" s="417"/>
      <c r="CR124" s="415"/>
      <c r="CS124" s="416"/>
      <c r="CT124" s="417"/>
      <c r="CU124" s="415"/>
      <c r="CV124" s="416"/>
      <c r="CW124" s="417"/>
      <c r="CX124" s="415"/>
      <c r="CY124" s="416"/>
      <c r="CZ124" s="417"/>
      <c r="DA124" s="415"/>
      <c r="DB124" s="416"/>
      <c r="DC124" s="417"/>
      <c r="DD124" s="415"/>
      <c r="DE124" s="416"/>
      <c r="DF124" s="417"/>
      <c r="DH124" s="311"/>
      <c r="DI124" s="311"/>
      <c r="DJ124" s="311"/>
      <c r="DK124" s="311"/>
      <c r="DL124" s="321"/>
      <c r="DM124" s="321"/>
      <c r="DN124" s="321"/>
      <c r="DO124" s="321"/>
      <c r="DP124" s="321"/>
      <c r="DQ124" s="321"/>
      <c r="DR124" s="321"/>
      <c r="DS124" s="321"/>
    </row>
    <row r="125" spans="1:342" ht="7.4" customHeight="1" x14ac:dyDescent="0.5">
      <c r="A125" s="42"/>
      <c r="B125" s="42"/>
      <c r="C125" s="333"/>
      <c r="D125" s="333"/>
      <c r="E125" s="41"/>
      <c r="F125" s="42"/>
      <c r="G125" s="56"/>
      <c r="H125" s="56"/>
      <c r="I125" s="56"/>
      <c r="J125" s="56"/>
      <c r="K125" s="56"/>
      <c r="L125" s="56"/>
      <c r="M125" s="56"/>
      <c r="N125" s="56"/>
      <c r="O125" s="56"/>
      <c r="P125" s="56"/>
      <c r="Q125" s="56"/>
      <c r="R125" s="126"/>
      <c r="S125" s="42"/>
      <c r="T125" s="116" t="str">
        <f>VLOOKUP(G123,PL!$B$9:$BH$1265,33,FALSE)</f>
        <v xml:space="preserve"> Aluminium, 40x30</v>
      </c>
      <c r="AJ125" s="41"/>
      <c r="AK125" s="42"/>
      <c r="AL125" s="311"/>
      <c r="AM125" s="311"/>
      <c r="AN125" s="311"/>
      <c r="AO125" s="311"/>
      <c r="AP125" s="43"/>
      <c r="AQ125" s="42"/>
      <c r="AR125" s="131"/>
      <c r="AS125" s="131"/>
      <c r="AT125" s="131"/>
      <c r="AU125" s="131"/>
      <c r="AV125" s="131"/>
      <c r="AW125" s="131"/>
      <c r="AX125" s="105"/>
      <c r="AZ125" s="131"/>
      <c r="BA125" s="131"/>
      <c r="BB125" s="131"/>
      <c r="BC125" s="131"/>
      <c r="BD125" s="131"/>
      <c r="BE125" s="131"/>
      <c r="BF125" s="131"/>
      <c r="BG125" s="131"/>
      <c r="BH125" s="124"/>
      <c r="BI125" s="124"/>
      <c r="BK125" s="194"/>
      <c r="BL125" s="123"/>
      <c r="BM125" s="195"/>
      <c r="BN125" s="196"/>
      <c r="BO125" s="153"/>
      <c r="BP125" s="197"/>
      <c r="BQ125" s="196"/>
      <c r="BR125" s="153"/>
      <c r="BS125" s="197"/>
      <c r="BT125" s="196"/>
      <c r="BU125" s="153"/>
      <c r="BV125" s="197"/>
      <c r="BW125" s="196"/>
      <c r="BX125" s="153"/>
      <c r="BY125" s="197"/>
      <c r="BZ125" s="196"/>
      <c r="CA125" s="153"/>
      <c r="CB125" s="197"/>
      <c r="CC125" s="196"/>
      <c r="CD125" s="153"/>
      <c r="CE125" s="197"/>
      <c r="CF125" s="196"/>
      <c r="CG125" s="153"/>
      <c r="CH125" s="197"/>
      <c r="CI125" s="196"/>
      <c r="CJ125" s="153"/>
      <c r="CK125" s="197"/>
      <c r="CL125" s="196"/>
      <c r="CM125" s="153"/>
      <c r="CN125" s="197"/>
      <c r="CO125" s="196"/>
      <c r="CP125" s="153"/>
      <c r="CQ125" s="197"/>
      <c r="CR125" s="196"/>
      <c r="CS125" s="153"/>
      <c r="CT125" s="197"/>
      <c r="CU125" s="196"/>
      <c r="CV125" s="153"/>
      <c r="CW125" s="197"/>
      <c r="CX125" s="196"/>
      <c r="CY125" s="153"/>
      <c r="CZ125" s="197"/>
      <c r="DA125" s="196"/>
      <c r="DB125" s="153"/>
      <c r="DC125" s="197"/>
      <c r="DD125" s="196"/>
      <c r="DE125" s="153"/>
      <c r="DF125" s="197"/>
      <c r="DH125" s="311"/>
      <c r="DI125" s="311"/>
      <c r="DJ125" s="311"/>
      <c r="DK125" s="311"/>
      <c r="DL125" s="321"/>
      <c r="DM125" s="321"/>
      <c r="DN125" s="321"/>
      <c r="DO125" s="321"/>
      <c r="DP125" s="321"/>
      <c r="DQ125" s="321"/>
      <c r="DR125" s="321"/>
      <c r="DS125" s="321"/>
    </row>
    <row r="126" spans="1:342" ht="7.4" customHeight="1" x14ac:dyDescent="0.5">
      <c r="A126" s="42"/>
      <c r="B126" s="42"/>
      <c r="C126" s="55"/>
      <c r="D126" s="55"/>
      <c r="E126" s="41"/>
      <c r="F126" s="42"/>
      <c r="G126" s="56"/>
      <c r="H126" s="56"/>
      <c r="I126" s="56"/>
      <c r="J126" s="56"/>
      <c r="K126" s="56"/>
      <c r="L126" s="56"/>
      <c r="M126" s="56"/>
      <c r="N126" s="56"/>
      <c r="O126" s="56"/>
      <c r="P126" s="56"/>
      <c r="Q126" s="56"/>
      <c r="R126" s="126"/>
      <c r="S126" s="42"/>
      <c r="AJ126" s="41"/>
      <c r="AK126" s="42"/>
      <c r="AL126" s="311"/>
      <c r="AM126" s="311"/>
      <c r="AN126" s="311"/>
      <c r="AO126" s="311"/>
      <c r="AP126" s="43"/>
      <c r="AQ126" s="42"/>
      <c r="AR126" s="131"/>
      <c r="AS126" s="131"/>
      <c r="AT126" s="131"/>
      <c r="AU126" s="131"/>
      <c r="AV126" s="131"/>
      <c r="AW126" s="131"/>
      <c r="AX126" s="105"/>
      <c r="AZ126" s="131"/>
      <c r="BA126" s="131"/>
      <c r="BB126" s="131"/>
      <c r="BC126" s="131"/>
      <c r="BD126" s="131"/>
      <c r="BE126" s="131"/>
      <c r="BF126" s="131"/>
      <c r="BG126" s="131"/>
      <c r="BH126" s="124"/>
      <c r="BI126" s="41"/>
      <c r="BK126" s="194"/>
      <c r="BL126" s="123"/>
      <c r="BM126" s="195"/>
      <c r="BN126" s="196"/>
      <c r="BO126" s="153"/>
      <c r="BP126" s="197"/>
      <c r="BQ126" s="196"/>
      <c r="BR126" s="153"/>
      <c r="BS126" s="197"/>
      <c r="BT126" s="196"/>
      <c r="BU126" s="153"/>
      <c r="BV126" s="197"/>
      <c r="BW126" s="196"/>
      <c r="BX126" s="153"/>
      <c r="BY126" s="197"/>
      <c r="BZ126" s="196"/>
      <c r="CA126" s="153"/>
      <c r="CB126" s="197"/>
      <c r="CC126" s="196"/>
      <c r="CD126" s="153"/>
      <c r="CE126" s="197"/>
      <c r="CF126" s="196"/>
      <c r="CG126" s="153"/>
      <c r="CH126" s="197"/>
      <c r="CI126" s="196"/>
      <c r="CJ126" s="153"/>
      <c r="CK126" s="197"/>
      <c r="CL126" s="196"/>
      <c r="CM126" s="153"/>
      <c r="CN126" s="197"/>
      <c r="CO126" s="196"/>
      <c r="CP126" s="153"/>
      <c r="CQ126" s="197"/>
      <c r="CR126" s="196"/>
      <c r="CS126" s="153"/>
      <c r="CT126" s="197"/>
      <c r="CU126" s="196"/>
      <c r="CV126" s="153"/>
      <c r="CW126" s="197"/>
      <c r="CX126" s="196"/>
      <c r="CY126" s="153"/>
      <c r="CZ126" s="197"/>
      <c r="DA126" s="196"/>
      <c r="DB126" s="153"/>
      <c r="DC126" s="197"/>
      <c r="DD126" s="196"/>
      <c r="DE126" s="153"/>
      <c r="DF126" s="197"/>
      <c r="DL126" s="105"/>
      <c r="DM126" s="105"/>
      <c r="DN126" s="105"/>
      <c r="DO126" s="105"/>
      <c r="DP126" s="105"/>
      <c r="DQ126" s="105"/>
      <c r="DR126" s="105"/>
      <c r="DS126" s="105"/>
    </row>
    <row r="127" spans="1:342" ht="7.4" customHeight="1" x14ac:dyDescent="0.5">
      <c r="A127" s="42"/>
      <c r="B127" s="42"/>
      <c r="C127" s="311">
        <f>C123+1</f>
        <v>3</v>
      </c>
      <c r="D127" s="311"/>
      <c r="E127" s="41"/>
      <c r="F127" s="42"/>
      <c r="G127" s="319" t="str">
        <f>IF(AL127=0,"N/A","AXE_EX_40_30_AL")</f>
        <v>AXE_EX_40_30_AL</v>
      </c>
      <c r="H127" s="319"/>
      <c r="I127" s="319"/>
      <c r="J127" s="319"/>
      <c r="K127" s="319"/>
      <c r="L127" s="319"/>
      <c r="M127" s="319"/>
      <c r="N127" s="319"/>
      <c r="O127" s="319"/>
      <c r="P127" s="319"/>
      <c r="Q127" s="319"/>
      <c r="R127" s="320"/>
      <c r="S127" s="42"/>
      <c r="T127" s="405" t="str">
        <f>VLOOKUP(G127,PL!$B$9:$BH$1265,14,FALSE)</f>
        <v xml:space="preserve">Extension </v>
      </c>
      <c r="U127" s="405"/>
      <c r="V127" s="405"/>
      <c r="W127" s="405"/>
      <c r="X127" s="405"/>
      <c r="Y127" s="405"/>
      <c r="Z127" s="405"/>
      <c r="AA127" s="405"/>
      <c r="AB127" s="405"/>
      <c r="AC127" s="405"/>
      <c r="AD127" s="405"/>
      <c r="AE127" s="405"/>
      <c r="AF127" s="405"/>
      <c r="AG127" s="405"/>
      <c r="AH127" s="405"/>
      <c r="AI127" s="405"/>
      <c r="AJ127" s="411"/>
      <c r="AK127" s="42"/>
      <c r="AL127" s="311">
        <f>ROUND(SUM(BK127:DF127)*(1+$BF$87),0)</f>
        <v>83</v>
      </c>
      <c r="AM127" s="311"/>
      <c r="AN127" s="311"/>
      <c r="AO127" s="311"/>
      <c r="AP127" s="43"/>
      <c r="AQ127" s="128"/>
      <c r="AR127" s="308" t="str">
        <f>VLOOKUP(G127,PL!$B$9:$BH$818,52,FALSE)</f>
        <v>SOL-5805</v>
      </c>
      <c r="AS127" s="309"/>
      <c r="AT127" s="309"/>
      <c r="AU127" s="309"/>
      <c r="AV127" s="309"/>
      <c r="AW127" s="309"/>
      <c r="AX127" s="309"/>
      <c r="AY127" s="309"/>
      <c r="AZ127" s="309"/>
      <c r="BA127" s="309"/>
      <c r="BB127" s="309"/>
      <c r="BC127" s="309"/>
      <c r="BD127" s="309"/>
      <c r="BE127" s="309"/>
      <c r="BF127" s="309"/>
      <c r="BG127" s="309"/>
      <c r="BH127" s="124"/>
      <c r="BI127" s="41"/>
      <c r="BK127" s="412">
        <f>IF($N$81="Combination",IF(M54&gt;0,ROUND(HLOOKUP(BK88,$DY$110:$ME$112,2),0)+ROUND(HLOOKUP(BK88,$DY$110:$ME$112,3),0)-IF(M54&gt;0,1,0),0),(ROUNDUP(($AE$45*M58+20*(M58-1)+$N$85*2)/$N$81,0)-1))*2*M54</f>
        <v>80</v>
      </c>
      <c r="BL127" s="413"/>
      <c r="BM127" s="414"/>
      <c r="BN127" s="412">
        <f>IF($N$81="Combination",IF(P54&gt;0,ROUND(HLOOKUP(BN88,$DY$110:$ME$112,2),0)+ROUND(HLOOKUP(BN88,$DY$110:$ME$112,3),0)-IF(P54&gt;0,1,0),0),(ROUNDUP(($AE$45*P58+20*(P58-1)+$N$85*2)/$N$81,0)-1))*2*P54</f>
        <v>0</v>
      </c>
      <c r="BO127" s="413"/>
      <c r="BP127" s="414"/>
      <c r="BQ127" s="412">
        <f>IF($N$81="Combination",IF(S54&gt;0,ROUND(HLOOKUP(BQ88,$DY$110:$ME$112,2),0)+ROUND(HLOOKUP(BQ88,$DY$110:$ME$112,3),0)-IF(S54&gt;0,1,0),0),(ROUNDUP(($AE$45*S58+20*(S58-1)+$N$85*2)/$N$81,0)-1))*2*S54</f>
        <v>0</v>
      </c>
      <c r="BR127" s="413"/>
      <c r="BS127" s="414"/>
      <c r="BT127" s="412">
        <f>IF($N$81="Combination",IF(V54&gt;0,ROUND(HLOOKUP(BT88,$DY$110:$ME$112,2),0)+ROUND(HLOOKUP(BT88,$DY$110:$ME$112,3),0)-IF(V54&gt;0,1,0),0),(ROUNDUP(($AE$45*V58+20*(V58-1)+$N$85*2)/$N$81,0)-1))*2*V54</f>
        <v>0</v>
      </c>
      <c r="BU127" s="413"/>
      <c r="BV127" s="414"/>
      <c r="BW127" s="412">
        <f>IF($N$81="Combination",IF(Y54&gt;0,ROUND(HLOOKUP(BW88,$DY$110:$ME$112,2),0)+ROUND(HLOOKUP(BW88,$DY$110:$ME$112,3),0)-IF(Y54&gt;0,1,0),0),(ROUNDUP(($AE$45*Y58+20*(Y58-1)+$N$85*2)/$N$81,0)-1))*2*Y54</f>
        <v>0</v>
      </c>
      <c r="BX127" s="413"/>
      <c r="BY127" s="414"/>
      <c r="BZ127" s="412">
        <f>IF($N$81="Combination",IF(AB54&gt;0,ROUND(HLOOKUP(BZ88,$DY$110:$ME$112,2),0)+ROUND(HLOOKUP(BZ88,$DY$110:$ME$112,3),0)-IF(AB54&gt;0,1,0),0),(ROUNDUP(($AE$45*AB58+20*(AB58-1)+$N$85*2)/$N$81,0)-1))*2*AB54</f>
        <v>0</v>
      </c>
      <c r="CA127" s="413"/>
      <c r="CB127" s="414"/>
      <c r="CC127" s="412">
        <f>IF($N$81="Combination",IF(AE54&gt;0,ROUND(HLOOKUP(CC88,$DY$110:$ME$112,2),0)+ROUND(HLOOKUP(CC88,$DY$110:$ME$112,3),0)-IF(AE54&gt;0,1,0),0),(ROUNDUP(($AE$45*AE58+20*(AE58-1)+$N$85*2)/$N$81,0)-1))*2*AE54</f>
        <v>0</v>
      </c>
      <c r="CD127" s="413"/>
      <c r="CE127" s="414"/>
      <c r="CF127" s="412">
        <f>IF($N$81="Combination",IF(AH54&gt;0,ROUND(HLOOKUP(CF88,$DY$110:$ME$112,2),0)+ROUND(HLOOKUP(CF88,$DY$110:$ME$112,3),0)-IF(AH54&gt;0,1,0),0),(ROUNDUP(($AE$45*AH58+20*(AH58-1)+$N$85*2)/$N$81,0)-1))*2*AH54</f>
        <v>0</v>
      </c>
      <c r="CG127" s="413"/>
      <c r="CH127" s="414"/>
      <c r="CI127" s="412">
        <f>IF($N$81="Combination",IF(AK54&gt;0,ROUND(HLOOKUP(CI88,$DY$110:$ME$112,2),0)+ROUND(HLOOKUP(CI88,$DY$110:$ME$112,3),0)-IF(AK54&gt;0,1,0),0),(ROUNDUP(($AE$45*AK58+20*(AK58-1)+$N$85*2)/$N$81,0)-1))*2*AK54</f>
        <v>0</v>
      </c>
      <c r="CJ127" s="413"/>
      <c r="CK127" s="414"/>
      <c r="CL127" s="412">
        <f>IF($N$81="Combination",IF(AN54&gt;0,ROUND(HLOOKUP(CL88,$DY$110:$ME$112,2),0)+ROUND(HLOOKUP(CL88,$DY$110:$ME$112,3),0)-IF(AN54&gt;0,1,0),0),(ROUNDUP(($AE$45*AN58+20*(AN58-1)+$N$85*2)/$N$81,0)-1))*2*AN54</f>
        <v>0</v>
      </c>
      <c r="CM127" s="413"/>
      <c r="CN127" s="414"/>
      <c r="CO127" s="412">
        <f>IF($N$81="Combination",IF(AQ54&gt;0,ROUND(HLOOKUP(CO88,$DY$110:$ME$112,2),0)+ROUND(HLOOKUP(CO88,$DY$110:$ME$112,3),0)-IF(AQ54&gt;0,1,0),0),(ROUNDUP(($AE$45*AQ58+20*(AQ58-1)+$N$85*2)/$N$81,0)-1))*2*AQ54</f>
        <v>0</v>
      </c>
      <c r="CP127" s="413"/>
      <c r="CQ127" s="414"/>
      <c r="CR127" s="412">
        <f>IF($N$81="Combination",IF(AT54&gt;0,ROUND(HLOOKUP(CR88,$DY$110:$ME$112,2),0)+ROUND(HLOOKUP(CR88,$DY$110:$ME$112,3),0)-IF(AT54&gt;0,1,0),0),(ROUNDUP(($AE$45*AT58+20*(AT58-1)+$N$85*2)/$N$81,0)-1))*2*AT54</f>
        <v>0</v>
      </c>
      <c r="CS127" s="413"/>
      <c r="CT127" s="414"/>
      <c r="CU127" s="412">
        <f>IF($N$81="Combination",IF(AW54&gt;0,ROUND(HLOOKUP(CU88,$DY$110:$ME$112,2),0)+ROUND(HLOOKUP(CU88,$DY$110:$ME$112,3),0)-IF(AW54&gt;0,1,0),0),(ROUNDUP(($AE$45*AW58+20*(AW58-1)+$N$85*2)/$N$81,0)-1))*2*AW54</f>
        <v>0</v>
      </c>
      <c r="CV127" s="413"/>
      <c r="CW127" s="414"/>
      <c r="CX127" s="412">
        <f>IF($N$81="Combination",IF(AZ54&gt;0,ROUND(HLOOKUP(CX88,$DY$110:$ME$112,2),0)+ROUND(HLOOKUP(CX88,$DY$110:$ME$112,3),0)-IF(AZ54&gt;0,1,0),0),(ROUNDUP(($AE$45*AZ58+20*(AZ58-1)+$N$85*2)/$N$81,0)-1))*2*AZ54</f>
        <v>0</v>
      </c>
      <c r="CY127" s="413"/>
      <c r="CZ127" s="414"/>
      <c r="DA127" s="412">
        <f>IF($N$81="Combination",IF(BC54&gt;0,ROUND(HLOOKUP(DA88,$DY$110:$ME$112,2),0)+ROUND(HLOOKUP(DA88,$DY$110:$ME$112,3),0)-IF(BC54&gt;0,1,0),0),(ROUNDUP(($AE$45*BC58+20*(BC58-1)+$N$85*2)/$N$81,0)-1))*2*BC54</f>
        <v>0</v>
      </c>
      <c r="DB127" s="413"/>
      <c r="DC127" s="414"/>
      <c r="DD127" s="412">
        <f>IF($N$81="Combination",IF(BF54&gt;0,ROUND(HLOOKUP(DD88,$DY$110:$ME$112,2),0)+ROUND(HLOOKUP(DD88,$DY$110:$ME$112,3),0)-IF(BF54&gt;0,1,0),0),(ROUNDUP(($AE$45*BF58+20*(BF58-1)+$N$85*2)/$N$81,0)-1))*2*BF54</f>
        <v>0</v>
      </c>
      <c r="DE127" s="413"/>
      <c r="DF127" s="414"/>
      <c r="DH127" s="311"/>
      <c r="DI127" s="311"/>
      <c r="DJ127" s="311"/>
      <c r="DK127" s="311"/>
      <c r="DL127" s="321"/>
      <c r="DM127" s="321"/>
      <c r="DN127" s="321"/>
      <c r="DO127" s="321"/>
      <c r="DP127" s="321"/>
      <c r="DQ127" s="321"/>
      <c r="DR127" s="321"/>
      <c r="DS127" s="321"/>
      <c r="EA127" s="201"/>
      <c r="EB127" s="201"/>
      <c r="EC127" s="201"/>
      <c r="ED127" s="201"/>
      <c r="EE127" s="201"/>
      <c r="EF127" s="201"/>
      <c r="EG127" s="201"/>
      <c r="EH127" s="201"/>
      <c r="EI127" s="201"/>
      <c r="EJ127" s="201"/>
      <c r="EK127" s="201"/>
      <c r="EL127" s="201"/>
      <c r="EM127" s="201"/>
      <c r="EN127" s="201"/>
      <c r="EO127" s="201"/>
      <c r="EP127" s="201"/>
      <c r="EQ127" s="201"/>
      <c r="ER127" s="201"/>
      <c r="ES127" s="201"/>
      <c r="ET127" s="201"/>
      <c r="EU127" s="201"/>
      <c r="EV127" s="201"/>
      <c r="EW127" s="201"/>
      <c r="EX127" s="201"/>
      <c r="EY127" s="201"/>
      <c r="EZ127" s="201"/>
      <c r="FA127" s="201"/>
      <c r="FB127" s="201"/>
      <c r="FC127" s="201"/>
      <c r="FD127" s="201"/>
      <c r="FE127" s="201"/>
      <c r="FF127" s="201"/>
      <c r="FG127" s="201"/>
      <c r="FH127" s="201"/>
      <c r="FI127" s="201"/>
      <c r="FJ127" s="201"/>
      <c r="FK127" s="201"/>
      <c r="FL127" s="201"/>
      <c r="FM127" s="201"/>
      <c r="FN127" s="201"/>
      <c r="FO127" s="201"/>
      <c r="FP127" s="201"/>
      <c r="FQ127" s="201"/>
      <c r="FR127" s="201"/>
      <c r="FS127" s="201"/>
      <c r="FT127" s="201"/>
      <c r="FU127" s="201"/>
      <c r="FV127" s="201"/>
      <c r="FW127" s="201"/>
      <c r="FX127" s="201"/>
      <c r="FY127" s="201"/>
      <c r="FZ127" s="201"/>
      <c r="GA127" s="201"/>
      <c r="GB127" s="201"/>
      <c r="GC127" s="201"/>
      <c r="GD127" s="201"/>
      <c r="GE127" s="201"/>
      <c r="GF127" s="201"/>
      <c r="GG127" s="201"/>
      <c r="GH127" s="201"/>
      <c r="GI127" s="201"/>
      <c r="GJ127" s="201"/>
      <c r="GK127" s="201"/>
      <c r="GL127" s="201"/>
      <c r="GM127" s="201"/>
      <c r="GN127" s="201"/>
      <c r="GO127" s="201"/>
      <c r="GP127" s="201"/>
      <c r="GQ127" s="201"/>
      <c r="GR127" s="201"/>
      <c r="GS127" s="201"/>
      <c r="GT127" s="201"/>
      <c r="GU127" s="201"/>
      <c r="GV127" s="201"/>
      <c r="GW127" s="201"/>
      <c r="GX127" s="201"/>
      <c r="GY127" s="201"/>
      <c r="GZ127" s="201"/>
      <c r="HA127" s="201"/>
      <c r="HB127" s="201"/>
      <c r="HC127" s="201"/>
      <c r="HD127" s="201"/>
      <c r="HE127" s="201"/>
      <c r="HF127" s="201"/>
      <c r="HG127" s="201"/>
      <c r="HH127" s="201"/>
      <c r="HI127" s="201"/>
      <c r="HJ127" s="201"/>
      <c r="HK127" s="201"/>
      <c r="HL127" s="201"/>
      <c r="HM127" s="201"/>
      <c r="HN127" s="201"/>
      <c r="HO127" s="201"/>
      <c r="HP127" s="201"/>
      <c r="HQ127" s="201"/>
      <c r="HR127" s="201"/>
      <c r="HS127" s="201"/>
      <c r="HT127" s="201"/>
      <c r="HU127" s="201"/>
      <c r="HV127" s="201"/>
      <c r="HW127" s="201"/>
      <c r="HX127" s="201"/>
      <c r="HY127" s="201"/>
      <c r="HZ127" s="201"/>
      <c r="IA127" s="201"/>
      <c r="IB127" s="201"/>
      <c r="IC127" s="201"/>
      <c r="ID127" s="201"/>
      <c r="IE127" s="201"/>
      <c r="IF127" s="201"/>
      <c r="IG127" s="201"/>
      <c r="IH127" s="201"/>
      <c r="II127" s="201"/>
      <c r="IJ127" s="201"/>
      <c r="IK127" s="201"/>
      <c r="IL127" s="201"/>
      <c r="IM127" s="201"/>
      <c r="IN127" s="201"/>
      <c r="IO127" s="201"/>
      <c r="IP127" s="201"/>
      <c r="IQ127" s="201"/>
      <c r="IR127" s="201"/>
      <c r="IS127" s="201"/>
      <c r="IT127" s="201"/>
      <c r="IU127" s="201"/>
      <c r="IV127" s="201"/>
      <c r="IW127" s="201"/>
      <c r="IX127" s="201"/>
      <c r="IY127" s="201"/>
      <c r="IZ127" s="201"/>
      <c r="JA127" s="201"/>
      <c r="JB127" s="201"/>
      <c r="JC127" s="201"/>
      <c r="JD127" s="201"/>
      <c r="JE127" s="201"/>
      <c r="JF127" s="201"/>
      <c r="JG127" s="201"/>
      <c r="JH127" s="201"/>
      <c r="JI127" s="201"/>
      <c r="JJ127" s="201"/>
      <c r="JK127" s="201"/>
      <c r="JL127" s="201"/>
      <c r="JM127" s="201"/>
      <c r="JN127" s="201"/>
      <c r="JO127" s="201"/>
      <c r="JP127" s="201"/>
      <c r="JQ127" s="201"/>
      <c r="JR127" s="201"/>
      <c r="JS127" s="201"/>
      <c r="JT127" s="201"/>
      <c r="JU127" s="201"/>
      <c r="JV127" s="201"/>
      <c r="JW127" s="201"/>
      <c r="JX127" s="201"/>
      <c r="JY127" s="201"/>
      <c r="JZ127" s="201"/>
      <c r="KA127" s="201"/>
      <c r="KB127" s="201"/>
      <c r="KC127" s="201"/>
      <c r="KD127" s="201"/>
      <c r="KE127" s="201"/>
      <c r="KF127" s="201"/>
      <c r="KG127" s="201"/>
      <c r="KH127" s="201"/>
      <c r="KI127" s="201"/>
      <c r="KJ127" s="201"/>
      <c r="KK127" s="201"/>
      <c r="KL127" s="201"/>
      <c r="KM127" s="201"/>
      <c r="KN127" s="201"/>
      <c r="KO127" s="201"/>
      <c r="KP127" s="201"/>
      <c r="KQ127" s="201"/>
      <c r="KR127" s="201"/>
      <c r="KS127" s="201"/>
      <c r="KT127" s="201"/>
      <c r="KU127" s="201"/>
      <c r="KV127" s="201"/>
      <c r="KW127" s="201"/>
      <c r="KX127" s="201"/>
      <c r="KY127" s="201"/>
      <c r="KZ127" s="201"/>
      <c r="LA127" s="201"/>
      <c r="LB127" s="201"/>
      <c r="LC127" s="201"/>
      <c r="LD127" s="201"/>
      <c r="LE127" s="201"/>
      <c r="LF127" s="201"/>
      <c r="LG127" s="201"/>
      <c r="LH127" s="201"/>
      <c r="LI127" s="201"/>
      <c r="LJ127" s="201"/>
      <c r="LK127" s="201"/>
      <c r="LL127" s="201"/>
      <c r="LM127" s="201"/>
      <c r="LN127" s="201"/>
      <c r="LO127" s="201"/>
      <c r="LP127" s="201"/>
      <c r="LQ127" s="201"/>
      <c r="LR127" s="201"/>
      <c r="LS127" s="201"/>
      <c r="LT127" s="201"/>
      <c r="LU127" s="201"/>
      <c r="LV127" s="201"/>
      <c r="LW127" s="201"/>
      <c r="LX127" s="201"/>
      <c r="LY127" s="201"/>
      <c r="LZ127" s="201"/>
      <c r="MA127" s="201"/>
      <c r="MB127" s="201"/>
    </row>
    <row r="128" spans="1:342" ht="7.4" customHeight="1" x14ac:dyDescent="0.5">
      <c r="A128" s="42"/>
      <c r="B128" s="42"/>
      <c r="C128" s="311"/>
      <c r="D128" s="311"/>
      <c r="E128" s="41"/>
      <c r="F128" s="42"/>
      <c r="G128" s="319"/>
      <c r="H128" s="319"/>
      <c r="I128" s="319"/>
      <c r="J128" s="319"/>
      <c r="K128" s="319"/>
      <c r="L128" s="319"/>
      <c r="M128" s="319"/>
      <c r="N128" s="319"/>
      <c r="O128" s="319"/>
      <c r="P128" s="319"/>
      <c r="Q128" s="319"/>
      <c r="R128" s="320"/>
      <c r="S128" s="42"/>
      <c r="T128" s="405"/>
      <c r="U128" s="405"/>
      <c r="V128" s="405"/>
      <c r="W128" s="405"/>
      <c r="X128" s="405"/>
      <c r="Y128" s="405"/>
      <c r="Z128" s="405"/>
      <c r="AA128" s="405"/>
      <c r="AB128" s="405"/>
      <c r="AC128" s="405"/>
      <c r="AD128" s="405"/>
      <c r="AE128" s="405"/>
      <c r="AF128" s="405"/>
      <c r="AG128" s="405"/>
      <c r="AH128" s="405"/>
      <c r="AI128" s="405"/>
      <c r="AJ128" s="411"/>
      <c r="AK128" s="42"/>
      <c r="AL128" s="311"/>
      <c r="AM128" s="311"/>
      <c r="AN128" s="311"/>
      <c r="AO128" s="311"/>
      <c r="AP128" s="43"/>
      <c r="AQ128" s="128"/>
      <c r="AR128" s="309"/>
      <c r="AS128" s="309"/>
      <c r="AT128" s="309"/>
      <c r="AU128" s="309"/>
      <c r="AV128" s="309"/>
      <c r="AW128" s="309"/>
      <c r="AX128" s="309"/>
      <c r="AY128" s="309"/>
      <c r="AZ128" s="309"/>
      <c r="BA128" s="309"/>
      <c r="BB128" s="309"/>
      <c r="BC128" s="309"/>
      <c r="BD128" s="309"/>
      <c r="BE128" s="309"/>
      <c r="BF128" s="309"/>
      <c r="BG128" s="309"/>
      <c r="BH128" s="124"/>
      <c r="BI128" s="41"/>
      <c r="BK128" s="412"/>
      <c r="BL128" s="413"/>
      <c r="BM128" s="414"/>
      <c r="BN128" s="412"/>
      <c r="BO128" s="413"/>
      <c r="BP128" s="414"/>
      <c r="BQ128" s="412"/>
      <c r="BR128" s="413"/>
      <c r="BS128" s="414"/>
      <c r="BT128" s="412"/>
      <c r="BU128" s="413"/>
      <c r="BV128" s="414"/>
      <c r="BW128" s="412"/>
      <c r="BX128" s="413"/>
      <c r="BY128" s="414"/>
      <c r="BZ128" s="412"/>
      <c r="CA128" s="413"/>
      <c r="CB128" s="414"/>
      <c r="CC128" s="412"/>
      <c r="CD128" s="413"/>
      <c r="CE128" s="414"/>
      <c r="CF128" s="412"/>
      <c r="CG128" s="413"/>
      <c r="CH128" s="414"/>
      <c r="CI128" s="412"/>
      <c r="CJ128" s="413"/>
      <c r="CK128" s="414"/>
      <c r="CL128" s="412"/>
      <c r="CM128" s="413"/>
      <c r="CN128" s="414"/>
      <c r="CO128" s="412"/>
      <c r="CP128" s="413"/>
      <c r="CQ128" s="414"/>
      <c r="CR128" s="412"/>
      <c r="CS128" s="413"/>
      <c r="CT128" s="414"/>
      <c r="CU128" s="412"/>
      <c r="CV128" s="413"/>
      <c r="CW128" s="414"/>
      <c r="CX128" s="412"/>
      <c r="CY128" s="413"/>
      <c r="CZ128" s="414"/>
      <c r="DA128" s="412"/>
      <c r="DB128" s="413"/>
      <c r="DC128" s="414"/>
      <c r="DD128" s="412"/>
      <c r="DE128" s="413"/>
      <c r="DF128" s="414"/>
      <c r="DH128" s="311"/>
      <c r="DI128" s="311"/>
      <c r="DJ128" s="311"/>
      <c r="DK128" s="311"/>
      <c r="DL128" s="321"/>
      <c r="DM128" s="321"/>
      <c r="DN128" s="321"/>
      <c r="DO128" s="321"/>
      <c r="DP128" s="321"/>
      <c r="DQ128" s="321"/>
      <c r="DR128" s="321"/>
      <c r="DS128" s="321"/>
      <c r="EA128" s="201"/>
      <c r="EB128" s="201"/>
      <c r="EC128" s="201"/>
      <c r="ED128" s="201"/>
      <c r="EE128" s="201"/>
      <c r="EF128" s="201"/>
      <c r="EG128" s="201"/>
      <c r="EH128" s="201"/>
      <c r="EI128" s="201"/>
      <c r="EJ128" s="201"/>
      <c r="EK128" s="201"/>
      <c r="EL128" s="201"/>
      <c r="EM128" s="201"/>
      <c r="EN128" s="201"/>
      <c r="EO128" s="201"/>
      <c r="EP128" s="201"/>
      <c r="EQ128" s="201"/>
      <c r="ER128" s="201"/>
      <c r="ES128" s="201"/>
      <c r="ET128" s="201"/>
      <c r="EU128" s="201"/>
      <c r="EV128" s="201"/>
      <c r="EW128" s="201"/>
      <c r="EX128" s="201"/>
      <c r="EY128" s="201"/>
      <c r="EZ128" s="201"/>
      <c r="FA128" s="201"/>
      <c r="FB128" s="201"/>
      <c r="FC128" s="201"/>
      <c r="FD128" s="201"/>
      <c r="FE128" s="201"/>
      <c r="FF128" s="201"/>
      <c r="FG128" s="201"/>
      <c r="FH128" s="201"/>
      <c r="FI128" s="201"/>
      <c r="FJ128" s="201"/>
      <c r="FK128" s="201"/>
      <c r="FL128" s="201"/>
      <c r="FM128" s="201"/>
      <c r="FN128" s="201"/>
      <c r="FO128" s="201"/>
      <c r="FP128" s="201"/>
      <c r="FQ128" s="201"/>
      <c r="FR128" s="201"/>
      <c r="FS128" s="201"/>
      <c r="FT128" s="201"/>
      <c r="FU128" s="201"/>
      <c r="FV128" s="201"/>
      <c r="FW128" s="201"/>
      <c r="FX128" s="201"/>
      <c r="FY128" s="201"/>
      <c r="FZ128" s="201"/>
      <c r="GA128" s="201"/>
      <c r="GB128" s="201"/>
      <c r="GC128" s="201"/>
      <c r="GD128" s="201"/>
      <c r="GE128" s="201"/>
      <c r="GF128" s="201"/>
      <c r="GG128" s="201"/>
      <c r="GH128" s="201"/>
      <c r="GI128" s="201"/>
      <c r="GJ128" s="201"/>
      <c r="GK128" s="201"/>
      <c r="GL128" s="201"/>
      <c r="GM128" s="201"/>
      <c r="GN128" s="201"/>
      <c r="GO128" s="201"/>
      <c r="GP128" s="201"/>
      <c r="GQ128" s="201"/>
      <c r="GR128" s="201"/>
      <c r="GS128" s="201"/>
      <c r="GT128" s="201"/>
      <c r="GU128" s="201"/>
      <c r="GV128" s="201"/>
      <c r="GW128" s="201"/>
      <c r="GX128" s="201"/>
      <c r="GY128" s="201"/>
      <c r="GZ128" s="201"/>
      <c r="HA128" s="201"/>
      <c r="HB128" s="201"/>
      <c r="HC128" s="201"/>
      <c r="HD128" s="201"/>
      <c r="HE128" s="201"/>
      <c r="HF128" s="201"/>
      <c r="HG128" s="201"/>
      <c r="HH128" s="201"/>
      <c r="HI128" s="201"/>
      <c r="HJ128" s="201"/>
      <c r="HK128" s="201"/>
      <c r="HL128" s="201"/>
      <c r="HM128" s="201"/>
      <c r="HN128" s="201"/>
      <c r="HO128" s="201"/>
      <c r="HP128" s="201"/>
      <c r="HQ128" s="201"/>
      <c r="HR128" s="201"/>
      <c r="HS128" s="201"/>
      <c r="HT128" s="201"/>
      <c r="HU128" s="201"/>
      <c r="HV128" s="201"/>
      <c r="HW128" s="201"/>
      <c r="HX128" s="201"/>
      <c r="HY128" s="201"/>
      <c r="HZ128" s="201"/>
      <c r="IA128" s="201"/>
      <c r="IB128" s="201"/>
      <c r="IC128" s="201"/>
      <c r="ID128" s="201"/>
      <c r="IE128" s="201"/>
      <c r="IF128" s="201"/>
      <c r="IG128" s="201"/>
      <c r="IH128" s="201"/>
      <c r="II128" s="201"/>
      <c r="IJ128" s="201"/>
      <c r="IK128" s="201"/>
      <c r="IL128" s="201"/>
      <c r="IM128" s="201"/>
      <c r="IN128" s="201"/>
      <c r="IO128" s="201"/>
      <c r="IP128" s="201"/>
      <c r="IQ128" s="201"/>
      <c r="IR128" s="201"/>
      <c r="IS128" s="201"/>
      <c r="IT128" s="201"/>
      <c r="IU128" s="201"/>
      <c r="IV128" s="201"/>
      <c r="IW128" s="201"/>
      <c r="IX128" s="201"/>
      <c r="IY128" s="201"/>
      <c r="IZ128" s="201"/>
      <c r="JA128" s="201"/>
      <c r="JB128" s="201"/>
      <c r="JC128" s="201"/>
      <c r="JD128" s="201"/>
      <c r="JE128" s="201"/>
      <c r="JF128" s="201"/>
      <c r="JG128" s="201"/>
      <c r="JH128" s="201"/>
      <c r="JI128" s="201"/>
      <c r="JJ128" s="201"/>
      <c r="JK128" s="201"/>
      <c r="JL128" s="201"/>
      <c r="JM128" s="201"/>
      <c r="JN128" s="201"/>
      <c r="JO128" s="201"/>
      <c r="JP128" s="201"/>
      <c r="JQ128" s="201"/>
      <c r="JR128" s="201"/>
      <c r="JS128" s="201"/>
      <c r="JT128" s="201"/>
      <c r="JU128" s="201"/>
      <c r="JV128" s="201"/>
      <c r="JW128" s="201"/>
      <c r="JX128" s="201"/>
      <c r="JY128" s="201"/>
      <c r="JZ128" s="201"/>
      <c r="KA128" s="201"/>
      <c r="KB128" s="201"/>
      <c r="KC128" s="201"/>
      <c r="KD128" s="201"/>
      <c r="KE128" s="201"/>
      <c r="KF128" s="201"/>
      <c r="KG128" s="201"/>
      <c r="KH128" s="201"/>
      <c r="KI128" s="201"/>
      <c r="KJ128" s="201"/>
      <c r="KK128" s="201"/>
      <c r="KL128" s="201"/>
      <c r="KM128" s="201"/>
      <c r="KN128" s="201"/>
      <c r="KO128" s="201"/>
      <c r="KP128" s="201"/>
      <c r="KQ128" s="201"/>
      <c r="KR128" s="201"/>
      <c r="KS128" s="201"/>
      <c r="KT128" s="201"/>
      <c r="KU128" s="201"/>
      <c r="KV128" s="201"/>
      <c r="KW128" s="201"/>
      <c r="KX128" s="201"/>
      <c r="KY128" s="201"/>
      <c r="KZ128" s="201"/>
      <c r="LA128" s="201"/>
      <c r="LB128" s="201"/>
      <c r="LC128" s="201"/>
      <c r="LD128" s="201"/>
      <c r="LE128" s="201"/>
      <c r="LF128" s="201"/>
      <c r="LG128" s="201"/>
      <c r="LH128" s="201"/>
      <c r="LI128" s="201"/>
      <c r="LJ128" s="201"/>
      <c r="LK128" s="201"/>
      <c r="LL128" s="201"/>
      <c r="LM128" s="201"/>
      <c r="LN128" s="201"/>
      <c r="LO128" s="201"/>
      <c r="LP128" s="201"/>
      <c r="LQ128" s="201"/>
      <c r="LR128" s="201"/>
      <c r="LS128" s="201"/>
      <c r="LT128" s="201"/>
      <c r="LU128" s="201"/>
      <c r="LV128" s="201"/>
      <c r="LW128" s="201"/>
      <c r="LX128" s="201"/>
      <c r="LY128" s="201"/>
      <c r="LZ128" s="201"/>
      <c r="MA128" s="201"/>
      <c r="MB128" s="201"/>
    </row>
    <row r="129" spans="1:123" ht="7.4" customHeight="1" x14ac:dyDescent="0.5">
      <c r="A129" s="42"/>
      <c r="B129" s="42"/>
      <c r="C129" s="333"/>
      <c r="D129" s="333"/>
      <c r="E129" s="41"/>
      <c r="F129" s="42"/>
      <c r="G129" s="56"/>
      <c r="H129" s="56"/>
      <c r="I129" s="56"/>
      <c r="J129" s="56"/>
      <c r="K129" s="56"/>
      <c r="L129" s="56"/>
      <c r="M129" s="56"/>
      <c r="N129" s="56"/>
      <c r="O129" s="56"/>
      <c r="P129" s="56"/>
      <c r="Q129" s="56"/>
      <c r="R129" s="126"/>
      <c r="S129" s="42"/>
      <c r="T129" s="116" t="str">
        <f>VLOOKUP(G127,PL!$B$9:$BH$1265,33,FALSE)</f>
        <v>Aluminium, Rail Profile 40x30</v>
      </c>
      <c r="AJ129" s="41"/>
      <c r="AK129" s="42"/>
      <c r="AL129" s="311"/>
      <c r="AM129" s="311"/>
      <c r="AN129" s="311"/>
      <c r="AO129" s="311"/>
      <c r="AP129" s="43"/>
      <c r="AQ129" s="42"/>
      <c r="AR129" s="131"/>
      <c r="AS129" s="131"/>
      <c r="AT129" s="131"/>
      <c r="AU129" s="131"/>
      <c r="AV129" s="131"/>
      <c r="AW129" s="131"/>
      <c r="AX129" s="105"/>
      <c r="AZ129" s="131"/>
      <c r="BA129" s="131"/>
      <c r="BB129" s="131"/>
      <c r="BC129" s="131"/>
      <c r="BD129" s="131"/>
      <c r="BE129" s="131"/>
      <c r="BF129" s="131"/>
      <c r="BG129" s="131"/>
      <c r="BH129" s="124"/>
      <c r="BI129" s="41"/>
      <c r="BK129" s="194"/>
      <c r="BL129" s="123"/>
      <c r="BM129" s="195"/>
      <c r="BN129" s="196"/>
      <c r="BO129" s="153"/>
      <c r="BP129" s="197"/>
      <c r="BQ129" s="196"/>
      <c r="BR129" s="153"/>
      <c r="BS129" s="197"/>
      <c r="BT129" s="196"/>
      <c r="BU129" s="153"/>
      <c r="BV129" s="197"/>
      <c r="BW129" s="196"/>
      <c r="BX129" s="153"/>
      <c r="BY129" s="197"/>
      <c r="BZ129" s="196"/>
      <c r="CA129" s="153"/>
      <c r="CB129" s="197"/>
      <c r="CC129" s="196"/>
      <c r="CD129" s="153"/>
      <c r="CE129" s="197"/>
      <c r="CF129" s="196"/>
      <c r="CG129" s="153"/>
      <c r="CH129" s="197"/>
      <c r="CI129" s="196"/>
      <c r="CJ129" s="153"/>
      <c r="CK129" s="197"/>
      <c r="CL129" s="196"/>
      <c r="CM129" s="153"/>
      <c r="CN129" s="197"/>
      <c r="CO129" s="196"/>
      <c r="CP129" s="153"/>
      <c r="CQ129" s="197"/>
      <c r="CR129" s="196"/>
      <c r="CS129" s="153"/>
      <c r="CT129" s="197"/>
      <c r="CU129" s="196"/>
      <c r="CV129" s="153"/>
      <c r="CW129" s="197"/>
      <c r="CX129" s="196"/>
      <c r="CY129" s="153"/>
      <c r="CZ129" s="197"/>
      <c r="DA129" s="196"/>
      <c r="DB129" s="153"/>
      <c r="DC129" s="197"/>
      <c r="DD129" s="196"/>
      <c r="DE129" s="153"/>
      <c r="DF129" s="197"/>
      <c r="DH129" s="311"/>
      <c r="DI129" s="311"/>
      <c r="DJ129" s="311"/>
      <c r="DK129" s="311"/>
      <c r="DL129" s="321"/>
      <c r="DM129" s="321"/>
      <c r="DN129" s="321"/>
      <c r="DO129" s="321"/>
      <c r="DP129" s="321"/>
      <c r="DQ129" s="321"/>
      <c r="DR129" s="321"/>
      <c r="DS129" s="321"/>
    </row>
    <row r="130" spans="1:123" ht="7.4" customHeight="1" x14ac:dyDescent="0.5">
      <c r="A130" s="42"/>
      <c r="B130" s="42"/>
      <c r="C130" s="55"/>
      <c r="D130" s="55"/>
      <c r="E130" s="41"/>
      <c r="F130" s="42"/>
      <c r="G130" s="56"/>
      <c r="H130" s="56"/>
      <c r="I130" s="56"/>
      <c r="J130" s="56"/>
      <c r="K130" s="56"/>
      <c r="L130" s="56"/>
      <c r="M130" s="56"/>
      <c r="N130" s="56"/>
      <c r="O130" s="56"/>
      <c r="P130" s="56"/>
      <c r="Q130" s="56"/>
      <c r="R130" s="126"/>
      <c r="S130" s="42"/>
      <c r="AJ130" s="41"/>
      <c r="AK130" s="42"/>
      <c r="AL130" s="311"/>
      <c r="AM130" s="311"/>
      <c r="AN130" s="311"/>
      <c r="AO130" s="311"/>
      <c r="AP130" s="43"/>
      <c r="AQ130" s="42"/>
      <c r="AR130" s="131"/>
      <c r="AS130" s="131"/>
      <c r="AT130" s="131"/>
      <c r="AU130" s="131"/>
      <c r="AV130" s="131"/>
      <c r="AW130" s="131"/>
      <c r="AX130" s="105"/>
      <c r="AZ130" s="131"/>
      <c r="BA130" s="131"/>
      <c r="BB130" s="131"/>
      <c r="BC130" s="131"/>
      <c r="BD130" s="131"/>
      <c r="BE130" s="131"/>
      <c r="BF130" s="131"/>
      <c r="BG130" s="131"/>
      <c r="BH130" s="124"/>
      <c r="BI130" s="41"/>
      <c r="BK130" s="194"/>
      <c r="BL130" s="123"/>
      <c r="BM130" s="195"/>
      <c r="BN130" s="196"/>
      <c r="BO130" s="153"/>
      <c r="BP130" s="197"/>
      <c r="BQ130" s="196"/>
      <c r="BR130" s="153"/>
      <c r="BS130" s="197"/>
      <c r="BT130" s="196"/>
      <c r="BU130" s="153"/>
      <c r="BV130" s="197"/>
      <c r="BW130" s="196"/>
      <c r="BX130" s="153"/>
      <c r="BY130" s="197"/>
      <c r="BZ130" s="196"/>
      <c r="CA130" s="153"/>
      <c r="CB130" s="197"/>
      <c r="CC130" s="196"/>
      <c r="CD130" s="153"/>
      <c r="CE130" s="197"/>
      <c r="CF130" s="196"/>
      <c r="CG130" s="153"/>
      <c r="CH130" s="197"/>
      <c r="CI130" s="196"/>
      <c r="CJ130" s="153"/>
      <c r="CK130" s="197"/>
      <c r="CL130" s="196"/>
      <c r="CM130" s="153"/>
      <c r="CN130" s="197"/>
      <c r="CO130" s="196"/>
      <c r="CP130" s="153"/>
      <c r="CQ130" s="197"/>
      <c r="CR130" s="196"/>
      <c r="CS130" s="153"/>
      <c r="CT130" s="197"/>
      <c r="CU130" s="196"/>
      <c r="CV130" s="153"/>
      <c r="CW130" s="197"/>
      <c r="CX130" s="196"/>
      <c r="CY130" s="153"/>
      <c r="CZ130" s="197"/>
      <c r="DA130" s="196"/>
      <c r="DB130" s="153"/>
      <c r="DC130" s="197"/>
      <c r="DD130" s="196"/>
      <c r="DE130" s="153"/>
      <c r="DF130" s="197"/>
      <c r="DL130" s="105"/>
      <c r="DM130" s="105"/>
      <c r="DN130" s="105"/>
      <c r="DO130" s="105"/>
      <c r="DP130" s="105"/>
      <c r="DQ130" s="105"/>
      <c r="DR130" s="105"/>
      <c r="DS130" s="105"/>
    </row>
    <row r="131" spans="1:123" ht="7.4" customHeight="1" x14ac:dyDescent="0.5">
      <c r="A131" s="42"/>
      <c r="B131" s="42"/>
      <c r="C131" s="311">
        <f>C127+1</f>
        <v>4</v>
      </c>
      <c r="D131" s="311"/>
      <c r="E131" s="41"/>
      <c r="F131" s="42"/>
      <c r="G131" s="319" t="str">
        <f>"AXE_F_RS_RD_"&amp;IF($W$45&lt;2200,"S","L")&amp;"_"&amp;$AO$31&amp;"_AL"</f>
        <v>AXE_F_RS_RD_L_10_AL</v>
      </c>
      <c r="H131" s="319"/>
      <c r="I131" s="319"/>
      <c r="J131" s="319"/>
      <c r="K131" s="319"/>
      <c r="L131" s="319"/>
      <c r="M131" s="319"/>
      <c r="N131" s="319"/>
      <c r="O131" s="319"/>
      <c r="P131" s="319"/>
      <c r="Q131" s="319"/>
      <c r="R131" s="320"/>
      <c r="S131" s="42"/>
      <c r="T131" s="405" t="str">
        <f>VLOOKUP(G131,PL!$B$9:$BH$1265,14,FALSE)</f>
        <v>Raised Frame</v>
      </c>
      <c r="U131" s="405"/>
      <c r="V131" s="405"/>
      <c r="W131" s="405"/>
      <c r="X131" s="405"/>
      <c r="Y131" s="405"/>
      <c r="Z131" s="405"/>
      <c r="AA131" s="405"/>
      <c r="AB131" s="405"/>
      <c r="AC131" s="405"/>
      <c r="AD131" s="405"/>
      <c r="AE131" s="405"/>
      <c r="AF131" s="405"/>
      <c r="AG131" s="405"/>
      <c r="AH131" s="405"/>
      <c r="AI131" s="405"/>
      <c r="AJ131" s="411"/>
      <c r="AK131" s="42"/>
      <c r="AL131" s="311">
        <f>SUM(BK131:DF132)</f>
        <v>200</v>
      </c>
      <c r="AM131" s="311"/>
      <c r="AN131" s="311"/>
      <c r="AO131" s="311"/>
      <c r="AP131" s="43"/>
      <c r="AQ131" s="128"/>
      <c r="AR131" s="308">
        <f>VLOOKUP(G131,PL!$B$9:$BH$818,52,FALSE)</f>
        <v>0</v>
      </c>
      <c r="AS131" s="309"/>
      <c r="AT131" s="309"/>
      <c r="AU131" s="309"/>
      <c r="AV131" s="309"/>
      <c r="AW131" s="309"/>
      <c r="AX131" s="309"/>
      <c r="AY131" s="309"/>
      <c r="AZ131" s="309"/>
      <c r="BA131" s="309"/>
      <c r="BB131" s="309"/>
      <c r="BC131" s="309"/>
      <c r="BD131" s="309"/>
      <c r="BE131" s="309"/>
      <c r="BF131" s="309"/>
      <c r="BG131" s="309"/>
      <c r="BH131" s="124"/>
      <c r="BI131" s="41"/>
      <c r="BK131" s="412">
        <f>(ROUNDUP(($AE$45*M58+20*(M58-1)+$N$85*2-2*$N$89)/$AX$35,0)+1)*M54</f>
        <v>200</v>
      </c>
      <c r="BL131" s="413"/>
      <c r="BM131" s="414"/>
      <c r="BN131" s="412">
        <f>(ROUNDUP(($AE$45*P58+20*(P58-1)+$N$85*2-2*$N$89)/$AX$35,0)+1)*P54</f>
        <v>0</v>
      </c>
      <c r="BO131" s="413"/>
      <c r="BP131" s="414"/>
      <c r="BQ131" s="412">
        <f>(ROUNDUP(($AE$45*S58+20*(S58-1)+$N$85*2-2*$N$89)/$AX$35,0)+1)*S54</f>
        <v>0</v>
      </c>
      <c r="BR131" s="413"/>
      <c r="BS131" s="414"/>
      <c r="BT131" s="412">
        <f>(ROUNDUP(($AE$45*V58+20*(V58-1)+$N$85*2-2*$N$89)/$AX$35,0)+1)*V54</f>
        <v>0</v>
      </c>
      <c r="BU131" s="413"/>
      <c r="BV131" s="414"/>
      <c r="BW131" s="412">
        <f>(ROUNDUP(($AE$45*Y58+20*(Y58-1)+$N$85*2-2*$N$89)/$AX$35,0)+1)*Y54</f>
        <v>0</v>
      </c>
      <c r="BX131" s="413"/>
      <c r="BY131" s="414"/>
      <c r="BZ131" s="412">
        <f>(ROUNDUP(($AE$45*AB58+20*(AB58-1)+$N$85*2-2*$N$89)/$AX$35,0)+1)*AB54</f>
        <v>0</v>
      </c>
      <c r="CA131" s="413"/>
      <c r="CB131" s="414"/>
      <c r="CC131" s="412">
        <f>(ROUNDUP(($AE$45*AE58+20*(AE58-1)+$N$85*2-2*$N$89)/$AX$35,0)+1)*AE54</f>
        <v>0</v>
      </c>
      <c r="CD131" s="413"/>
      <c r="CE131" s="414"/>
      <c r="CF131" s="412">
        <f>(ROUNDUP(($AE$45*AH58+20*(AH58-1)+$N$85*2-2*$N$89)/$AX$35,0)+1)*AH54</f>
        <v>0</v>
      </c>
      <c r="CG131" s="413"/>
      <c r="CH131" s="414"/>
      <c r="CI131" s="412">
        <f>(ROUNDUP(($AE$45*AK58+20*(AK58-1)+$N$85*2-2*$N$89)/$AX$35,0)+1)*AK54</f>
        <v>0</v>
      </c>
      <c r="CJ131" s="413"/>
      <c r="CK131" s="414"/>
      <c r="CL131" s="412">
        <f>(ROUNDUP(($AE$45*AN58+20*(AN58-1)+$N$85*2-2*$N$89)/$AX$35,0)+1)*AN54</f>
        <v>0</v>
      </c>
      <c r="CM131" s="413"/>
      <c r="CN131" s="414"/>
      <c r="CO131" s="412">
        <f>(ROUNDUP(($AE$45*AQ58+20*(AQ58-1)+$N$85*2-2*$N$89)/$AX$35,0)+1)*AQ54</f>
        <v>0</v>
      </c>
      <c r="CP131" s="413"/>
      <c r="CQ131" s="414"/>
      <c r="CR131" s="412">
        <f>(ROUNDUP(($AE$45*AT58+20*(AT58-1)+$N$85*2-2*$N$89)/$AX$35,0)+1)*AT54</f>
        <v>0</v>
      </c>
      <c r="CS131" s="413"/>
      <c r="CT131" s="414"/>
      <c r="CU131" s="412">
        <f>(ROUNDUP(($AE$45*AW58+20*(AW58-1)+$N$85*2-2*$N$89)/$AX$35,0)+1)*AW54</f>
        <v>0</v>
      </c>
      <c r="CV131" s="413"/>
      <c r="CW131" s="414"/>
      <c r="CX131" s="412">
        <f>(ROUNDUP(($AE$45*AZ58+20*(AZ58-1)+$N$85*2-2*$N$89)/$AX$35,0)+1)*AZ54</f>
        <v>0</v>
      </c>
      <c r="CY131" s="413"/>
      <c r="CZ131" s="414"/>
      <c r="DA131" s="412">
        <f>(ROUNDUP(($AE$45*BC58+20*(BC58-1)+$N$85*2-2*$N$89)/$AX$35,0)+1)*BC54</f>
        <v>0</v>
      </c>
      <c r="DB131" s="413"/>
      <c r="DC131" s="414"/>
      <c r="DD131" s="412">
        <f>(ROUNDUP(($AE$45*BF58+20*(BF58-1)+$N$85*2-2*$N$89)/$AX$35,0)+1)*BF54</f>
        <v>0</v>
      </c>
      <c r="DE131" s="413"/>
      <c r="DF131" s="414"/>
      <c r="DH131" s="311"/>
      <c r="DI131" s="311"/>
      <c r="DJ131" s="311"/>
      <c r="DK131" s="311"/>
      <c r="DL131" s="321"/>
      <c r="DM131" s="321"/>
      <c r="DN131" s="321"/>
      <c r="DO131" s="321"/>
      <c r="DP131" s="321"/>
      <c r="DQ131" s="321"/>
      <c r="DR131" s="321"/>
      <c r="DS131" s="321"/>
    </row>
    <row r="132" spans="1:123" ht="7.4" customHeight="1" x14ac:dyDescent="0.5">
      <c r="A132" s="42"/>
      <c r="B132" s="42"/>
      <c r="C132" s="311"/>
      <c r="D132" s="311"/>
      <c r="E132" s="41"/>
      <c r="F132" s="42"/>
      <c r="G132" s="319"/>
      <c r="H132" s="319"/>
      <c r="I132" s="319"/>
      <c r="J132" s="319"/>
      <c r="K132" s="319"/>
      <c r="L132" s="319"/>
      <c r="M132" s="319"/>
      <c r="N132" s="319"/>
      <c r="O132" s="319"/>
      <c r="P132" s="319"/>
      <c r="Q132" s="319"/>
      <c r="R132" s="320"/>
      <c r="S132" s="42"/>
      <c r="T132" s="405"/>
      <c r="U132" s="405"/>
      <c r="V132" s="405"/>
      <c r="W132" s="405"/>
      <c r="X132" s="405"/>
      <c r="Y132" s="405"/>
      <c r="Z132" s="405"/>
      <c r="AA132" s="405"/>
      <c r="AB132" s="405"/>
      <c r="AC132" s="405"/>
      <c r="AD132" s="405"/>
      <c r="AE132" s="405"/>
      <c r="AF132" s="405"/>
      <c r="AG132" s="405"/>
      <c r="AH132" s="405"/>
      <c r="AI132" s="405"/>
      <c r="AJ132" s="411"/>
      <c r="AK132" s="42"/>
      <c r="AL132" s="311"/>
      <c r="AM132" s="311"/>
      <c r="AN132" s="311"/>
      <c r="AO132" s="311"/>
      <c r="AP132" s="43"/>
      <c r="AQ132" s="128"/>
      <c r="AR132" s="309"/>
      <c r="AS132" s="309"/>
      <c r="AT132" s="309"/>
      <c r="AU132" s="309"/>
      <c r="AV132" s="309"/>
      <c r="AW132" s="309"/>
      <c r="AX132" s="309"/>
      <c r="AY132" s="309"/>
      <c r="AZ132" s="309"/>
      <c r="BA132" s="309"/>
      <c r="BB132" s="309"/>
      <c r="BC132" s="309"/>
      <c r="BD132" s="309"/>
      <c r="BE132" s="309"/>
      <c r="BF132" s="309"/>
      <c r="BG132" s="309"/>
      <c r="BH132" s="124"/>
      <c r="BI132" s="41"/>
      <c r="BK132" s="412"/>
      <c r="BL132" s="413"/>
      <c r="BM132" s="414"/>
      <c r="BN132" s="412"/>
      <c r="BO132" s="413"/>
      <c r="BP132" s="414"/>
      <c r="BQ132" s="412"/>
      <c r="BR132" s="413"/>
      <c r="BS132" s="414"/>
      <c r="BT132" s="412"/>
      <c r="BU132" s="413"/>
      <c r="BV132" s="414"/>
      <c r="BW132" s="412"/>
      <c r="BX132" s="413"/>
      <c r="BY132" s="414"/>
      <c r="BZ132" s="412"/>
      <c r="CA132" s="413"/>
      <c r="CB132" s="414"/>
      <c r="CC132" s="412"/>
      <c r="CD132" s="413"/>
      <c r="CE132" s="414"/>
      <c r="CF132" s="412"/>
      <c r="CG132" s="413"/>
      <c r="CH132" s="414"/>
      <c r="CI132" s="412"/>
      <c r="CJ132" s="413"/>
      <c r="CK132" s="414"/>
      <c r="CL132" s="412"/>
      <c r="CM132" s="413"/>
      <c r="CN132" s="414"/>
      <c r="CO132" s="412"/>
      <c r="CP132" s="413"/>
      <c r="CQ132" s="414"/>
      <c r="CR132" s="412"/>
      <c r="CS132" s="413"/>
      <c r="CT132" s="414"/>
      <c r="CU132" s="412"/>
      <c r="CV132" s="413"/>
      <c r="CW132" s="414"/>
      <c r="CX132" s="412"/>
      <c r="CY132" s="413"/>
      <c r="CZ132" s="414"/>
      <c r="DA132" s="412"/>
      <c r="DB132" s="413"/>
      <c r="DC132" s="414"/>
      <c r="DD132" s="412"/>
      <c r="DE132" s="413"/>
      <c r="DF132" s="414"/>
      <c r="DH132" s="311"/>
      <c r="DI132" s="311"/>
      <c r="DJ132" s="311"/>
      <c r="DK132" s="311"/>
      <c r="DL132" s="321"/>
      <c r="DM132" s="321"/>
      <c r="DN132" s="321"/>
      <c r="DO132" s="321"/>
      <c r="DP132" s="321"/>
      <c r="DQ132" s="321"/>
      <c r="DR132" s="321"/>
      <c r="DS132" s="321"/>
    </row>
    <row r="133" spans="1:123" ht="7.4" customHeight="1" x14ac:dyDescent="0.5">
      <c r="A133" s="42"/>
      <c r="B133" s="42"/>
      <c r="C133" s="333"/>
      <c r="D133" s="333"/>
      <c r="E133" s="41"/>
      <c r="F133" s="42"/>
      <c r="G133" s="56"/>
      <c r="H133" s="56"/>
      <c r="I133" s="56"/>
      <c r="J133" s="56"/>
      <c r="K133" s="56"/>
      <c r="L133" s="56"/>
      <c r="M133" s="56"/>
      <c r="N133" s="56"/>
      <c r="O133" s="56"/>
      <c r="P133" s="56"/>
      <c r="Q133" s="56"/>
      <c r="R133" s="126"/>
      <c r="S133" s="42"/>
      <c r="T133" s="116" t="str">
        <f>VLOOKUP(G131,PL!$B$9:$BH$1265,33,FALSE)</f>
        <v>Aluminium, Railed, Long, 10deg</v>
      </c>
      <c r="AJ133" s="41"/>
      <c r="AK133" s="42"/>
      <c r="AL133" s="311"/>
      <c r="AM133" s="311"/>
      <c r="AN133" s="311"/>
      <c r="AO133" s="311"/>
      <c r="AP133" s="43"/>
      <c r="AQ133" s="42"/>
      <c r="AR133" s="131"/>
      <c r="AS133" s="131"/>
      <c r="AT133" s="131"/>
      <c r="AU133" s="131"/>
      <c r="AV133" s="131"/>
      <c r="AW133" s="131"/>
      <c r="AX133" s="105"/>
      <c r="AZ133" s="131"/>
      <c r="BA133" s="131"/>
      <c r="BB133" s="131"/>
      <c r="BC133" s="131"/>
      <c r="BD133" s="131"/>
      <c r="BE133" s="131"/>
      <c r="BF133" s="131"/>
      <c r="BG133" s="131"/>
      <c r="BH133" s="124"/>
      <c r="BI133" s="41"/>
      <c r="BK133" s="194"/>
      <c r="BL133" s="123"/>
      <c r="BM133" s="195"/>
      <c r="BN133" s="194"/>
      <c r="BO133" s="123"/>
      <c r="BP133" s="195"/>
      <c r="BQ133" s="194"/>
      <c r="BR133" s="123"/>
      <c r="BS133" s="195"/>
      <c r="BT133" s="194"/>
      <c r="BU133" s="123"/>
      <c r="BV133" s="195"/>
      <c r="BW133" s="194"/>
      <c r="BX133" s="123"/>
      <c r="BY133" s="195"/>
      <c r="BZ133" s="194"/>
      <c r="CA133" s="123"/>
      <c r="CB133" s="195"/>
      <c r="CC133" s="194"/>
      <c r="CD133" s="123"/>
      <c r="CE133" s="195"/>
      <c r="CF133" s="194"/>
      <c r="CG133" s="123"/>
      <c r="CH133" s="195"/>
      <c r="CI133" s="194"/>
      <c r="CJ133" s="123"/>
      <c r="CK133" s="195"/>
      <c r="CL133" s="194"/>
      <c r="CM133" s="123"/>
      <c r="CN133" s="195"/>
      <c r="CO133" s="194"/>
      <c r="CP133" s="123"/>
      <c r="CQ133" s="195"/>
      <c r="CR133" s="194"/>
      <c r="CS133" s="123"/>
      <c r="CT133" s="195"/>
      <c r="CU133" s="194"/>
      <c r="CV133" s="123"/>
      <c r="CW133" s="195"/>
      <c r="CX133" s="194"/>
      <c r="CY133" s="123"/>
      <c r="CZ133" s="195"/>
      <c r="DA133" s="194"/>
      <c r="DB133" s="123"/>
      <c r="DC133" s="195"/>
      <c r="DD133" s="194"/>
      <c r="DE133" s="123"/>
      <c r="DF133" s="195"/>
      <c r="DH133" s="311"/>
      <c r="DI133" s="311"/>
      <c r="DJ133" s="311"/>
      <c r="DK133" s="311"/>
      <c r="DL133" s="321"/>
      <c r="DM133" s="321"/>
      <c r="DN133" s="321"/>
      <c r="DO133" s="321"/>
      <c r="DP133" s="321"/>
      <c r="DQ133" s="321"/>
      <c r="DR133" s="321"/>
      <c r="DS133" s="321"/>
    </row>
    <row r="134" spans="1:123" ht="7.4" customHeight="1" x14ac:dyDescent="0.5">
      <c r="A134" s="42"/>
      <c r="B134" s="42"/>
      <c r="C134" s="55"/>
      <c r="D134" s="55"/>
      <c r="E134" s="41"/>
      <c r="F134" s="42"/>
      <c r="G134" s="56"/>
      <c r="H134" s="56"/>
      <c r="I134" s="56"/>
      <c r="J134" s="56"/>
      <c r="K134" s="56"/>
      <c r="L134" s="56"/>
      <c r="M134" s="56"/>
      <c r="N134" s="56"/>
      <c r="O134" s="56"/>
      <c r="P134" s="56"/>
      <c r="Q134" s="56"/>
      <c r="R134" s="126"/>
      <c r="S134" s="42"/>
      <c r="AJ134" s="41"/>
      <c r="AK134" s="42"/>
      <c r="AL134" s="311"/>
      <c r="AM134" s="311"/>
      <c r="AN134" s="311"/>
      <c r="AO134" s="311"/>
      <c r="AP134" s="43"/>
      <c r="AQ134" s="42"/>
      <c r="AR134" s="272"/>
      <c r="AS134" s="272"/>
      <c r="AT134" s="272"/>
      <c r="AU134" s="272"/>
      <c r="AV134" s="272"/>
      <c r="AW134" s="272"/>
      <c r="AX134" s="105"/>
      <c r="AY134" s="79"/>
      <c r="AZ134" s="131"/>
      <c r="BA134" s="131"/>
      <c r="BB134" s="131"/>
      <c r="BC134" s="131"/>
      <c r="BD134" s="131"/>
      <c r="BE134" s="131"/>
      <c r="BF134" s="131"/>
      <c r="BG134" s="131"/>
      <c r="BH134" s="124"/>
      <c r="BI134" s="41"/>
      <c r="BK134" s="194"/>
      <c r="BL134" s="123"/>
      <c r="BM134" s="195"/>
      <c r="BN134" s="194"/>
      <c r="BO134" s="123"/>
      <c r="BP134" s="195"/>
      <c r="BQ134" s="194"/>
      <c r="BR134" s="123"/>
      <c r="BS134" s="195"/>
      <c r="BT134" s="194"/>
      <c r="BU134" s="123"/>
      <c r="BV134" s="195"/>
      <c r="BW134" s="194"/>
      <c r="BX134" s="123"/>
      <c r="BY134" s="195"/>
      <c r="BZ134" s="194"/>
      <c r="CA134" s="123"/>
      <c r="CB134" s="195"/>
      <c r="CC134" s="194"/>
      <c r="CD134" s="123"/>
      <c r="CE134" s="195"/>
      <c r="CF134" s="194"/>
      <c r="CG134" s="123"/>
      <c r="CH134" s="195"/>
      <c r="CI134" s="194"/>
      <c r="CJ134" s="123"/>
      <c r="CK134" s="195"/>
      <c r="CL134" s="194"/>
      <c r="CM134" s="123"/>
      <c r="CN134" s="195"/>
      <c r="CO134" s="194"/>
      <c r="CP134" s="123"/>
      <c r="CQ134" s="195"/>
      <c r="CR134" s="194"/>
      <c r="CS134" s="123"/>
      <c r="CT134" s="195"/>
      <c r="CU134" s="194"/>
      <c r="CV134" s="123"/>
      <c r="CW134" s="195"/>
      <c r="CX134" s="194"/>
      <c r="CY134" s="123"/>
      <c r="CZ134" s="195"/>
      <c r="DA134" s="194"/>
      <c r="DB134" s="123"/>
      <c r="DC134" s="195"/>
      <c r="DD134" s="194"/>
      <c r="DE134" s="123"/>
      <c r="DF134" s="195"/>
      <c r="DL134" s="105"/>
      <c r="DM134" s="105"/>
      <c r="DN134" s="105"/>
      <c r="DO134" s="105"/>
      <c r="DP134" s="105"/>
      <c r="DQ134" s="105"/>
      <c r="DR134" s="105"/>
      <c r="DS134" s="105"/>
    </row>
    <row r="135" spans="1:123" ht="7.4" customHeight="1" x14ac:dyDescent="0.5">
      <c r="A135" s="42"/>
      <c r="B135" s="42"/>
      <c r="C135" s="311">
        <f>C131+1</f>
        <v>5</v>
      </c>
      <c r="D135" s="311"/>
      <c r="E135" s="41"/>
      <c r="F135" s="42"/>
      <c r="G135" s="319" t="str">
        <f>IF($AI$85="Included","AXE_CM_CF_"&amp;$AM$45,"AXE_CM_AP")&amp;"_AL"</f>
        <v>AXE_CM_CF_30_AL</v>
      </c>
      <c r="H135" s="319"/>
      <c r="I135" s="319"/>
      <c r="J135" s="319"/>
      <c r="K135" s="319"/>
      <c r="L135" s="319"/>
      <c r="M135" s="319"/>
      <c r="N135" s="319"/>
      <c r="O135" s="319"/>
      <c r="P135" s="319"/>
      <c r="Q135" s="319"/>
      <c r="R135" s="320"/>
      <c r="S135" s="42"/>
      <c r="T135" s="405" t="str">
        <f>VLOOKUP(G135,PL!$B$9:$BH$1265,14,FALSE)</f>
        <v>Mid Clamp</v>
      </c>
      <c r="U135" s="405"/>
      <c r="V135" s="405"/>
      <c r="W135" s="405"/>
      <c r="X135" s="405"/>
      <c r="Y135" s="405"/>
      <c r="Z135" s="405"/>
      <c r="AA135" s="405"/>
      <c r="AB135" s="405"/>
      <c r="AC135" s="405"/>
      <c r="AD135" s="405"/>
      <c r="AE135" s="405"/>
      <c r="AF135" s="405"/>
      <c r="AG135" s="405"/>
      <c r="AH135" s="405"/>
      <c r="AI135" s="405"/>
      <c r="AJ135" s="411"/>
      <c r="AK135" s="42"/>
      <c r="AL135" s="311">
        <f>ROUND(SUM(BK135:DF135)*(1+$BF$81),0)</f>
        <v>490</v>
      </c>
      <c r="AM135" s="311"/>
      <c r="AN135" s="311"/>
      <c r="AO135" s="311"/>
      <c r="AP135" s="43"/>
      <c r="AQ135" s="128"/>
      <c r="AR135" s="308" t="str">
        <f>VLOOKUP(G135,PL!$B$9:$BH$818,52,FALSE)</f>
        <v>SOL-580101</v>
      </c>
      <c r="AS135" s="309"/>
      <c r="AT135" s="309"/>
      <c r="AU135" s="309"/>
      <c r="AV135" s="309"/>
      <c r="AW135" s="309"/>
      <c r="AX135" s="309"/>
      <c r="AY135" s="309"/>
      <c r="AZ135" s="309"/>
      <c r="BA135" s="309"/>
      <c r="BB135" s="309"/>
      <c r="BC135" s="309"/>
      <c r="BD135" s="309"/>
      <c r="BE135" s="309"/>
      <c r="BF135" s="309"/>
      <c r="BG135" s="309"/>
      <c r="BH135" s="124"/>
      <c r="BI135" s="41"/>
      <c r="BK135" s="412">
        <f>M54*M58*2-BK139/2</f>
        <v>480</v>
      </c>
      <c r="BL135" s="413"/>
      <c r="BM135" s="414"/>
      <c r="BN135" s="412">
        <f>P54*P58*2-BN139/2</f>
        <v>0</v>
      </c>
      <c r="BO135" s="413"/>
      <c r="BP135" s="414"/>
      <c r="BQ135" s="412">
        <f>S54*S58*2-BQ139/2</f>
        <v>0</v>
      </c>
      <c r="BR135" s="413"/>
      <c r="BS135" s="414"/>
      <c r="BT135" s="412">
        <f>V54*V58*2-BT139/2</f>
        <v>0</v>
      </c>
      <c r="BU135" s="413"/>
      <c r="BV135" s="414"/>
      <c r="BW135" s="412">
        <f>Y54*Y58*2-BW139/2</f>
        <v>0</v>
      </c>
      <c r="BX135" s="413"/>
      <c r="BY135" s="414"/>
      <c r="BZ135" s="412">
        <f>AB54*AB58*2-BZ139/2</f>
        <v>0</v>
      </c>
      <c r="CA135" s="413"/>
      <c r="CB135" s="414"/>
      <c r="CC135" s="412">
        <f>AE54*AE58*2-CC139/2</f>
        <v>0</v>
      </c>
      <c r="CD135" s="413"/>
      <c r="CE135" s="414"/>
      <c r="CF135" s="412">
        <f>AH54*AH58*2-CF139/2</f>
        <v>0</v>
      </c>
      <c r="CG135" s="413"/>
      <c r="CH135" s="414"/>
      <c r="CI135" s="412">
        <f>AK54*AK58*2-CI139/2</f>
        <v>0</v>
      </c>
      <c r="CJ135" s="413"/>
      <c r="CK135" s="414"/>
      <c r="CL135" s="412">
        <f>AN54*AN58*2-CL139/2</f>
        <v>0</v>
      </c>
      <c r="CM135" s="413"/>
      <c r="CN135" s="414"/>
      <c r="CO135" s="412">
        <f>AQ54*AQ58*2-CO139/2</f>
        <v>0</v>
      </c>
      <c r="CP135" s="413"/>
      <c r="CQ135" s="414"/>
      <c r="CR135" s="412">
        <f>AT54*AT58*2-CR139/2</f>
        <v>0</v>
      </c>
      <c r="CS135" s="413"/>
      <c r="CT135" s="414"/>
      <c r="CU135" s="412">
        <f>AW54*AW58*2-CU139/2</f>
        <v>0</v>
      </c>
      <c r="CV135" s="413"/>
      <c r="CW135" s="414"/>
      <c r="CX135" s="412">
        <f>AZ54*AZ58*2-CX139/2</f>
        <v>0</v>
      </c>
      <c r="CY135" s="413"/>
      <c r="CZ135" s="414"/>
      <c r="DA135" s="412">
        <f>BC54*BC58*2-DA139/2</f>
        <v>0</v>
      </c>
      <c r="DB135" s="413"/>
      <c r="DC135" s="414"/>
      <c r="DD135" s="412">
        <f>BF54*BF58*2-DD139/2</f>
        <v>0</v>
      </c>
      <c r="DE135" s="413"/>
      <c r="DF135" s="414"/>
      <c r="DH135" s="311"/>
      <c r="DI135" s="311"/>
      <c r="DJ135" s="311"/>
      <c r="DK135" s="311"/>
      <c r="DL135" s="321"/>
      <c r="DM135" s="321"/>
      <c r="DN135" s="321"/>
      <c r="DO135" s="321"/>
      <c r="DP135" s="321"/>
      <c r="DQ135" s="321"/>
      <c r="DR135" s="321"/>
      <c r="DS135" s="321"/>
    </row>
    <row r="136" spans="1:123" ht="7.4" customHeight="1" x14ac:dyDescent="0.5">
      <c r="A136" s="42"/>
      <c r="B136" s="42"/>
      <c r="C136" s="311"/>
      <c r="D136" s="311"/>
      <c r="E136" s="41"/>
      <c r="F136" s="42"/>
      <c r="G136" s="319"/>
      <c r="H136" s="319"/>
      <c r="I136" s="319"/>
      <c r="J136" s="319"/>
      <c r="K136" s="319"/>
      <c r="L136" s="319"/>
      <c r="M136" s="319"/>
      <c r="N136" s="319"/>
      <c r="O136" s="319"/>
      <c r="P136" s="319"/>
      <c r="Q136" s="319"/>
      <c r="R136" s="320"/>
      <c r="S136" s="42"/>
      <c r="T136" s="405"/>
      <c r="U136" s="405"/>
      <c r="V136" s="405"/>
      <c r="W136" s="405"/>
      <c r="X136" s="405"/>
      <c r="Y136" s="405"/>
      <c r="Z136" s="405"/>
      <c r="AA136" s="405"/>
      <c r="AB136" s="405"/>
      <c r="AC136" s="405"/>
      <c r="AD136" s="405"/>
      <c r="AE136" s="405"/>
      <c r="AF136" s="405"/>
      <c r="AG136" s="405"/>
      <c r="AH136" s="405"/>
      <c r="AI136" s="405"/>
      <c r="AJ136" s="411"/>
      <c r="AK136" s="42"/>
      <c r="AL136" s="311"/>
      <c r="AM136" s="311"/>
      <c r="AN136" s="311"/>
      <c r="AO136" s="311"/>
      <c r="AP136" s="43"/>
      <c r="AQ136" s="128"/>
      <c r="AR136" s="309"/>
      <c r="AS136" s="309"/>
      <c r="AT136" s="309"/>
      <c r="AU136" s="309"/>
      <c r="AV136" s="309"/>
      <c r="AW136" s="309"/>
      <c r="AX136" s="309"/>
      <c r="AY136" s="309"/>
      <c r="AZ136" s="309"/>
      <c r="BA136" s="309"/>
      <c r="BB136" s="309"/>
      <c r="BC136" s="309"/>
      <c r="BD136" s="309"/>
      <c r="BE136" s="309"/>
      <c r="BF136" s="309"/>
      <c r="BG136" s="309"/>
      <c r="BH136" s="124"/>
      <c r="BI136" s="41"/>
      <c r="BK136" s="412"/>
      <c r="BL136" s="413"/>
      <c r="BM136" s="414"/>
      <c r="BN136" s="412"/>
      <c r="BO136" s="413"/>
      <c r="BP136" s="414"/>
      <c r="BQ136" s="412"/>
      <c r="BR136" s="413"/>
      <c r="BS136" s="414"/>
      <c r="BT136" s="412"/>
      <c r="BU136" s="413"/>
      <c r="BV136" s="414"/>
      <c r="BW136" s="412"/>
      <c r="BX136" s="413"/>
      <c r="BY136" s="414"/>
      <c r="BZ136" s="412"/>
      <c r="CA136" s="413"/>
      <c r="CB136" s="414"/>
      <c r="CC136" s="412"/>
      <c r="CD136" s="413"/>
      <c r="CE136" s="414"/>
      <c r="CF136" s="412"/>
      <c r="CG136" s="413"/>
      <c r="CH136" s="414"/>
      <c r="CI136" s="412"/>
      <c r="CJ136" s="413"/>
      <c r="CK136" s="414"/>
      <c r="CL136" s="412"/>
      <c r="CM136" s="413"/>
      <c r="CN136" s="414"/>
      <c r="CO136" s="412"/>
      <c r="CP136" s="413"/>
      <c r="CQ136" s="414"/>
      <c r="CR136" s="412"/>
      <c r="CS136" s="413"/>
      <c r="CT136" s="414"/>
      <c r="CU136" s="412"/>
      <c r="CV136" s="413"/>
      <c r="CW136" s="414"/>
      <c r="CX136" s="412"/>
      <c r="CY136" s="413"/>
      <c r="CZ136" s="414"/>
      <c r="DA136" s="412"/>
      <c r="DB136" s="413"/>
      <c r="DC136" s="414"/>
      <c r="DD136" s="412"/>
      <c r="DE136" s="413"/>
      <c r="DF136" s="414"/>
      <c r="DH136" s="311"/>
      <c r="DI136" s="311"/>
      <c r="DJ136" s="311"/>
      <c r="DK136" s="311"/>
      <c r="DL136" s="321"/>
      <c r="DM136" s="321"/>
      <c r="DN136" s="321"/>
      <c r="DO136" s="321"/>
      <c r="DP136" s="321"/>
      <c r="DQ136" s="321"/>
      <c r="DR136" s="321"/>
      <c r="DS136" s="321"/>
    </row>
    <row r="137" spans="1:123" ht="7.4" customHeight="1" x14ac:dyDescent="0.5">
      <c r="A137" s="42"/>
      <c r="B137" s="42"/>
      <c r="C137" s="333"/>
      <c r="D137" s="333"/>
      <c r="E137" s="41"/>
      <c r="F137" s="42"/>
      <c r="G137" s="56"/>
      <c r="H137" s="56"/>
      <c r="I137" s="56"/>
      <c r="J137" s="56"/>
      <c r="K137" s="56"/>
      <c r="L137" s="56"/>
      <c r="M137" s="56"/>
      <c r="N137" s="56"/>
      <c r="O137" s="56"/>
      <c r="P137" s="56"/>
      <c r="Q137" s="56"/>
      <c r="R137" s="126"/>
      <c r="S137" s="42"/>
      <c r="T137" s="116" t="str">
        <f>VLOOKUP(G135,PL!$B$9:$BH$1265,33,FALSE)</f>
        <v>Aluminium, Click Fix, 30mm high</v>
      </c>
      <c r="AJ137" s="41"/>
      <c r="AK137" s="42"/>
      <c r="AL137" s="311"/>
      <c r="AM137" s="311"/>
      <c r="AN137" s="311"/>
      <c r="AO137" s="311"/>
      <c r="AP137" s="43"/>
      <c r="AQ137" s="42"/>
      <c r="AR137" s="131"/>
      <c r="AS137" s="131"/>
      <c r="AT137" s="131"/>
      <c r="AU137" s="131"/>
      <c r="AV137" s="131"/>
      <c r="AW137" s="131"/>
      <c r="AX137" s="105"/>
      <c r="AZ137" s="131"/>
      <c r="BA137" s="131"/>
      <c r="BB137" s="131"/>
      <c r="BC137" s="131"/>
      <c r="BD137" s="131"/>
      <c r="BE137" s="131"/>
      <c r="BF137" s="131"/>
      <c r="BG137" s="131"/>
      <c r="BH137" s="124"/>
      <c r="BI137" s="41"/>
      <c r="BK137" s="194"/>
      <c r="BL137" s="123"/>
      <c r="BM137" s="195"/>
      <c r="BN137" s="194"/>
      <c r="BO137" s="123"/>
      <c r="BP137" s="195"/>
      <c r="BQ137" s="194"/>
      <c r="BR137" s="123"/>
      <c r="BS137" s="195"/>
      <c r="BT137" s="194"/>
      <c r="BU137" s="123"/>
      <c r="BV137" s="195"/>
      <c r="BW137" s="194"/>
      <c r="BX137" s="123"/>
      <c r="BY137" s="195"/>
      <c r="BZ137" s="194"/>
      <c r="CA137" s="123"/>
      <c r="CB137" s="195"/>
      <c r="CC137" s="194"/>
      <c r="CD137" s="123"/>
      <c r="CE137" s="195"/>
      <c r="CF137" s="194"/>
      <c r="CG137" s="123"/>
      <c r="CH137" s="195"/>
      <c r="CI137" s="194"/>
      <c r="CJ137" s="123"/>
      <c r="CK137" s="195"/>
      <c r="CL137" s="194"/>
      <c r="CM137" s="123"/>
      <c r="CN137" s="195"/>
      <c r="CO137" s="194"/>
      <c r="CP137" s="123"/>
      <c r="CQ137" s="195"/>
      <c r="CR137" s="194"/>
      <c r="CS137" s="123"/>
      <c r="CT137" s="195"/>
      <c r="CU137" s="194"/>
      <c r="CV137" s="123"/>
      <c r="CW137" s="195"/>
      <c r="CX137" s="194"/>
      <c r="CY137" s="123"/>
      <c r="CZ137" s="195"/>
      <c r="DA137" s="194"/>
      <c r="DB137" s="123"/>
      <c r="DC137" s="195"/>
      <c r="DD137" s="194"/>
      <c r="DE137" s="123"/>
      <c r="DF137" s="195"/>
      <c r="DH137" s="311"/>
      <c r="DI137" s="311"/>
      <c r="DJ137" s="311"/>
      <c r="DK137" s="311"/>
      <c r="DL137" s="321"/>
      <c r="DM137" s="321"/>
      <c r="DN137" s="321"/>
      <c r="DO137" s="321"/>
      <c r="DP137" s="321"/>
      <c r="DQ137" s="321"/>
      <c r="DR137" s="321"/>
      <c r="DS137" s="321"/>
    </row>
    <row r="138" spans="1:123" ht="7.4" customHeight="1" x14ac:dyDescent="0.5">
      <c r="A138" s="42"/>
      <c r="B138" s="42"/>
      <c r="C138" s="55"/>
      <c r="D138" s="55"/>
      <c r="E138" s="41"/>
      <c r="F138" s="42"/>
      <c r="G138" s="56"/>
      <c r="H138" s="56"/>
      <c r="I138" s="56"/>
      <c r="J138" s="56"/>
      <c r="K138" s="56"/>
      <c r="L138" s="56"/>
      <c r="M138" s="56"/>
      <c r="N138" s="56"/>
      <c r="O138" s="56"/>
      <c r="P138" s="56"/>
      <c r="Q138" s="56"/>
      <c r="R138" s="126"/>
      <c r="S138" s="42"/>
      <c r="AJ138" s="41"/>
      <c r="AK138" s="42"/>
      <c r="AL138" s="311"/>
      <c r="AM138" s="311"/>
      <c r="AN138" s="311"/>
      <c r="AO138" s="311"/>
      <c r="AP138" s="43"/>
      <c r="AQ138" s="42"/>
      <c r="AR138" s="131"/>
      <c r="AS138" s="131"/>
      <c r="AT138" s="131"/>
      <c r="AU138" s="131"/>
      <c r="AV138" s="131"/>
      <c r="AW138" s="131"/>
      <c r="AX138" s="105"/>
      <c r="AZ138" s="131"/>
      <c r="BA138" s="131"/>
      <c r="BB138" s="131"/>
      <c r="BC138" s="131"/>
      <c r="BD138" s="131"/>
      <c r="BE138" s="131"/>
      <c r="BF138" s="131"/>
      <c r="BG138" s="131"/>
      <c r="BH138" s="124"/>
      <c r="BI138" s="41"/>
      <c r="BK138" s="194"/>
      <c r="BL138" s="123"/>
      <c r="BM138" s="195"/>
      <c r="BN138" s="194"/>
      <c r="BO138" s="123"/>
      <c r="BP138" s="195"/>
      <c r="BQ138" s="194"/>
      <c r="BR138" s="123"/>
      <c r="BS138" s="195"/>
      <c r="BT138" s="194"/>
      <c r="BU138" s="123"/>
      <c r="BV138" s="195"/>
      <c r="BW138" s="194"/>
      <c r="BX138" s="123"/>
      <c r="BY138" s="195"/>
      <c r="BZ138" s="194"/>
      <c r="CA138" s="123"/>
      <c r="CB138" s="195"/>
      <c r="CC138" s="194"/>
      <c r="CD138" s="123"/>
      <c r="CE138" s="195"/>
      <c r="CF138" s="194"/>
      <c r="CG138" s="123"/>
      <c r="CH138" s="195"/>
      <c r="CI138" s="194"/>
      <c r="CJ138" s="123"/>
      <c r="CK138" s="195"/>
      <c r="CL138" s="194"/>
      <c r="CM138" s="123"/>
      <c r="CN138" s="195"/>
      <c r="CO138" s="194"/>
      <c r="CP138" s="123"/>
      <c r="CQ138" s="195"/>
      <c r="CR138" s="194"/>
      <c r="CS138" s="123"/>
      <c r="CT138" s="195"/>
      <c r="CU138" s="194"/>
      <c r="CV138" s="123"/>
      <c r="CW138" s="195"/>
      <c r="CX138" s="194"/>
      <c r="CY138" s="123"/>
      <c r="CZ138" s="195"/>
      <c r="DA138" s="194"/>
      <c r="DB138" s="123"/>
      <c r="DC138" s="195"/>
      <c r="DD138" s="194"/>
      <c r="DE138" s="123"/>
      <c r="DF138" s="195"/>
      <c r="DL138" s="105"/>
      <c r="DM138" s="105"/>
      <c r="DN138" s="105"/>
      <c r="DO138" s="105"/>
      <c r="DP138" s="105"/>
      <c r="DQ138" s="105"/>
      <c r="DR138" s="105"/>
      <c r="DS138" s="105"/>
    </row>
    <row r="139" spans="1:123" ht="7.4" customHeight="1" x14ac:dyDescent="0.5">
      <c r="A139" s="42"/>
      <c r="B139" s="42"/>
      <c r="C139" s="311">
        <f>C135+1</f>
        <v>6</v>
      </c>
      <c r="D139" s="311"/>
      <c r="E139" s="41"/>
      <c r="F139" s="42"/>
      <c r="G139" s="319" t="str">
        <f>IF($AI$85="Included","AXE_CE_CF_"&amp;$AM$45,"AXE_CE_AP_"&amp;$AM$45)&amp;"_AL"</f>
        <v>AXE_CE_CF_30_AL</v>
      </c>
      <c r="H139" s="319"/>
      <c r="I139" s="319"/>
      <c r="J139" s="319"/>
      <c r="K139" s="319"/>
      <c r="L139" s="319"/>
      <c r="M139" s="319"/>
      <c r="N139" s="319"/>
      <c r="O139" s="319"/>
      <c r="P139" s="319"/>
      <c r="Q139" s="319"/>
      <c r="R139" s="320"/>
      <c r="S139" s="42"/>
      <c r="T139" s="405" t="str">
        <f>VLOOKUP(G139,PL!$B$9:$BH$1265,14,FALSE)</f>
        <v>End Clamp</v>
      </c>
      <c r="U139" s="405"/>
      <c r="V139" s="405"/>
      <c r="W139" s="405"/>
      <c r="X139" s="405"/>
      <c r="Y139" s="405"/>
      <c r="Z139" s="405"/>
      <c r="AA139" s="405"/>
      <c r="AB139" s="405"/>
      <c r="AC139" s="405"/>
      <c r="AD139" s="405"/>
      <c r="AE139" s="405"/>
      <c r="AF139" s="405"/>
      <c r="AG139" s="405"/>
      <c r="AH139" s="405"/>
      <c r="AI139" s="405"/>
      <c r="AJ139" s="411"/>
      <c r="AK139" s="42"/>
      <c r="AL139" s="311">
        <f>ROUND(SUM(BK139:DF139)*(1+$BF$91),0)</f>
        <v>41</v>
      </c>
      <c r="AM139" s="311"/>
      <c r="AN139" s="311"/>
      <c r="AO139" s="311"/>
      <c r="AP139" s="43"/>
      <c r="AQ139" s="128"/>
      <c r="AR139" s="308" t="str">
        <f>VLOOKUP(G139,PL!$B$9:$BH$818,52,FALSE)</f>
        <v>SOL-580301</v>
      </c>
      <c r="AS139" s="309"/>
      <c r="AT139" s="309"/>
      <c r="AU139" s="309"/>
      <c r="AV139" s="309"/>
      <c r="AW139" s="309"/>
      <c r="AX139" s="309"/>
      <c r="AY139" s="309"/>
      <c r="AZ139" s="309"/>
      <c r="BA139" s="309"/>
      <c r="BB139" s="309"/>
      <c r="BC139" s="309"/>
      <c r="BD139" s="309"/>
      <c r="BE139" s="309"/>
      <c r="BF139" s="309"/>
      <c r="BG139" s="309"/>
      <c r="BH139" s="124"/>
      <c r="BI139" s="41"/>
      <c r="BK139" s="412">
        <f>4*M54</f>
        <v>40</v>
      </c>
      <c r="BL139" s="413"/>
      <c r="BM139" s="414"/>
      <c r="BN139" s="412">
        <f>4*P54</f>
        <v>0</v>
      </c>
      <c r="BO139" s="413"/>
      <c r="BP139" s="414"/>
      <c r="BQ139" s="412">
        <f>4*S54</f>
        <v>0</v>
      </c>
      <c r="BR139" s="413"/>
      <c r="BS139" s="414"/>
      <c r="BT139" s="412">
        <f>4*V54</f>
        <v>0</v>
      </c>
      <c r="BU139" s="413"/>
      <c r="BV139" s="414"/>
      <c r="BW139" s="412">
        <f>4*Y54</f>
        <v>0</v>
      </c>
      <c r="BX139" s="413"/>
      <c r="BY139" s="414"/>
      <c r="BZ139" s="412">
        <f>4*AB54</f>
        <v>0</v>
      </c>
      <c r="CA139" s="413"/>
      <c r="CB139" s="414"/>
      <c r="CC139" s="412">
        <f>4*AE54</f>
        <v>0</v>
      </c>
      <c r="CD139" s="413"/>
      <c r="CE139" s="414"/>
      <c r="CF139" s="412">
        <f>4*AH54</f>
        <v>0</v>
      </c>
      <c r="CG139" s="413"/>
      <c r="CH139" s="414"/>
      <c r="CI139" s="412">
        <f>4*AK54</f>
        <v>0</v>
      </c>
      <c r="CJ139" s="413"/>
      <c r="CK139" s="414"/>
      <c r="CL139" s="412">
        <f>4*AN54</f>
        <v>0</v>
      </c>
      <c r="CM139" s="413"/>
      <c r="CN139" s="414"/>
      <c r="CO139" s="412">
        <f>4*AQ54</f>
        <v>0</v>
      </c>
      <c r="CP139" s="413"/>
      <c r="CQ139" s="414"/>
      <c r="CR139" s="412">
        <f>4*AT54</f>
        <v>0</v>
      </c>
      <c r="CS139" s="413"/>
      <c r="CT139" s="414"/>
      <c r="CU139" s="412">
        <f>4*AW54</f>
        <v>0</v>
      </c>
      <c r="CV139" s="413"/>
      <c r="CW139" s="414"/>
      <c r="CX139" s="412">
        <f>4*AZ54</f>
        <v>0</v>
      </c>
      <c r="CY139" s="413"/>
      <c r="CZ139" s="414"/>
      <c r="DA139" s="412">
        <f>4*BC54</f>
        <v>0</v>
      </c>
      <c r="DB139" s="413"/>
      <c r="DC139" s="414"/>
      <c r="DD139" s="412">
        <f>4*BF54</f>
        <v>0</v>
      </c>
      <c r="DE139" s="413"/>
      <c r="DF139" s="414"/>
      <c r="DH139" s="311"/>
      <c r="DI139" s="311"/>
      <c r="DJ139" s="311"/>
      <c r="DK139" s="311"/>
      <c r="DL139" s="321"/>
      <c r="DM139" s="321"/>
      <c r="DN139" s="321"/>
      <c r="DO139" s="321"/>
      <c r="DP139" s="321"/>
      <c r="DQ139" s="321"/>
      <c r="DR139" s="321"/>
      <c r="DS139" s="321"/>
    </row>
    <row r="140" spans="1:123" ht="7.4" customHeight="1" x14ac:dyDescent="0.5">
      <c r="A140" s="42"/>
      <c r="B140" s="42"/>
      <c r="C140" s="311"/>
      <c r="D140" s="311"/>
      <c r="E140" s="41"/>
      <c r="F140" s="42"/>
      <c r="G140" s="319"/>
      <c r="H140" s="319"/>
      <c r="I140" s="319"/>
      <c r="J140" s="319"/>
      <c r="K140" s="319"/>
      <c r="L140" s="319"/>
      <c r="M140" s="319"/>
      <c r="N140" s="319"/>
      <c r="O140" s="319"/>
      <c r="P140" s="319"/>
      <c r="Q140" s="319"/>
      <c r="R140" s="320"/>
      <c r="S140" s="42"/>
      <c r="T140" s="405"/>
      <c r="U140" s="405"/>
      <c r="V140" s="405"/>
      <c r="W140" s="405"/>
      <c r="X140" s="405"/>
      <c r="Y140" s="405"/>
      <c r="Z140" s="405"/>
      <c r="AA140" s="405"/>
      <c r="AB140" s="405"/>
      <c r="AC140" s="405"/>
      <c r="AD140" s="405"/>
      <c r="AE140" s="405"/>
      <c r="AF140" s="405"/>
      <c r="AG140" s="405"/>
      <c r="AH140" s="405"/>
      <c r="AI140" s="405"/>
      <c r="AJ140" s="411"/>
      <c r="AK140" s="42"/>
      <c r="AL140" s="311"/>
      <c r="AM140" s="311"/>
      <c r="AN140" s="311"/>
      <c r="AO140" s="311"/>
      <c r="AP140" s="43"/>
      <c r="AQ140" s="128"/>
      <c r="AR140" s="309"/>
      <c r="AS140" s="309"/>
      <c r="AT140" s="309"/>
      <c r="AU140" s="309"/>
      <c r="AV140" s="309"/>
      <c r="AW140" s="309"/>
      <c r="AX140" s="309"/>
      <c r="AY140" s="309"/>
      <c r="AZ140" s="309"/>
      <c r="BA140" s="309"/>
      <c r="BB140" s="309"/>
      <c r="BC140" s="309"/>
      <c r="BD140" s="309"/>
      <c r="BE140" s="309"/>
      <c r="BF140" s="309"/>
      <c r="BG140" s="309"/>
      <c r="BH140" s="124"/>
      <c r="BI140" s="41"/>
      <c r="BK140" s="412"/>
      <c r="BL140" s="413"/>
      <c r="BM140" s="414"/>
      <c r="BN140" s="412"/>
      <c r="BO140" s="413"/>
      <c r="BP140" s="414"/>
      <c r="BQ140" s="412"/>
      <c r="BR140" s="413"/>
      <c r="BS140" s="414"/>
      <c r="BT140" s="412"/>
      <c r="BU140" s="413"/>
      <c r="BV140" s="414"/>
      <c r="BW140" s="412"/>
      <c r="BX140" s="413"/>
      <c r="BY140" s="414"/>
      <c r="BZ140" s="412"/>
      <c r="CA140" s="413"/>
      <c r="CB140" s="414"/>
      <c r="CC140" s="412"/>
      <c r="CD140" s="413"/>
      <c r="CE140" s="414"/>
      <c r="CF140" s="412"/>
      <c r="CG140" s="413"/>
      <c r="CH140" s="414"/>
      <c r="CI140" s="412"/>
      <c r="CJ140" s="413"/>
      <c r="CK140" s="414"/>
      <c r="CL140" s="412"/>
      <c r="CM140" s="413"/>
      <c r="CN140" s="414"/>
      <c r="CO140" s="412"/>
      <c r="CP140" s="413"/>
      <c r="CQ140" s="414"/>
      <c r="CR140" s="412"/>
      <c r="CS140" s="413"/>
      <c r="CT140" s="414"/>
      <c r="CU140" s="412"/>
      <c r="CV140" s="413"/>
      <c r="CW140" s="414"/>
      <c r="CX140" s="412"/>
      <c r="CY140" s="413"/>
      <c r="CZ140" s="414"/>
      <c r="DA140" s="412"/>
      <c r="DB140" s="413"/>
      <c r="DC140" s="414"/>
      <c r="DD140" s="412"/>
      <c r="DE140" s="413"/>
      <c r="DF140" s="414"/>
      <c r="DH140" s="311"/>
      <c r="DI140" s="311"/>
      <c r="DJ140" s="311"/>
      <c r="DK140" s="311"/>
      <c r="DL140" s="321"/>
      <c r="DM140" s="321"/>
      <c r="DN140" s="321"/>
      <c r="DO140" s="321"/>
      <c r="DP140" s="321"/>
      <c r="DQ140" s="321"/>
      <c r="DR140" s="321"/>
      <c r="DS140" s="321"/>
    </row>
    <row r="141" spans="1:123" ht="7.4" customHeight="1" x14ac:dyDescent="0.5">
      <c r="A141" s="42"/>
      <c r="B141" s="42"/>
      <c r="C141" s="55"/>
      <c r="D141" s="55"/>
      <c r="E141" s="41"/>
      <c r="F141" s="42"/>
      <c r="G141" s="56"/>
      <c r="H141" s="56"/>
      <c r="I141" s="56"/>
      <c r="J141" s="56"/>
      <c r="K141" s="56"/>
      <c r="L141" s="56"/>
      <c r="M141" s="56"/>
      <c r="N141" s="56"/>
      <c r="O141" s="56"/>
      <c r="P141" s="56"/>
      <c r="Q141" s="56"/>
      <c r="R141" s="126"/>
      <c r="S141" s="42"/>
      <c r="T141" s="116" t="str">
        <f>VLOOKUP(G139,PL!$B$9:$BH$1265,33,FALSE)</f>
        <v>Aluminium, Click Fix, 30mm high</v>
      </c>
      <c r="AJ141" s="41"/>
      <c r="AK141" s="42"/>
      <c r="AL141" s="311"/>
      <c r="AM141" s="311"/>
      <c r="AN141" s="311"/>
      <c r="AO141" s="311"/>
      <c r="AP141" s="43"/>
      <c r="AQ141" s="42"/>
      <c r="AR141" s="131"/>
      <c r="AS141" s="131"/>
      <c r="AT141" s="131"/>
      <c r="AU141" s="131"/>
      <c r="AV141" s="131"/>
      <c r="AW141" s="131"/>
      <c r="AX141" s="105"/>
      <c r="AZ141" s="131"/>
      <c r="BA141" s="131"/>
      <c r="BB141" s="131"/>
      <c r="BC141" s="131"/>
      <c r="BD141" s="131"/>
      <c r="BE141" s="131"/>
      <c r="BF141" s="131"/>
      <c r="BG141" s="131"/>
      <c r="BH141" s="124"/>
      <c r="BI141" s="41"/>
      <c r="BK141" s="194"/>
      <c r="BL141" s="123"/>
      <c r="BM141" s="195"/>
      <c r="BN141" s="194"/>
      <c r="BO141" s="123"/>
      <c r="BP141" s="195"/>
      <c r="BQ141" s="194"/>
      <c r="BR141" s="123"/>
      <c r="BS141" s="195"/>
      <c r="BT141" s="194"/>
      <c r="BU141" s="123"/>
      <c r="BV141" s="195"/>
      <c r="BW141" s="194"/>
      <c r="BX141" s="123"/>
      <c r="BY141" s="195"/>
      <c r="BZ141" s="194"/>
      <c r="CA141" s="123"/>
      <c r="CB141" s="195"/>
      <c r="CC141" s="194"/>
      <c r="CD141" s="123"/>
      <c r="CE141" s="195"/>
      <c r="CF141" s="194"/>
      <c r="CG141" s="123"/>
      <c r="CH141" s="195"/>
      <c r="CI141" s="194"/>
      <c r="CJ141" s="123"/>
      <c r="CK141" s="195"/>
      <c r="CL141" s="194"/>
      <c r="CM141" s="123"/>
      <c r="CN141" s="195"/>
      <c r="CO141" s="194"/>
      <c r="CP141" s="123"/>
      <c r="CQ141" s="195"/>
      <c r="CR141" s="194"/>
      <c r="CS141" s="123"/>
      <c r="CT141" s="195"/>
      <c r="CU141" s="194"/>
      <c r="CV141" s="123"/>
      <c r="CW141" s="195"/>
      <c r="CX141" s="194"/>
      <c r="CY141" s="123"/>
      <c r="CZ141" s="195"/>
      <c r="DA141" s="194"/>
      <c r="DB141" s="123"/>
      <c r="DC141" s="195"/>
      <c r="DD141" s="194"/>
      <c r="DE141" s="123"/>
      <c r="DF141" s="195"/>
      <c r="DH141" s="311"/>
      <c r="DI141" s="311"/>
      <c r="DJ141" s="311"/>
      <c r="DK141" s="311"/>
      <c r="DL141" s="321"/>
      <c r="DM141" s="321"/>
      <c r="DN141" s="321"/>
      <c r="DO141" s="321"/>
      <c r="DP141" s="321"/>
      <c r="DQ141" s="321"/>
      <c r="DR141" s="321"/>
      <c r="DS141" s="321"/>
    </row>
    <row r="142" spans="1:123" ht="7.4" customHeight="1" x14ac:dyDescent="0.5">
      <c r="A142" s="42"/>
      <c r="B142" s="42"/>
      <c r="C142" s="55"/>
      <c r="D142" s="55"/>
      <c r="E142" s="41"/>
      <c r="F142" s="42"/>
      <c r="G142" s="56"/>
      <c r="H142" s="56"/>
      <c r="I142" s="56"/>
      <c r="J142" s="56"/>
      <c r="K142" s="56"/>
      <c r="L142" s="56"/>
      <c r="M142" s="56"/>
      <c r="N142" s="56"/>
      <c r="O142" s="56"/>
      <c r="P142" s="56"/>
      <c r="Q142" s="56"/>
      <c r="R142" s="126"/>
      <c r="S142" s="42"/>
      <c r="AJ142" s="41"/>
      <c r="AK142" s="42"/>
      <c r="AL142" s="311"/>
      <c r="AM142" s="311"/>
      <c r="AN142" s="311"/>
      <c r="AO142" s="311"/>
      <c r="AP142" s="43"/>
      <c r="AQ142" s="42"/>
      <c r="AR142" s="131"/>
      <c r="AS142" s="131"/>
      <c r="AT142" s="131"/>
      <c r="AU142" s="131"/>
      <c r="AV142" s="131"/>
      <c r="AW142" s="131"/>
      <c r="AX142" s="105"/>
      <c r="AZ142" s="131"/>
      <c r="BA142" s="131"/>
      <c r="BB142" s="131"/>
      <c r="BC142" s="131"/>
      <c r="BD142" s="131"/>
      <c r="BE142" s="131"/>
      <c r="BF142" s="131"/>
      <c r="BG142" s="131"/>
      <c r="BH142" s="124"/>
      <c r="BI142" s="41"/>
      <c r="BK142" s="194"/>
      <c r="BL142" s="123"/>
      <c r="BM142" s="195"/>
      <c r="BN142" s="194"/>
      <c r="BO142" s="123"/>
      <c r="BP142" s="195"/>
      <c r="BQ142" s="194"/>
      <c r="BR142" s="123"/>
      <c r="BS142" s="195"/>
      <c r="BT142" s="194"/>
      <c r="BU142" s="123"/>
      <c r="BV142" s="195"/>
      <c r="BW142" s="194"/>
      <c r="BX142" s="123"/>
      <c r="BY142" s="195"/>
      <c r="BZ142" s="194"/>
      <c r="CA142" s="123"/>
      <c r="CB142" s="195"/>
      <c r="CC142" s="194"/>
      <c r="CD142" s="123"/>
      <c r="CE142" s="195"/>
      <c r="CF142" s="194"/>
      <c r="CG142" s="123"/>
      <c r="CH142" s="195"/>
      <c r="CI142" s="194"/>
      <c r="CJ142" s="123"/>
      <c r="CK142" s="195"/>
      <c r="CL142" s="194"/>
      <c r="CM142" s="123"/>
      <c r="CN142" s="195"/>
      <c r="CO142" s="194"/>
      <c r="CP142" s="123"/>
      <c r="CQ142" s="195"/>
      <c r="CR142" s="194"/>
      <c r="CS142" s="123"/>
      <c r="CT142" s="195"/>
      <c r="CU142" s="194"/>
      <c r="CV142" s="123"/>
      <c r="CW142" s="195"/>
      <c r="CX142" s="194"/>
      <c r="CY142" s="123"/>
      <c r="CZ142" s="195"/>
      <c r="DA142" s="194"/>
      <c r="DB142" s="123"/>
      <c r="DC142" s="195"/>
      <c r="DD142" s="194"/>
      <c r="DE142" s="123"/>
      <c r="DF142" s="195"/>
      <c r="DL142" s="105"/>
      <c r="DM142" s="105"/>
      <c r="DN142" s="105"/>
      <c r="DO142" s="105"/>
      <c r="DP142" s="105"/>
      <c r="DQ142" s="105"/>
      <c r="DR142" s="105"/>
      <c r="DS142" s="105"/>
    </row>
    <row r="143" spans="1:123" ht="7.4" customHeight="1" x14ac:dyDescent="0.5">
      <c r="A143" s="42"/>
      <c r="B143" s="42"/>
      <c r="C143" s="311">
        <f>C139+1</f>
        <v>7</v>
      </c>
      <c r="D143" s="311"/>
      <c r="E143" s="41"/>
      <c r="F143" s="42"/>
      <c r="G143" s="319" t="str">
        <f>"AXE_BR_"&amp;IF($AO$35="Corrugated","COR_H",
IF(OR($AO$35="Corrugated (L-bracket)",$AO$35="IBR (L-bracket)"),"L_R",
IF(OR($AO$35="Corrugated (Rib Surface)",$AO$35="IBR (Rib Surface)"),"RS_H",
IF(OR($AO$35="Corrugated (Ridge)",$AO$35="IBR (Ridge)"),"RF_H",
IF($AO$35="IBR","IBR_H",
IF($AO$35="Craft-Lock","CL_H",
IF(OR($AO$35="Klip-Lok",$AO$35="ProLok",$AO$35="Saflok"),"FL_H",
IF($AO$35="Springlok","SL_H",
IF($AO$35="Novotexi","NT_H",
IF(OR($AO$35="Brownbuilt",$AO$35="Dimondek"),"GL_H",
IF(OR($AO$35="Brownbuilt (Pinch)",$AO$35="Dimondek (Pinch)"),"PF_H",
IF(OR($AO$35="Dimondek (Stand Rib)",$AO$35="Zip-Tek"),"SR_H","L_S"))))))))))))&amp;"_AL"</f>
        <v>AXE_BR_IBR_H_AL</v>
      </c>
      <c r="H143" s="319"/>
      <c r="I143" s="319"/>
      <c r="J143" s="319"/>
      <c r="K143" s="319"/>
      <c r="L143" s="319"/>
      <c r="M143" s="319"/>
      <c r="N143" s="319"/>
      <c r="O143" s="319"/>
      <c r="P143" s="319"/>
      <c r="Q143" s="319"/>
      <c r="R143" s="320"/>
      <c r="S143" s="42"/>
      <c r="T143" s="405" t="str">
        <f>VLOOKUP(G143,PL!$B$9:$BH$1265,14,FALSE)</f>
        <v xml:space="preserve">IBR Bracket </v>
      </c>
      <c r="U143" s="405"/>
      <c r="V143" s="405"/>
      <c r="W143" s="405"/>
      <c r="X143" s="405"/>
      <c r="Y143" s="405"/>
      <c r="Z143" s="405"/>
      <c r="AA143" s="405"/>
      <c r="AB143" s="405"/>
      <c r="AC143" s="405"/>
      <c r="AD143" s="405"/>
      <c r="AE143" s="405"/>
      <c r="AF143" s="405"/>
      <c r="AG143" s="405"/>
      <c r="AH143" s="405"/>
      <c r="AI143" s="405"/>
      <c r="AJ143" s="411"/>
      <c r="AK143" s="42"/>
      <c r="AL143" s="311">
        <f>ROUND(SUM(BK143:DF143)*(1+$BF$81),0)</f>
        <v>408</v>
      </c>
      <c r="AM143" s="311"/>
      <c r="AN143" s="311"/>
      <c r="AO143" s="311"/>
      <c r="AP143" s="43"/>
      <c r="AQ143" s="128"/>
      <c r="AR143" s="308" t="str">
        <f>VLOOKUP(G143,PL!$B$9:$BH$818,52,FALSE)</f>
        <v>SOL-59020</v>
      </c>
      <c r="AS143" s="309"/>
      <c r="AT143" s="309"/>
      <c r="AU143" s="309"/>
      <c r="AV143" s="309"/>
      <c r="AW143" s="309"/>
      <c r="AX143" s="309"/>
      <c r="AY143" s="309"/>
      <c r="AZ143" s="309"/>
      <c r="BA143" s="309"/>
      <c r="BB143" s="309"/>
      <c r="BC143" s="309"/>
      <c r="BD143" s="309"/>
      <c r="BE143" s="309"/>
      <c r="BF143" s="309"/>
      <c r="BG143" s="309"/>
      <c r="BH143" s="124"/>
      <c r="BI143" s="41"/>
      <c r="BK143" s="412">
        <f>(ROUNDUP(($AE$45*M58+20*(M58-1)+$N$85*2-2*$N$89)/$AX$35,0)+1)*2*M54</f>
        <v>400</v>
      </c>
      <c r="BL143" s="413"/>
      <c r="BM143" s="414"/>
      <c r="BN143" s="412">
        <f>(ROUNDUP(($AE$45*P58+20*(P58-1)+$N$85*2-2*$N$89)/$AX$35,0)+1)*2*P54</f>
        <v>0</v>
      </c>
      <c r="BO143" s="413"/>
      <c r="BP143" s="414"/>
      <c r="BQ143" s="412">
        <f>(ROUNDUP(($AE$45*S58+20*(S58-1)+$N$85*2-2*$N$89)/$AX$35,0)+1)*2*S54</f>
        <v>0</v>
      </c>
      <c r="BR143" s="413"/>
      <c r="BS143" s="414"/>
      <c r="BT143" s="412">
        <f>(ROUNDUP(($AE$45*V58+20*(V58-1)+$N$85*2-2*$N$89)/$AX$35,0)+1)*2*V54</f>
        <v>0</v>
      </c>
      <c r="BU143" s="413"/>
      <c r="BV143" s="414"/>
      <c r="BW143" s="412">
        <f>(ROUNDUP(($AE$45*Y58+20*(Y58-1)+$N$85*2-2*$N$89)/$AX$35,0)+1)*2*Y54</f>
        <v>0</v>
      </c>
      <c r="BX143" s="413"/>
      <c r="BY143" s="414"/>
      <c r="BZ143" s="412">
        <f>(ROUNDUP(($AE$45*AB58+20*(AB58-1)+$N$85*2-2*$N$89)/$AX$35,0)+1)*2*AB54</f>
        <v>0</v>
      </c>
      <c r="CA143" s="413"/>
      <c r="CB143" s="414"/>
      <c r="CC143" s="412">
        <f>(ROUNDUP(($AE$45*AE58+20*(AE58-1)+$N$85*2-2*$N$89)/$AX$35,0)+1)*2*AE54</f>
        <v>0</v>
      </c>
      <c r="CD143" s="413"/>
      <c r="CE143" s="414"/>
      <c r="CF143" s="412">
        <f>(ROUNDUP(($AE$45*AH58+20*(AH58-1)+$N$85*2-2*$N$89)/$AX$35,0)+1)*2*AH54</f>
        <v>0</v>
      </c>
      <c r="CG143" s="413"/>
      <c r="CH143" s="414"/>
      <c r="CI143" s="412">
        <f>(ROUNDUP(($AE$45*AK58+20*(AK58-1)+$N$85*2-2*$N$89)/$AX$35,0)+1)*2*AK54</f>
        <v>0</v>
      </c>
      <c r="CJ143" s="413"/>
      <c r="CK143" s="414"/>
      <c r="CL143" s="412">
        <f>(ROUNDUP(($AE$45*AN58+20*(AN58-1)+$N$85*2-2*$N$89)/$AX$35,0)+1)*2*AN54</f>
        <v>0</v>
      </c>
      <c r="CM143" s="413"/>
      <c r="CN143" s="414"/>
      <c r="CO143" s="412">
        <f>(ROUNDUP(($AE$45*AQ58+20*(AQ58-1)+$N$85*2-2*$N$89)/$AX$35,0)+1)*2*AQ54</f>
        <v>0</v>
      </c>
      <c r="CP143" s="413"/>
      <c r="CQ143" s="414"/>
      <c r="CR143" s="412">
        <f>(ROUNDUP(($AE$45*AT58+20*(AT58-1)+$N$85*2-2*$N$89)/$AX$35,0)+1)*2*AT54</f>
        <v>0</v>
      </c>
      <c r="CS143" s="413"/>
      <c r="CT143" s="414"/>
      <c r="CU143" s="412">
        <f>(ROUNDUP(($AE$45*AW58+20*(AW58-1)+$N$85*2-2*$N$89)/$AX$35,0)+1)*2*AW54</f>
        <v>0</v>
      </c>
      <c r="CV143" s="413"/>
      <c r="CW143" s="414"/>
      <c r="CX143" s="412">
        <f>(ROUNDUP(($AE$45*AZ58+20*(AZ58-1)+$N$85*2-2*$N$89)/$AX$35,0)+1)*2*AZ54</f>
        <v>0</v>
      </c>
      <c r="CY143" s="413"/>
      <c r="CZ143" s="414"/>
      <c r="DA143" s="412">
        <f>(ROUNDUP(($AE$45*BC58+20*(BC58-1)+$N$85*2-2*$N$89)/$AX$35,0)+1)*2*BC54</f>
        <v>0</v>
      </c>
      <c r="DB143" s="413"/>
      <c r="DC143" s="414"/>
      <c r="DD143" s="412">
        <f>(ROUNDUP(($AE$45*BF58+20*(BF58-1)+$N$85*2-2*$N$89)/$AX$35,0)+1)*2*BF54</f>
        <v>0</v>
      </c>
      <c r="DE143" s="413"/>
      <c r="DF143" s="414"/>
      <c r="DH143" s="311"/>
      <c r="DI143" s="311"/>
      <c r="DJ143" s="311"/>
      <c r="DK143" s="311"/>
      <c r="DL143" s="321"/>
      <c r="DM143" s="321"/>
      <c r="DN143" s="321"/>
      <c r="DO143" s="321"/>
      <c r="DP143" s="321"/>
      <c r="DQ143" s="321"/>
      <c r="DR143" s="321"/>
      <c r="DS143" s="321"/>
    </row>
    <row r="144" spans="1:123" ht="7.4" customHeight="1" x14ac:dyDescent="0.5">
      <c r="A144" s="42"/>
      <c r="B144" s="42"/>
      <c r="C144" s="311"/>
      <c r="D144" s="311"/>
      <c r="E144" s="41"/>
      <c r="F144" s="42"/>
      <c r="G144" s="319"/>
      <c r="H144" s="319"/>
      <c r="I144" s="319"/>
      <c r="J144" s="319"/>
      <c r="K144" s="319"/>
      <c r="L144" s="319"/>
      <c r="M144" s="319"/>
      <c r="N144" s="319"/>
      <c r="O144" s="319"/>
      <c r="P144" s="319"/>
      <c r="Q144" s="319"/>
      <c r="R144" s="320"/>
      <c r="S144" s="42"/>
      <c r="T144" s="405"/>
      <c r="U144" s="405"/>
      <c r="V144" s="405"/>
      <c r="W144" s="405"/>
      <c r="X144" s="405"/>
      <c r="Y144" s="405"/>
      <c r="Z144" s="405"/>
      <c r="AA144" s="405"/>
      <c r="AB144" s="405"/>
      <c r="AC144" s="405"/>
      <c r="AD144" s="405"/>
      <c r="AE144" s="405"/>
      <c r="AF144" s="405"/>
      <c r="AG144" s="405"/>
      <c r="AH144" s="405"/>
      <c r="AI144" s="405"/>
      <c r="AJ144" s="411"/>
      <c r="AK144" s="42"/>
      <c r="AL144" s="311"/>
      <c r="AM144" s="311"/>
      <c r="AN144" s="311"/>
      <c r="AO144" s="311"/>
      <c r="AP144" s="43"/>
      <c r="AQ144" s="128"/>
      <c r="AR144" s="309"/>
      <c r="AS144" s="309"/>
      <c r="AT144" s="309"/>
      <c r="AU144" s="309"/>
      <c r="AV144" s="309"/>
      <c r="AW144" s="309"/>
      <c r="AX144" s="309"/>
      <c r="AY144" s="309"/>
      <c r="AZ144" s="309"/>
      <c r="BA144" s="309"/>
      <c r="BB144" s="309"/>
      <c r="BC144" s="309"/>
      <c r="BD144" s="309"/>
      <c r="BE144" s="309"/>
      <c r="BF144" s="309"/>
      <c r="BG144" s="309"/>
      <c r="BH144" s="124"/>
      <c r="BI144" s="41"/>
      <c r="BK144" s="412"/>
      <c r="BL144" s="413"/>
      <c r="BM144" s="414"/>
      <c r="BN144" s="412"/>
      <c r="BO144" s="413"/>
      <c r="BP144" s="414"/>
      <c r="BQ144" s="412"/>
      <c r="BR144" s="413"/>
      <c r="BS144" s="414"/>
      <c r="BT144" s="412"/>
      <c r="BU144" s="413"/>
      <c r="BV144" s="414"/>
      <c r="BW144" s="412"/>
      <c r="BX144" s="413"/>
      <c r="BY144" s="414"/>
      <c r="BZ144" s="412"/>
      <c r="CA144" s="413"/>
      <c r="CB144" s="414"/>
      <c r="CC144" s="412"/>
      <c r="CD144" s="413"/>
      <c r="CE144" s="414"/>
      <c r="CF144" s="412"/>
      <c r="CG144" s="413"/>
      <c r="CH144" s="414"/>
      <c r="CI144" s="412"/>
      <c r="CJ144" s="413"/>
      <c r="CK144" s="414"/>
      <c r="CL144" s="412"/>
      <c r="CM144" s="413"/>
      <c r="CN144" s="414"/>
      <c r="CO144" s="412"/>
      <c r="CP144" s="413"/>
      <c r="CQ144" s="414"/>
      <c r="CR144" s="412"/>
      <c r="CS144" s="413"/>
      <c r="CT144" s="414"/>
      <c r="CU144" s="412"/>
      <c r="CV144" s="413"/>
      <c r="CW144" s="414"/>
      <c r="CX144" s="412"/>
      <c r="CY144" s="413"/>
      <c r="CZ144" s="414"/>
      <c r="DA144" s="412"/>
      <c r="DB144" s="413"/>
      <c r="DC144" s="414"/>
      <c r="DD144" s="412"/>
      <c r="DE144" s="413"/>
      <c r="DF144" s="414"/>
      <c r="DH144" s="311"/>
      <c r="DI144" s="311"/>
      <c r="DJ144" s="311"/>
      <c r="DK144" s="311"/>
      <c r="DL144" s="321"/>
      <c r="DM144" s="321"/>
      <c r="DN144" s="321"/>
      <c r="DO144" s="321"/>
      <c r="DP144" s="321"/>
      <c r="DQ144" s="321"/>
      <c r="DR144" s="321"/>
      <c r="DS144" s="321"/>
    </row>
    <row r="145" spans="1:123" ht="7.4" customHeight="1" x14ac:dyDescent="0.5">
      <c r="A145" s="42"/>
      <c r="B145" s="42"/>
      <c r="C145" s="333"/>
      <c r="D145" s="333"/>
      <c r="E145" s="41"/>
      <c r="F145" s="42"/>
      <c r="G145" s="56"/>
      <c r="H145" s="56"/>
      <c r="I145" s="56"/>
      <c r="J145" s="56"/>
      <c r="K145" s="56"/>
      <c r="L145" s="56"/>
      <c r="M145" s="56"/>
      <c r="N145" s="56"/>
      <c r="O145" s="56"/>
      <c r="P145" s="56"/>
      <c r="Q145" s="56"/>
      <c r="R145" s="126"/>
      <c r="S145" s="42"/>
      <c r="T145" s="116" t="str">
        <f>VLOOKUP(G143,PL!$B$9:$BH$1265,33,FALSE)</f>
        <v>Aluminium, Horizontal</v>
      </c>
      <c r="AJ145" s="41"/>
      <c r="AK145" s="42"/>
      <c r="AL145" s="311"/>
      <c r="AM145" s="311"/>
      <c r="AN145" s="311"/>
      <c r="AO145" s="311"/>
      <c r="AP145" s="43"/>
      <c r="AQ145" s="42"/>
      <c r="AR145" s="131"/>
      <c r="AS145" s="131"/>
      <c r="AT145" s="131"/>
      <c r="AU145" s="131"/>
      <c r="AV145" s="131"/>
      <c r="AW145" s="131"/>
      <c r="AX145" s="105"/>
      <c r="AY145" s="130"/>
      <c r="AZ145" s="131"/>
      <c r="BA145" s="131"/>
      <c r="BB145" s="131"/>
      <c r="BC145" s="131"/>
      <c r="BD145" s="131"/>
      <c r="BE145" s="131"/>
      <c r="BF145" s="131"/>
      <c r="BG145" s="131"/>
      <c r="BH145" s="124"/>
      <c r="BI145" s="41"/>
      <c r="BK145" s="194"/>
      <c r="BL145" s="123"/>
      <c r="BM145" s="195"/>
      <c r="BN145" s="194"/>
      <c r="BO145" s="123"/>
      <c r="BP145" s="195"/>
      <c r="BQ145" s="194"/>
      <c r="BR145" s="123"/>
      <c r="BS145" s="195"/>
      <c r="BT145" s="194"/>
      <c r="BU145" s="123"/>
      <c r="BV145" s="195"/>
      <c r="BW145" s="194"/>
      <c r="BX145" s="123"/>
      <c r="BY145" s="195"/>
      <c r="BZ145" s="194"/>
      <c r="CA145" s="123"/>
      <c r="CB145" s="195"/>
      <c r="CC145" s="194"/>
      <c r="CD145" s="123"/>
      <c r="CE145" s="195"/>
      <c r="CF145" s="194"/>
      <c r="CG145" s="123"/>
      <c r="CH145" s="195"/>
      <c r="CI145" s="194"/>
      <c r="CJ145" s="123"/>
      <c r="CK145" s="195"/>
      <c r="CL145" s="194"/>
      <c r="CM145" s="123"/>
      <c r="CN145" s="195"/>
      <c r="CO145" s="194"/>
      <c r="CP145" s="123"/>
      <c r="CQ145" s="195"/>
      <c r="CR145" s="194"/>
      <c r="CS145" s="123"/>
      <c r="CT145" s="195"/>
      <c r="CU145" s="194"/>
      <c r="CV145" s="123"/>
      <c r="CW145" s="195"/>
      <c r="CX145" s="194"/>
      <c r="CY145" s="123"/>
      <c r="CZ145" s="195"/>
      <c r="DA145" s="194"/>
      <c r="DB145" s="123"/>
      <c r="DC145" s="195"/>
      <c r="DD145" s="194"/>
      <c r="DE145" s="123"/>
      <c r="DF145" s="195"/>
      <c r="DH145" s="311"/>
      <c r="DI145" s="311"/>
      <c r="DJ145" s="311"/>
      <c r="DK145" s="311"/>
      <c r="DL145" s="321"/>
      <c r="DM145" s="321"/>
      <c r="DN145" s="321"/>
      <c r="DO145" s="321"/>
      <c r="DP145" s="321"/>
      <c r="DQ145" s="321"/>
      <c r="DR145" s="321"/>
      <c r="DS145" s="321"/>
    </row>
    <row r="146" spans="1:123" ht="7.4" customHeight="1" x14ac:dyDescent="0.5">
      <c r="A146" s="42"/>
      <c r="B146" s="42"/>
      <c r="C146" s="55"/>
      <c r="D146" s="55"/>
      <c r="E146" s="41"/>
      <c r="F146" s="42"/>
      <c r="G146" s="56"/>
      <c r="H146" s="56"/>
      <c r="I146" s="56"/>
      <c r="J146" s="56"/>
      <c r="K146" s="56"/>
      <c r="L146" s="56"/>
      <c r="M146" s="56"/>
      <c r="N146" s="56"/>
      <c r="O146" s="56"/>
      <c r="P146" s="56"/>
      <c r="Q146" s="56"/>
      <c r="R146" s="126"/>
      <c r="S146" s="42"/>
      <c r="AJ146" s="41"/>
      <c r="AK146" s="42"/>
      <c r="AL146" s="311"/>
      <c r="AM146" s="311"/>
      <c r="AN146" s="311"/>
      <c r="AO146" s="311"/>
      <c r="AP146" s="43"/>
      <c r="AQ146" s="42"/>
      <c r="AR146" s="131"/>
      <c r="AS146" s="131"/>
      <c r="AT146" s="131"/>
      <c r="AU146" s="131"/>
      <c r="AV146" s="131"/>
      <c r="AW146" s="131"/>
      <c r="AX146" s="105"/>
      <c r="AZ146" s="131"/>
      <c r="BA146" s="131"/>
      <c r="BB146" s="131"/>
      <c r="BC146" s="131"/>
      <c r="BD146" s="131"/>
      <c r="BE146" s="131"/>
      <c r="BF146" s="131"/>
      <c r="BG146" s="131"/>
      <c r="BH146" s="124"/>
      <c r="BI146" s="41"/>
      <c r="BK146" s="194"/>
      <c r="BL146" s="123"/>
      <c r="BM146" s="195"/>
      <c r="BN146" s="194"/>
      <c r="BO146" s="123"/>
      <c r="BP146" s="195"/>
      <c r="BQ146" s="194"/>
      <c r="BR146" s="123"/>
      <c r="BS146" s="195"/>
      <c r="BT146" s="194"/>
      <c r="BU146" s="123"/>
      <c r="BV146" s="195"/>
      <c r="BW146" s="194"/>
      <c r="BX146" s="123"/>
      <c r="BY146" s="195"/>
      <c r="BZ146" s="194"/>
      <c r="CA146" s="123"/>
      <c r="CB146" s="195"/>
      <c r="CC146" s="194"/>
      <c r="CD146" s="123"/>
      <c r="CE146" s="195"/>
      <c r="CF146" s="194"/>
      <c r="CG146" s="123"/>
      <c r="CH146" s="195"/>
      <c r="CI146" s="194"/>
      <c r="CJ146" s="123"/>
      <c r="CK146" s="195"/>
      <c r="CL146" s="194"/>
      <c r="CM146" s="123"/>
      <c r="CN146" s="195"/>
      <c r="CO146" s="194"/>
      <c r="CP146" s="123"/>
      <c r="CQ146" s="195"/>
      <c r="CR146" s="194"/>
      <c r="CS146" s="123"/>
      <c r="CT146" s="195"/>
      <c r="CU146" s="194"/>
      <c r="CV146" s="123"/>
      <c r="CW146" s="195"/>
      <c r="CX146" s="194"/>
      <c r="CY146" s="123"/>
      <c r="CZ146" s="195"/>
      <c r="DA146" s="194"/>
      <c r="DB146" s="123"/>
      <c r="DC146" s="195"/>
      <c r="DD146" s="194"/>
      <c r="DE146" s="123"/>
      <c r="DF146" s="195"/>
      <c r="DL146" s="105"/>
      <c r="DM146" s="105"/>
      <c r="DN146" s="105"/>
      <c r="DO146" s="105"/>
      <c r="DP146" s="105"/>
      <c r="DQ146" s="105"/>
      <c r="DR146" s="105"/>
      <c r="DS146" s="105"/>
    </row>
    <row r="147" spans="1:123" ht="7.4" customHeight="1" x14ac:dyDescent="0.5">
      <c r="A147" s="42"/>
      <c r="B147" s="42"/>
      <c r="C147" s="311">
        <f>C143+1</f>
        <v>8</v>
      </c>
      <c r="D147" s="311"/>
      <c r="E147" s="41"/>
      <c r="F147" s="42"/>
      <c r="G147" s="319" t="str">
        <f>IF(AL147=0,"N/A","AXE_BR_L_S"&amp;"_AL")</f>
        <v>AXE_BR_L_S_AL</v>
      </c>
      <c r="H147" s="319"/>
      <c r="I147" s="319"/>
      <c r="J147" s="319"/>
      <c r="K147" s="319"/>
      <c r="L147" s="319"/>
      <c r="M147" s="319"/>
      <c r="N147" s="319"/>
      <c r="O147" s="319"/>
      <c r="P147" s="319"/>
      <c r="Q147" s="319"/>
      <c r="R147" s="320"/>
      <c r="S147" s="42"/>
      <c r="T147" s="405" t="str">
        <f>VLOOKUP(G147,PL!$B$9:$BH$1265,14,FALSE)</f>
        <v>L Bracket</v>
      </c>
      <c r="U147" s="405"/>
      <c r="V147" s="405"/>
      <c r="W147" s="405"/>
      <c r="X147" s="405"/>
      <c r="Y147" s="405"/>
      <c r="Z147" s="405"/>
      <c r="AA147" s="405"/>
      <c r="AB147" s="405"/>
      <c r="AC147" s="405"/>
      <c r="AD147" s="405"/>
      <c r="AE147" s="405"/>
      <c r="AF147" s="405"/>
      <c r="AG147" s="405"/>
      <c r="AH147" s="405"/>
      <c r="AI147" s="405"/>
      <c r="AJ147" s="411"/>
      <c r="AK147" s="42"/>
      <c r="AL147" s="311">
        <f>ROUND(SUM(BK147:DF147)*(1+$BF$81),0)</f>
        <v>408</v>
      </c>
      <c r="AM147" s="311"/>
      <c r="AN147" s="311"/>
      <c r="AO147" s="311"/>
      <c r="AP147" s="43"/>
      <c r="AQ147" s="128"/>
      <c r="AR147" s="308" t="str">
        <f>VLOOKUP(G147,PL!$B$9:$BH$818,52,FALSE)</f>
        <v>SOL-5808</v>
      </c>
      <c r="AS147" s="309"/>
      <c r="AT147" s="309"/>
      <c r="AU147" s="309"/>
      <c r="AV147" s="309"/>
      <c r="AW147" s="309"/>
      <c r="AX147" s="309"/>
      <c r="AY147" s="309"/>
      <c r="AZ147" s="309"/>
      <c r="BA147" s="309"/>
      <c r="BB147" s="309"/>
      <c r="BC147" s="309"/>
      <c r="BD147" s="309"/>
      <c r="BE147" s="309"/>
      <c r="BF147" s="309"/>
      <c r="BG147" s="309"/>
      <c r="BH147" s="124"/>
      <c r="BI147" s="41"/>
      <c r="BK147" s="412">
        <f>IF(MID($G$143,8,1)="L",0,BK143)</f>
        <v>400</v>
      </c>
      <c r="BL147" s="413"/>
      <c r="BM147" s="414"/>
      <c r="BN147" s="412">
        <f t="shared" ref="BN147" si="8">IF(MID($G$143,8,1)="L",0,BN143)</f>
        <v>0</v>
      </c>
      <c r="BO147" s="413"/>
      <c r="BP147" s="414"/>
      <c r="BQ147" s="412">
        <f t="shared" ref="BQ147" si="9">IF(MID($G$143,8,1)="L",0,BQ143)</f>
        <v>0</v>
      </c>
      <c r="BR147" s="413"/>
      <c r="BS147" s="414"/>
      <c r="BT147" s="412">
        <f t="shared" ref="BT147" si="10">IF(MID($G$143,8,1)="L",0,BT143)</f>
        <v>0</v>
      </c>
      <c r="BU147" s="413"/>
      <c r="BV147" s="414"/>
      <c r="BW147" s="412">
        <f t="shared" ref="BW147" si="11">IF(MID($G$143,8,1)="L",0,BW143)</f>
        <v>0</v>
      </c>
      <c r="BX147" s="413"/>
      <c r="BY147" s="414"/>
      <c r="BZ147" s="412">
        <f t="shared" ref="BZ147" si="12">IF(MID($G$143,8,1)="L",0,BZ143)</f>
        <v>0</v>
      </c>
      <c r="CA147" s="413"/>
      <c r="CB147" s="414"/>
      <c r="CC147" s="412">
        <f t="shared" ref="CC147" si="13">IF(MID($G$143,8,1)="L",0,CC143)</f>
        <v>0</v>
      </c>
      <c r="CD147" s="413"/>
      <c r="CE147" s="414"/>
      <c r="CF147" s="412">
        <f t="shared" ref="CF147" si="14">IF(MID($G$143,8,1)="L",0,CF143)</f>
        <v>0</v>
      </c>
      <c r="CG147" s="413"/>
      <c r="CH147" s="414"/>
      <c r="CI147" s="412">
        <f t="shared" ref="CI147" si="15">IF(MID($G$143,8,1)="L",0,CI143)</f>
        <v>0</v>
      </c>
      <c r="CJ147" s="413"/>
      <c r="CK147" s="414"/>
      <c r="CL147" s="412">
        <f t="shared" ref="CL147" si="16">IF(MID($G$143,8,1)="L",0,CL143)</f>
        <v>0</v>
      </c>
      <c r="CM147" s="413"/>
      <c r="CN147" s="414"/>
      <c r="CO147" s="412">
        <f t="shared" ref="CO147" si="17">IF(MID($G$143,8,1)="L",0,CO143)</f>
        <v>0</v>
      </c>
      <c r="CP147" s="413"/>
      <c r="CQ147" s="414"/>
      <c r="CR147" s="412">
        <f t="shared" ref="CR147" si="18">IF(MID($G$143,8,1)="L",0,CR143)</f>
        <v>0</v>
      </c>
      <c r="CS147" s="413"/>
      <c r="CT147" s="414"/>
      <c r="CU147" s="412">
        <f t="shared" ref="CU147" si="19">IF(MID($G$143,8,1)="L",0,CU143)</f>
        <v>0</v>
      </c>
      <c r="CV147" s="413"/>
      <c r="CW147" s="414"/>
      <c r="CX147" s="412">
        <f t="shared" ref="CX147" si="20">IF(MID($G$143,8,1)="L",0,CX143)</f>
        <v>0</v>
      </c>
      <c r="CY147" s="413"/>
      <c r="CZ147" s="414"/>
      <c r="DA147" s="412">
        <f t="shared" ref="DA147" si="21">IF(MID($G$143,8,1)="L",0,DA143)</f>
        <v>0</v>
      </c>
      <c r="DB147" s="413"/>
      <c r="DC147" s="414"/>
      <c r="DD147" s="412">
        <f t="shared" ref="DD147" si="22">IF(MID($G$143,8,1)="L",0,DD143)</f>
        <v>0</v>
      </c>
      <c r="DE147" s="413"/>
      <c r="DF147" s="414"/>
      <c r="DH147" s="311"/>
      <c r="DI147" s="311"/>
      <c r="DJ147" s="311"/>
      <c r="DK147" s="311"/>
      <c r="DL147" s="321"/>
      <c r="DM147" s="321"/>
      <c r="DN147" s="321"/>
      <c r="DO147" s="321"/>
      <c r="DP147" s="321"/>
      <c r="DQ147" s="321"/>
      <c r="DR147" s="321"/>
      <c r="DS147" s="321"/>
    </row>
    <row r="148" spans="1:123" ht="7.4" customHeight="1" x14ac:dyDescent="0.5">
      <c r="A148" s="42"/>
      <c r="B148" s="42"/>
      <c r="C148" s="311"/>
      <c r="D148" s="311"/>
      <c r="E148" s="41"/>
      <c r="F148" s="42"/>
      <c r="G148" s="319"/>
      <c r="H148" s="319"/>
      <c r="I148" s="319"/>
      <c r="J148" s="319"/>
      <c r="K148" s="319"/>
      <c r="L148" s="319"/>
      <c r="M148" s="319"/>
      <c r="N148" s="319"/>
      <c r="O148" s="319"/>
      <c r="P148" s="319"/>
      <c r="Q148" s="319"/>
      <c r="R148" s="320"/>
      <c r="S148" s="42"/>
      <c r="T148" s="405"/>
      <c r="U148" s="405"/>
      <c r="V148" s="405"/>
      <c r="W148" s="405"/>
      <c r="X148" s="405"/>
      <c r="Y148" s="405"/>
      <c r="Z148" s="405"/>
      <c r="AA148" s="405"/>
      <c r="AB148" s="405"/>
      <c r="AC148" s="405"/>
      <c r="AD148" s="405"/>
      <c r="AE148" s="405"/>
      <c r="AF148" s="405"/>
      <c r="AG148" s="405"/>
      <c r="AH148" s="405"/>
      <c r="AI148" s="405"/>
      <c r="AJ148" s="411"/>
      <c r="AK148" s="42"/>
      <c r="AL148" s="311"/>
      <c r="AM148" s="311"/>
      <c r="AN148" s="311"/>
      <c r="AO148" s="311"/>
      <c r="AP148" s="43"/>
      <c r="AQ148" s="128"/>
      <c r="AR148" s="309"/>
      <c r="AS148" s="309"/>
      <c r="AT148" s="309"/>
      <c r="AU148" s="309"/>
      <c r="AV148" s="309"/>
      <c r="AW148" s="309"/>
      <c r="AX148" s="309"/>
      <c r="AY148" s="309"/>
      <c r="AZ148" s="309"/>
      <c r="BA148" s="309"/>
      <c r="BB148" s="309"/>
      <c r="BC148" s="309"/>
      <c r="BD148" s="309"/>
      <c r="BE148" s="309"/>
      <c r="BF148" s="309"/>
      <c r="BG148" s="309"/>
      <c r="BH148" s="124"/>
      <c r="BI148" s="41"/>
      <c r="BK148" s="412"/>
      <c r="BL148" s="413"/>
      <c r="BM148" s="414"/>
      <c r="BN148" s="412"/>
      <c r="BO148" s="413"/>
      <c r="BP148" s="414"/>
      <c r="BQ148" s="412"/>
      <c r="BR148" s="413"/>
      <c r="BS148" s="414"/>
      <c r="BT148" s="412"/>
      <c r="BU148" s="413"/>
      <c r="BV148" s="414"/>
      <c r="BW148" s="412"/>
      <c r="BX148" s="413"/>
      <c r="BY148" s="414"/>
      <c r="BZ148" s="412"/>
      <c r="CA148" s="413"/>
      <c r="CB148" s="414"/>
      <c r="CC148" s="412"/>
      <c r="CD148" s="413"/>
      <c r="CE148" s="414"/>
      <c r="CF148" s="412"/>
      <c r="CG148" s="413"/>
      <c r="CH148" s="414"/>
      <c r="CI148" s="412"/>
      <c r="CJ148" s="413"/>
      <c r="CK148" s="414"/>
      <c r="CL148" s="412"/>
      <c r="CM148" s="413"/>
      <c r="CN148" s="414"/>
      <c r="CO148" s="412"/>
      <c r="CP148" s="413"/>
      <c r="CQ148" s="414"/>
      <c r="CR148" s="412"/>
      <c r="CS148" s="413"/>
      <c r="CT148" s="414"/>
      <c r="CU148" s="412"/>
      <c r="CV148" s="413"/>
      <c r="CW148" s="414"/>
      <c r="CX148" s="412"/>
      <c r="CY148" s="413"/>
      <c r="CZ148" s="414"/>
      <c r="DA148" s="412"/>
      <c r="DB148" s="413"/>
      <c r="DC148" s="414"/>
      <c r="DD148" s="412"/>
      <c r="DE148" s="413"/>
      <c r="DF148" s="414"/>
      <c r="DH148" s="311"/>
      <c r="DI148" s="311"/>
      <c r="DJ148" s="311"/>
      <c r="DK148" s="311"/>
      <c r="DL148" s="321"/>
      <c r="DM148" s="321"/>
      <c r="DN148" s="321"/>
      <c r="DO148" s="321"/>
      <c r="DP148" s="321"/>
      <c r="DQ148" s="321"/>
      <c r="DR148" s="321"/>
      <c r="DS148" s="321"/>
    </row>
    <row r="149" spans="1:123" ht="7.4" customHeight="1" x14ac:dyDescent="0.5">
      <c r="A149" s="42"/>
      <c r="B149" s="42"/>
      <c r="C149" s="333"/>
      <c r="D149" s="333"/>
      <c r="E149" s="41"/>
      <c r="F149" s="42"/>
      <c r="G149" s="56"/>
      <c r="H149" s="56"/>
      <c r="I149" s="56"/>
      <c r="J149" s="56"/>
      <c r="K149" s="56"/>
      <c r="L149" s="56"/>
      <c r="M149" s="56"/>
      <c r="N149" s="56"/>
      <c r="O149" s="56"/>
      <c r="P149" s="56"/>
      <c r="Q149" s="56"/>
      <c r="R149" s="126"/>
      <c r="S149" s="42"/>
      <c r="T149" s="116" t="str">
        <f>VLOOKUP(G147,PL!$B$9:$BH$1265,33,FALSE)</f>
        <v>Aluminium, Slotted</v>
      </c>
      <c r="AJ149" s="41"/>
      <c r="AK149" s="42"/>
      <c r="AL149" s="311"/>
      <c r="AM149" s="311"/>
      <c r="AN149" s="311"/>
      <c r="AO149" s="311"/>
      <c r="AP149" s="43"/>
      <c r="AQ149" s="42"/>
      <c r="AR149" s="272"/>
      <c r="AS149" s="272"/>
      <c r="AT149" s="272"/>
      <c r="AU149" s="272"/>
      <c r="AV149" s="272"/>
      <c r="AW149" s="272"/>
      <c r="AX149" s="105"/>
      <c r="AY149" s="79"/>
      <c r="AZ149" s="131"/>
      <c r="BA149" s="131"/>
      <c r="BB149" s="131"/>
      <c r="BC149" s="131"/>
      <c r="BD149" s="131"/>
      <c r="BE149" s="131"/>
      <c r="BF149" s="131"/>
      <c r="BG149" s="131"/>
      <c r="BH149" s="124"/>
      <c r="BI149" s="41"/>
      <c r="BK149" s="194"/>
      <c r="BL149" s="123"/>
      <c r="BM149" s="195"/>
      <c r="BN149" s="194"/>
      <c r="BO149" s="123"/>
      <c r="BP149" s="195"/>
      <c r="BQ149" s="194"/>
      <c r="BR149" s="123"/>
      <c r="BS149" s="195"/>
      <c r="BT149" s="194"/>
      <c r="BU149" s="123"/>
      <c r="BV149" s="195"/>
      <c r="BW149" s="194"/>
      <c r="BX149" s="123"/>
      <c r="BY149" s="195"/>
      <c r="BZ149" s="194"/>
      <c r="CA149" s="123"/>
      <c r="CB149" s="195"/>
      <c r="CC149" s="194"/>
      <c r="CD149" s="123"/>
      <c r="CE149" s="195"/>
      <c r="CF149" s="194"/>
      <c r="CG149" s="123"/>
      <c r="CH149" s="195"/>
      <c r="CI149" s="194"/>
      <c r="CJ149" s="123"/>
      <c r="CK149" s="195"/>
      <c r="CL149" s="194"/>
      <c r="CM149" s="123"/>
      <c r="CN149" s="195"/>
      <c r="CO149" s="194"/>
      <c r="CP149" s="123"/>
      <c r="CQ149" s="195"/>
      <c r="CR149" s="194"/>
      <c r="CS149" s="123"/>
      <c r="CT149" s="195"/>
      <c r="CU149" s="194"/>
      <c r="CV149" s="123"/>
      <c r="CW149" s="195"/>
      <c r="CX149" s="194"/>
      <c r="CY149" s="123"/>
      <c r="CZ149" s="195"/>
      <c r="DA149" s="194"/>
      <c r="DB149" s="123"/>
      <c r="DC149" s="195"/>
      <c r="DD149" s="194"/>
      <c r="DE149" s="123"/>
      <c r="DF149" s="195"/>
      <c r="DH149" s="311"/>
      <c r="DI149" s="311"/>
      <c r="DJ149" s="311"/>
      <c r="DK149" s="311"/>
      <c r="DL149" s="321"/>
      <c r="DM149" s="321"/>
      <c r="DN149" s="321"/>
      <c r="DO149" s="321"/>
      <c r="DP149" s="321"/>
      <c r="DQ149" s="321"/>
      <c r="DR149" s="321"/>
      <c r="DS149" s="321"/>
    </row>
    <row r="150" spans="1:123" ht="7.4" customHeight="1" x14ac:dyDescent="0.5">
      <c r="A150" s="42"/>
      <c r="B150" s="42"/>
      <c r="E150" s="41"/>
      <c r="F150" s="42"/>
      <c r="G150" s="56"/>
      <c r="H150" s="56"/>
      <c r="I150" s="56"/>
      <c r="J150" s="56"/>
      <c r="K150" s="56"/>
      <c r="L150" s="56"/>
      <c r="M150" s="56"/>
      <c r="N150" s="56"/>
      <c r="O150" s="56"/>
      <c r="P150" s="56"/>
      <c r="Q150" s="56"/>
      <c r="R150" s="126"/>
      <c r="S150" s="42"/>
      <c r="AF150" s="49"/>
      <c r="AG150" s="49"/>
      <c r="AH150" s="49"/>
      <c r="AJ150" s="41"/>
      <c r="AK150" s="42"/>
      <c r="AQ150" s="42"/>
      <c r="AR150" s="273"/>
      <c r="AS150" s="273"/>
      <c r="AT150" s="273"/>
      <c r="AU150" s="273"/>
      <c r="AV150" s="273"/>
      <c r="AW150" s="273"/>
      <c r="AZ150" s="131"/>
      <c r="BA150" s="131"/>
      <c r="BB150" s="131"/>
      <c r="BC150" s="131"/>
      <c r="BD150" s="131"/>
      <c r="BE150" s="131"/>
      <c r="BF150" s="131"/>
      <c r="BH150" s="124"/>
      <c r="BI150" s="41"/>
      <c r="BK150" s="194"/>
      <c r="BL150" s="123"/>
      <c r="BM150" s="195"/>
      <c r="BN150" s="194"/>
      <c r="BO150" s="123"/>
      <c r="BP150" s="195"/>
      <c r="BQ150" s="194"/>
      <c r="BR150" s="123"/>
      <c r="BS150" s="195"/>
      <c r="BT150" s="194"/>
      <c r="BU150" s="123"/>
      <c r="BV150" s="195"/>
      <c r="BW150" s="194"/>
      <c r="BX150" s="123"/>
      <c r="BY150" s="195"/>
      <c r="BZ150" s="194"/>
      <c r="CA150" s="123"/>
      <c r="CB150" s="195"/>
      <c r="CC150" s="194"/>
      <c r="CD150" s="123"/>
      <c r="CE150" s="195"/>
      <c r="CF150" s="194"/>
      <c r="CG150" s="123"/>
      <c r="CH150" s="195"/>
      <c r="CI150" s="194"/>
      <c r="CJ150" s="123"/>
      <c r="CK150" s="195"/>
      <c r="CL150" s="194"/>
      <c r="CM150" s="123"/>
      <c r="CN150" s="195"/>
      <c r="CO150" s="194"/>
      <c r="CP150" s="123"/>
      <c r="CQ150" s="195"/>
      <c r="CR150" s="194"/>
      <c r="CS150" s="123"/>
      <c r="CT150" s="195"/>
      <c r="CU150" s="194"/>
      <c r="CV150" s="123"/>
      <c r="CW150" s="195"/>
      <c r="CX150" s="194"/>
      <c r="CY150" s="123"/>
      <c r="CZ150" s="195"/>
      <c r="DA150" s="194"/>
      <c r="DB150" s="123"/>
      <c r="DC150" s="195"/>
      <c r="DD150" s="194"/>
      <c r="DE150" s="123"/>
      <c r="DF150" s="195"/>
      <c r="DL150" s="105"/>
      <c r="DM150" s="105"/>
      <c r="DN150" s="105"/>
      <c r="DO150" s="105"/>
      <c r="DP150" s="105"/>
      <c r="DQ150" s="105"/>
      <c r="DR150" s="105"/>
      <c r="DS150" s="105"/>
    </row>
    <row r="151" spans="1:123" ht="7.4" customHeight="1" x14ac:dyDescent="0.5">
      <c r="A151" s="42"/>
      <c r="B151" s="42"/>
      <c r="C151" s="311">
        <f>C147+1</f>
        <v>9</v>
      </c>
      <c r="D151" s="311"/>
      <c r="E151" s="41"/>
      <c r="F151" s="42"/>
      <c r="G151" s="319" t="str">
        <f>IF(AL151=0,"N/A",IF($N$93="Cables","AXE_RW_L_5_SS",IF($N$93="Gripple","AXE_RW_G_6_"&amp;AF151*1000&amp;"_8_SH","AXE_L_AE_40_40_3_AL")))</f>
        <v>AXE_L_AE_40_40_3_AL</v>
      </c>
      <c r="H151" s="319"/>
      <c r="I151" s="319"/>
      <c r="J151" s="319"/>
      <c r="K151" s="319"/>
      <c r="L151" s="319"/>
      <c r="M151" s="319"/>
      <c r="N151" s="319"/>
      <c r="O151" s="319"/>
      <c r="P151" s="319"/>
      <c r="Q151" s="319"/>
      <c r="R151" s="320"/>
      <c r="S151" s="42"/>
      <c r="T151" s="405" t="str">
        <f>VLOOKUP(G151,PL!$B$9:$BH$1265,14,FALSE)</f>
        <v>Equal Angle</v>
      </c>
      <c r="U151" s="405"/>
      <c r="V151" s="405"/>
      <c r="W151" s="405"/>
      <c r="X151" s="405"/>
      <c r="Y151" s="405"/>
      <c r="Z151" s="405"/>
      <c r="AA151" s="405"/>
      <c r="AB151" s="405"/>
      <c r="AC151" s="405"/>
      <c r="AD151" s="405"/>
      <c r="AE151" s="444" t="s">
        <v>149</v>
      </c>
      <c r="AF151" s="316">
        <f>IF(AL151=0,0,IF($N$93="Angles",2,2.5))</f>
        <v>2</v>
      </c>
      <c r="AG151" s="316"/>
      <c r="AH151" s="316"/>
      <c r="AI151" s="405" t="s">
        <v>150</v>
      </c>
      <c r="AJ151" s="411"/>
      <c r="AK151" s="42"/>
      <c r="AL151" s="311">
        <f>ROUND(SUM(BK151:DF151),0)</f>
        <v>80</v>
      </c>
      <c r="AM151" s="311"/>
      <c r="AN151" s="311"/>
      <c r="AO151" s="311"/>
      <c r="AP151" s="108"/>
      <c r="AQ151" s="128"/>
      <c r="AR151" s="308" t="str">
        <f>VLOOKUP(G151,PL!$B$9:$BH$828,52,FALSE)</f>
        <v>SOL-5955</v>
      </c>
      <c r="AS151" s="309"/>
      <c r="AT151" s="309"/>
      <c r="AU151" s="309"/>
      <c r="AV151" s="309"/>
      <c r="AW151" s="309"/>
      <c r="AX151" s="309"/>
      <c r="AY151" s="309"/>
      <c r="AZ151" s="309"/>
      <c r="BA151" s="309"/>
      <c r="BB151" s="309"/>
      <c r="BC151" s="309"/>
      <c r="BD151" s="309"/>
      <c r="BE151" s="309"/>
      <c r="BF151" s="309"/>
      <c r="BG151" s="309"/>
      <c r="BH151" s="124"/>
      <c r="BI151" s="41"/>
      <c r="BJ151" s="49"/>
      <c r="BK151" s="412">
        <f>IF($N$93="Not Included",0,(IF(M62&gt;10,M54*4,IF(M62&gt;6,M54*3,IF(M62&gt;4,M54*2,M54))))*2)</f>
        <v>80</v>
      </c>
      <c r="BL151" s="413"/>
      <c r="BM151" s="414"/>
      <c r="BN151" s="412">
        <f>IF($N$93="Not Included",0,(IF(P62&gt;10,P54*4,IF(P62&gt;6,P54*3,IF(P62&gt;4,P54*2,P54))))*2)</f>
        <v>0</v>
      </c>
      <c r="BO151" s="413"/>
      <c r="BP151" s="414"/>
      <c r="BQ151" s="412">
        <f>IF($N$93="Not Included",0,(IF(S62&gt;10,S54*4,IF(S62&gt;6,S54*3,IF(S62&gt;4,S54*2,S54))))*2)</f>
        <v>0</v>
      </c>
      <c r="BR151" s="413"/>
      <c r="BS151" s="414"/>
      <c r="BT151" s="412">
        <f>IF($N$93="Not Included",0,(IF(V62&gt;10,V54*4,IF(V62&gt;6,V54*3,IF(V62&gt;4,V54*2,V54))))*2)</f>
        <v>0</v>
      </c>
      <c r="BU151" s="413"/>
      <c r="BV151" s="414"/>
      <c r="BW151" s="412">
        <f>IF($N$93="Not Included",0,(IF(Y62&gt;10,Y54*4,IF(Y62&gt;6,Y54*3,IF(Y62&gt;4,Y54*2,Y54))))*2)</f>
        <v>0</v>
      </c>
      <c r="BX151" s="413"/>
      <c r="BY151" s="414"/>
      <c r="BZ151" s="412">
        <f>IF($N$93="Not Included",0,(IF(AB62&gt;10,AB54*4,IF(AB62&gt;6,AB54*3,IF(AB62&gt;4,AB54*2,AB54))))*2)</f>
        <v>0</v>
      </c>
      <c r="CA151" s="413"/>
      <c r="CB151" s="414"/>
      <c r="CC151" s="412">
        <f>IF($N$93="Not Included",0,(IF(AE62&gt;10,AE54*4,IF(AE62&gt;6,AE54*3,IF(AE62&gt;4,AE54*2,AE54))))*2)</f>
        <v>0</v>
      </c>
      <c r="CD151" s="413"/>
      <c r="CE151" s="414"/>
      <c r="CF151" s="412">
        <f>IF($N$93="Not Included",0,(IF(AH62&gt;10,AH54*4,IF(AH62&gt;6,AH54*3,IF(AH62&gt;4,AH54*2,AH54))))*2)</f>
        <v>0</v>
      </c>
      <c r="CG151" s="413"/>
      <c r="CH151" s="414"/>
      <c r="CI151" s="412">
        <f>IF($N$93="Not Included",0,(IF(AK62&gt;10,AK54*4,IF(AK62&gt;6,AK54*3,IF(AK62&gt;4,AK54*2,AK54))))*2)</f>
        <v>0</v>
      </c>
      <c r="CJ151" s="413"/>
      <c r="CK151" s="414"/>
      <c r="CL151" s="412">
        <f>IF($N$93="Not Included",0,(IF(AN62&gt;10,AN54*4,IF(AN62&gt;6,AN54*3,IF(AN62&gt;4,AN54*2,AN54))))*2)</f>
        <v>0</v>
      </c>
      <c r="CM151" s="413"/>
      <c r="CN151" s="414"/>
      <c r="CO151" s="412">
        <f>IF($N$93="Not Included",0,(IF(AQ62&gt;10,AQ54*4,IF(AQ62&gt;6,AQ54*3,IF(AQ62&gt;4,AQ54*2,AQ54))))*2)</f>
        <v>0</v>
      </c>
      <c r="CP151" s="413"/>
      <c r="CQ151" s="414"/>
      <c r="CR151" s="412">
        <f>IF($N$93="Not Included",0,(IF(AT62&gt;10,AT54*4,IF(AT62&gt;6,AT54*3,IF(AT62&gt;4,AT54*2,AT54))))*2)</f>
        <v>0</v>
      </c>
      <c r="CS151" s="413"/>
      <c r="CT151" s="414"/>
      <c r="CU151" s="412">
        <f>IF($N$93="Not Included",0,(IF(AW62&gt;10,AW54*4,IF(AW62&gt;6,AW54*3,IF(AW62&gt;4,AW54*2,AW54))))*2)</f>
        <v>0</v>
      </c>
      <c r="CV151" s="413"/>
      <c r="CW151" s="414"/>
      <c r="CX151" s="412">
        <f>IF($N$93="Not Included",0,(IF(AZ62&gt;10,AZ54*4,IF(AZ62&gt;6,AZ54*3,IF(AZ62&gt;4,AZ54*2,AZ54))))*2)</f>
        <v>0</v>
      </c>
      <c r="CY151" s="413"/>
      <c r="CZ151" s="414"/>
      <c r="DA151" s="412">
        <f>IF($N$93="Not Included",0,(IF(BC62&gt;10,BC54*4,IF(BC62&gt;6,BC54*3,IF(BC62&gt;4,BC54*2,BC54))))*2)</f>
        <v>0</v>
      </c>
      <c r="DB151" s="413"/>
      <c r="DC151" s="414"/>
      <c r="DD151" s="412">
        <f>IF($N$93="Not Included",0,(IF(BF62&gt;10,BF54*4,IF(BF62&gt;6,BF54*3,IF(BF62&gt;4,BF54*2,BF54))))*2)</f>
        <v>0</v>
      </c>
      <c r="DE151" s="413"/>
      <c r="DF151" s="414"/>
      <c r="DH151" s="311"/>
      <c r="DI151" s="311"/>
      <c r="DJ151" s="311"/>
      <c r="DK151" s="311"/>
      <c r="DL151" s="321"/>
      <c r="DM151" s="321"/>
      <c r="DN151" s="321"/>
      <c r="DO151" s="321"/>
      <c r="DP151" s="321"/>
      <c r="DQ151" s="321"/>
      <c r="DR151" s="321"/>
      <c r="DS151" s="321"/>
    </row>
    <row r="152" spans="1:123" ht="7.4" customHeight="1" x14ac:dyDescent="0.5">
      <c r="A152" s="42"/>
      <c r="B152" s="42"/>
      <c r="C152" s="311"/>
      <c r="D152" s="311"/>
      <c r="E152" s="41"/>
      <c r="F152" s="42"/>
      <c r="G152" s="319"/>
      <c r="H152" s="319"/>
      <c r="I152" s="319"/>
      <c r="J152" s="319"/>
      <c r="K152" s="319"/>
      <c r="L152" s="319"/>
      <c r="M152" s="319"/>
      <c r="N152" s="319"/>
      <c r="O152" s="319"/>
      <c r="P152" s="319"/>
      <c r="Q152" s="319"/>
      <c r="R152" s="320"/>
      <c r="S152" s="42"/>
      <c r="T152" s="405"/>
      <c r="U152" s="405"/>
      <c r="V152" s="405"/>
      <c r="W152" s="405"/>
      <c r="X152" s="405"/>
      <c r="Y152" s="405"/>
      <c r="Z152" s="405"/>
      <c r="AA152" s="405"/>
      <c r="AB152" s="405"/>
      <c r="AC152" s="405"/>
      <c r="AD152" s="405"/>
      <c r="AE152" s="444"/>
      <c r="AF152" s="316"/>
      <c r="AG152" s="316"/>
      <c r="AH152" s="316"/>
      <c r="AI152" s="405"/>
      <c r="AJ152" s="411"/>
      <c r="AK152" s="42"/>
      <c r="AL152" s="311"/>
      <c r="AM152" s="311"/>
      <c r="AN152" s="311"/>
      <c r="AO152" s="311"/>
      <c r="AP152" s="108"/>
      <c r="AQ152" s="128"/>
      <c r="AR152" s="309"/>
      <c r="AS152" s="309"/>
      <c r="AT152" s="309"/>
      <c r="AU152" s="309"/>
      <c r="AV152" s="309"/>
      <c r="AW152" s="309"/>
      <c r="AX152" s="309"/>
      <c r="AY152" s="309"/>
      <c r="AZ152" s="309"/>
      <c r="BA152" s="309"/>
      <c r="BB152" s="309"/>
      <c r="BC152" s="309"/>
      <c r="BD152" s="309"/>
      <c r="BE152" s="309"/>
      <c r="BF152" s="309"/>
      <c r="BG152" s="309"/>
      <c r="BH152" s="124"/>
      <c r="BI152" s="41"/>
      <c r="BJ152" s="49"/>
      <c r="BK152" s="412"/>
      <c r="BL152" s="413"/>
      <c r="BM152" s="414"/>
      <c r="BN152" s="412"/>
      <c r="BO152" s="413"/>
      <c r="BP152" s="414"/>
      <c r="BQ152" s="412"/>
      <c r="BR152" s="413"/>
      <c r="BS152" s="414"/>
      <c r="BT152" s="412"/>
      <c r="BU152" s="413"/>
      <c r="BV152" s="414"/>
      <c r="BW152" s="412"/>
      <c r="BX152" s="413"/>
      <c r="BY152" s="414"/>
      <c r="BZ152" s="412"/>
      <c r="CA152" s="413"/>
      <c r="CB152" s="414"/>
      <c r="CC152" s="412"/>
      <c r="CD152" s="413"/>
      <c r="CE152" s="414"/>
      <c r="CF152" s="412"/>
      <c r="CG152" s="413"/>
      <c r="CH152" s="414"/>
      <c r="CI152" s="412"/>
      <c r="CJ152" s="413"/>
      <c r="CK152" s="414"/>
      <c r="CL152" s="412"/>
      <c r="CM152" s="413"/>
      <c r="CN152" s="414"/>
      <c r="CO152" s="412"/>
      <c r="CP152" s="413"/>
      <c r="CQ152" s="414"/>
      <c r="CR152" s="412"/>
      <c r="CS152" s="413"/>
      <c r="CT152" s="414"/>
      <c r="CU152" s="412"/>
      <c r="CV152" s="413"/>
      <c r="CW152" s="414"/>
      <c r="CX152" s="412"/>
      <c r="CY152" s="413"/>
      <c r="CZ152" s="414"/>
      <c r="DA152" s="412"/>
      <c r="DB152" s="413"/>
      <c r="DC152" s="414"/>
      <c r="DD152" s="412"/>
      <c r="DE152" s="413"/>
      <c r="DF152" s="414"/>
      <c r="DH152" s="311"/>
      <c r="DI152" s="311"/>
      <c r="DJ152" s="311"/>
      <c r="DK152" s="311"/>
      <c r="DL152" s="321"/>
      <c r="DM152" s="321"/>
      <c r="DN152" s="321"/>
      <c r="DO152" s="321"/>
      <c r="DP152" s="321"/>
      <c r="DQ152" s="321"/>
      <c r="DR152" s="321"/>
      <c r="DS152" s="321"/>
    </row>
    <row r="153" spans="1:123" ht="7.4" customHeight="1" x14ac:dyDescent="0.5">
      <c r="A153" s="42"/>
      <c r="B153" s="42"/>
      <c r="C153" s="55"/>
      <c r="D153" s="55"/>
      <c r="E153" s="41"/>
      <c r="F153" s="42"/>
      <c r="G153" s="56"/>
      <c r="H153" s="56"/>
      <c r="I153" s="56"/>
      <c r="J153" s="56"/>
      <c r="K153" s="56"/>
      <c r="L153" s="56"/>
      <c r="M153" s="56"/>
      <c r="N153" s="56"/>
      <c r="O153" s="56"/>
      <c r="P153" s="56"/>
      <c r="Q153" s="56"/>
      <c r="R153" s="126"/>
      <c r="S153" s="42"/>
      <c r="T153" s="116" t="str">
        <f>VLOOKUP(G151,PL!$B$9:$BH$1265,33,FALSE)</f>
        <v>Aluminium, 40x40x3</v>
      </c>
      <c r="AJ153" s="44"/>
      <c r="AK153" s="42"/>
      <c r="AL153" s="75"/>
      <c r="AM153" s="75"/>
      <c r="AN153" s="75"/>
      <c r="AO153" s="75"/>
      <c r="AP153" s="75"/>
      <c r="AQ153" s="42"/>
      <c r="AR153" s="273"/>
      <c r="AS153" s="273"/>
      <c r="AT153" s="273"/>
      <c r="AU153" s="273"/>
      <c r="AV153" s="273"/>
      <c r="AW153" s="273"/>
      <c r="AX153" s="79"/>
      <c r="AZ153" s="131"/>
      <c r="BA153" s="131"/>
      <c r="BB153" s="131"/>
      <c r="BC153" s="131"/>
      <c r="BD153" s="131"/>
      <c r="BE153" s="131"/>
      <c r="BF153" s="131"/>
      <c r="BH153" s="124"/>
      <c r="BI153" s="41"/>
      <c r="BK153" s="194"/>
      <c r="BL153" s="123"/>
      <c r="BM153" s="195"/>
      <c r="BN153" s="194"/>
      <c r="BO153" s="123"/>
      <c r="BP153" s="195"/>
      <c r="BQ153" s="194"/>
      <c r="BR153" s="123"/>
      <c r="BS153" s="195"/>
      <c r="BT153" s="194"/>
      <c r="BU153" s="123"/>
      <c r="BV153" s="195"/>
      <c r="BW153" s="194"/>
      <c r="BX153" s="123"/>
      <c r="BY153" s="195"/>
      <c r="BZ153" s="194"/>
      <c r="CA153" s="123"/>
      <c r="CB153" s="195"/>
      <c r="CC153" s="194"/>
      <c r="CD153" s="123"/>
      <c r="CE153" s="195"/>
      <c r="CF153" s="194"/>
      <c r="CG153" s="123"/>
      <c r="CH153" s="195"/>
      <c r="CI153" s="194"/>
      <c r="CJ153" s="123"/>
      <c r="CK153" s="195"/>
      <c r="CL153" s="194"/>
      <c r="CM153" s="123"/>
      <c r="CN153" s="195"/>
      <c r="CO153" s="194"/>
      <c r="CP153" s="123"/>
      <c r="CQ153" s="195"/>
      <c r="CR153" s="194"/>
      <c r="CS153" s="123"/>
      <c r="CT153" s="195"/>
      <c r="CU153" s="194"/>
      <c r="CV153" s="123"/>
      <c r="CW153" s="195"/>
      <c r="CX153" s="194"/>
      <c r="CY153" s="123"/>
      <c r="CZ153" s="195"/>
      <c r="DA153" s="194"/>
      <c r="DB153" s="123"/>
      <c r="DC153" s="195"/>
      <c r="DD153" s="194"/>
      <c r="DE153" s="123"/>
      <c r="DF153" s="195"/>
      <c r="DH153" s="311"/>
      <c r="DI153" s="311"/>
      <c r="DJ153" s="311"/>
      <c r="DK153" s="311"/>
      <c r="DL153" s="321"/>
      <c r="DM153" s="321"/>
      <c r="DN153" s="321"/>
      <c r="DO153" s="321"/>
      <c r="DP153" s="321"/>
      <c r="DQ153" s="321"/>
      <c r="DR153" s="321"/>
      <c r="DS153" s="321"/>
    </row>
    <row r="154" spans="1:123" ht="7.4" customHeight="1" x14ac:dyDescent="0.5">
      <c r="A154" s="42"/>
      <c r="B154" s="42"/>
      <c r="C154" s="55"/>
      <c r="D154" s="55"/>
      <c r="E154" s="41"/>
      <c r="F154" s="42"/>
      <c r="G154" s="56"/>
      <c r="H154" s="56"/>
      <c r="I154" s="56"/>
      <c r="J154" s="56"/>
      <c r="K154" s="56"/>
      <c r="L154" s="56"/>
      <c r="M154" s="56"/>
      <c r="N154" s="56"/>
      <c r="O154" s="56"/>
      <c r="P154" s="56"/>
      <c r="Q154" s="56"/>
      <c r="R154" s="126"/>
      <c r="S154" s="42"/>
      <c r="AJ154" s="41"/>
      <c r="AK154" s="42"/>
      <c r="AL154" s="311"/>
      <c r="AM154" s="311"/>
      <c r="AN154" s="311"/>
      <c r="AO154" s="311"/>
      <c r="AP154" s="43"/>
      <c r="AQ154" s="42"/>
      <c r="AR154" s="131"/>
      <c r="AS154" s="131"/>
      <c r="AT154" s="131"/>
      <c r="AU154" s="131"/>
      <c r="AV154" s="131"/>
      <c r="AW154" s="131"/>
      <c r="AX154" s="105"/>
      <c r="AZ154" s="131"/>
      <c r="BA154" s="131"/>
      <c r="BB154" s="131"/>
      <c r="BC154" s="131"/>
      <c r="BD154" s="131"/>
      <c r="BE154" s="131"/>
      <c r="BF154" s="131"/>
      <c r="BG154" s="131"/>
      <c r="BH154" s="124"/>
      <c r="BI154" s="41"/>
      <c r="BK154" s="194"/>
      <c r="BL154" s="123"/>
      <c r="BM154" s="195"/>
      <c r="BN154" s="194"/>
      <c r="BO154" s="123"/>
      <c r="BP154" s="195"/>
      <c r="BQ154" s="194"/>
      <c r="BR154" s="123"/>
      <c r="BS154" s="195"/>
      <c r="BT154" s="194"/>
      <c r="BU154" s="123"/>
      <c r="BV154" s="195"/>
      <c r="BW154" s="194"/>
      <c r="BX154" s="123"/>
      <c r="BY154" s="195"/>
      <c r="BZ154" s="194"/>
      <c r="CA154" s="123"/>
      <c r="CB154" s="195"/>
      <c r="CC154" s="194"/>
      <c r="CD154" s="123"/>
      <c r="CE154" s="195"/>
      <c r="CF154" s="194"/>
      <c r="CG154" s="123"/>
      <c r="CH154" s="195"/>
      <c r="CI154" s="194"/>
      <c r="CJ154" s="123"/>
      <c r="CK154" s="195"/>
      <c r="CL154" s="194"/>
      <c r="CM154" s="123"/>
      <c r="CN154" s="195"/>
      <c r="CO154" s="194"/>
      <c r="CP154" s="123"/>
      <c r="CQ154" s="195"/>
      <c r="CR154" s="194"/>
      <c r="CS154" s="123"/>
      <c r="CT154" s="195"/>
      <c r="CU154" s="194"/>
      <c r="CV154" s="123"/>
      <c r="CW154" s="195"/>
      <c r="CX154" s="194"/>
      <c r="CY154" s="123"/>
      <c r="CZ154" s="195"/>
      <c r="DA154" s="194"/>
      <c r="DB154" s="123"/>
      <c r="DC154" s="195"/>
      <c r="DD154" s="194"/>
      <c r="DE154" s="123"/>
      <c r="DF154" s="195"/>
      <c r="DL154" s="105"/>
      <c r="DM154" s="105"/>
      <c r="DN154" s="105"/>
      <c r="DO154" s="105"/>
      <c r="DP154" s="105"/>
      <c r="DQ154" s="105"/>
      <c r="DR154" s="105"/>
      <c r="DS154" s="105"/>
    </row>
    <row r="155" spans="1:123" ht="7.4" customHeight="1" x14ac:dyDescent="0.5">
      <c r="A155" s="42"/>
      <c r="B155" s="42"/>
      <c r="C155" s="311">
        <f>C151+1</f>
        <v>10</v>
      </c>
      <c r="D155" s="311"/>
      <c r="E155" s="41"/>
      <c r="F155" s="42"/>
      <c r="G155" s="319" t="str">
        <f>IF(AL155=0,"N/A","AXE_EC_40_30_AL")</f>
        <v>N/A</v>
      </c>
      <c r="H155" s="319"/>
      <c r="I155" s="319"/>
      <c r="J155" s="319"/>
      <c r="K155" s="319"/>
      <c r="L155" s="319"/>
      <c r="M155" s="319"/>
      <c r="N155" s="319"/>
      <c r="O155" s="319"/>
      <c r="P155" s="319"/>
      <c r="Q155" s="319"/>
      <c r="R155" s="320"/>
      <c r="S155" s="42"/>
      <c r="T155" s="405" t="str">
        <f>VLOOKUP(G155,PL!$B$9:$BH$1265,14,FALSE)</f>
        <v>No Item</v>
      </c>
      <c r="U155" s="405"/>
      <c r="V155" s="405"/>
      <c r="W155" s="405"/>
      <c r="X155" s="405"/>
      <c r="Y155" s="405"/>
      <c r="Z155" s="405"/>
      <c r="AA155" s="405"/>
      <c r="AB155" s="405"/>
      <c r="AC155" s="405"/>
      <c r="AD155" s="405"/>
      <c r="AE155" s="405"/>
      <c r="AF155" s="405"/>
      <c r="AG155" s="405"/>
      <c r="AH155" s="405"/>
      <c r="AI155" s="405"/>
      <c r="AJ155" s="411"/>
      <c r="AK155" s="42"/>
      <c r="AL155" s="311">
        <f>ROUND(SUM(BK155:DF155),0)</f>
        <v>0</v>
      </c>
      <c r="AM155" s="311"/>
      <c r="AN155" s="311"/>
      <c r="AO155" s="311"/>
      <c r="AP155" s="43"/>
      <c r="AQ155" s="128"/>
      <c r="AR155" s="308" t="str">
        <f>VLOOKUP(G155,PL!$B$9:$BH$818,52,FALSE)</f>
        <v>-</v>
      </c>
      <c r="AS155" s="309"/>
      <c r="AT155" s="309"/>
      <c r="AU155" s="309"/>
      <c r="AV155" s="309"/>
      <c r="AW155" s="309"/>
      <c r="AX155" s="309"/>
      <c r="AY155" s="309"/>
      <c r="AZ155" s="309"/>
      <c r="BA155" s="309"/>
      <c r="BB155" s="309"/>
      <c r="BC155" s="309"/>
      <c r="BD155" s="309"/>
      <c r="BE155" s="309"/>
      <c r="BF155" s="309"/>
      <c r="BG155" s="309"/>
      <c r="BH155" s="124"/>
      <c r="BI155" s="41"/>
      <c r="BK155" s="412">
        <f>IF($AI$89="Included",1,0)*M54*4</f>
        <v>0</v>
      </c>
      <c r="BL155" s="413"/>
      <c r="BM155" s="414"/>
      <c r="BN155" s="412">
        <f>IF($AI$89="Included",1,0)*P54*4</f>
        <v>0</v>
      </c>
      <c r="BO155" s="413"/>
      <c r="BP155" s="414"/>
      <c r="BQ155" s="412">
        <f>IF($AI$89="Included",1,0)*S54*4</f>
        <v>0</v>
      </c>
      <c r="BR155" s="413"/>
      <c r="BS155" s="414"/>
      <c r="BT155" s="412">
        <f>IF($AI$89="Included",1,0)*V54*4</f>
        <v>0</v>
      </c>
      <c r="BU155" s="413"/>
      <c r="BV155" s="414"/>
      <c r="BW155" s="412">
        <f>IF($AI$89="Included",1,0)*Y54*4</f>
        <v>0</v>
      </c>
      <c r="BX155" s="413"/>
      <c r="BY155" s="414"/>
      <c r="BZ155" s="412">
        <f>IF($AI$89="Included",1,0)*AB54*4</f>
        <v>0</v>
      </c>
      <c r="CA155" s="413"/>
      <c r="CB155" s="414"/>
      <c r="CC155" s="412">
        <f>IF($AI$89="Included",1,0)*AE54*4</f>
        <v>0</v>
      </c>
      <c r="CD155" s="413"/>
      <c r="CE155" s="414"/>
      <c r="CF155" s="412">
        <f>IF($AI$89="Included",1,0)*AH54*4</f>
        <v>0</v>
      </c>
      <c r="CG155" s="413"/>
      <c r="CH155" s="414"/>
      <c r="CI155" s="412">
        <f>IF($AI$89="Included",1,0)*AK54*4</f>
        <v>0</v>
      </c>
      <c r="CJ155" s="413"/>
      <c r="CK155" s="414"/>
      <c r="CL155" s="412">
        <f>IF($AI$89="Included",1,0)*AN54*4</f>
        <v>0</v>
      </c>
      <c r="CM155" s="413"/>
      <c r="CN155" s="414"/>
      <c r="CO155" s="412">
        <f>IF($AI$89="Included",1,0)*AQ54*4</f>
        <v>0</v>
      </c>
      <c r="CP155" s="413"/>
      <c r="CQ155" s="414"/>
      <c r="CR155" s="412">
        <f>IF($AI$89="Included",1,0)*AT54*4</f>
        <v>0</v>
      </c>
      <c r="CS155" s="413"/>
      <c r="CT155" s="414"/>
      <c r="CU155" s="412">
        <f>IF($AI$89="Included",1,0)*AW54*4</f>
        <v>0</v>
      </c>
      <c r="CV155" s="413"/>
      <c r="CW155" s="414"/>
      <c r="CX155" s="412">
        <f>IF($AI$89="Included",1,0)*AZ54*4</f>
        <v>0</v>
      </c>
      <c r="CY155" s="413"/>
      <c r="CZ155" s="414"/>
      <c r="DA155" s="412">
        <f>IF($AI$89="Included",1,0)*BC54*4</f>
        <v>0</v>
      </c>
      <c r="DB155" s="413"/>
      <c r="DC155" s="414"/>
      <c r="DD155" s="412">
        <f>IF($AI$89="Included",1,0)*BF54*4</f>
        <v>0</v>
      </c>
      <c r="DE155" s="413"/>
      <c r="DF155" s="414"/>
      <c r="DH155" s="311"/>
      <c r="DI155" s="311"/>
      <c r="DJ155" s="311"/>
      <c r="DK155" s="311"/>
      <c r="DL155" s="321"/>
      <c r="DM155" s="321"/>
      <c r="DN155" s="321"/>
      <c r="DO155" s="321"/>
      <c r="DP155" s="321"/>
      <c r="DQ155" s="321"/>
      <c r="DR155" s="321"/>
      <c r="DS155" s="321"/>
    </row>
    <row r="156" spans="1:123" ht="7.4" customHeight="1" x14ac:dyDescent="0.5">
      <c r="A156" s="42"/>
      <c r="B156" s="42"/>
      <c r="C156" s="311"/>
      <c r="D156" s="311"/>
      <c r="E156" s="41"/>
      <c r="F156" s="42"/>
      <c r="G156" s="319"/>
      <c r="H156" s="319"/>
      <c r="I156" s="319"/>
      <c r="J156" s="319"/>
      <c r="K156" s="319"/>
      <c r="L156" s="319"/>
      <c r="M156" s="319"/>
      <c r="N156" s="319"/>
      <c r="O156" s="319"/>
      <c r="P156" s="319"/>
      <c r="Q156" s="319"/>
      <c r="R156" s="320"/>
      <c r="S156" s="42"/>
      <c r="T156" s="405"/>
      <c r="U156" s="405"/>
      <c r="V156" s="405"/>
      <c r="W156" s="405"/>
      <c r="X156" s="405"/>
      <c r="Y156" s="405"/>
      <c r="Z156" s="405"/>
      <c r="AA156" s="405"/>
      <c r="AB156" s="405"/>
      <c r="AC156" s="405"/>
      <c r="AD156" s="405"/>
      <c r="AE156" s="405"/>
      <c r="AF156" s="405"/>
      <c r="AG156" s="405"/>
      <c r="AH156" s="405"/>
      <c r="AI156" s="405"/>
      <c r="AJ156" s="411"/>
      <c r="AK156" s="42"/>
      <c r="AL156" s="311"/>
      <c r="AM156" s="311"/>
      <c r="AN156" s="311"/>
      <c r="AO156" s="311"/>
      <c r="AP156" s="43"/>
      <c r="AQ156" s="128"/>
      <c r="AR156" s="309"/>
      <c r="AS156" s="309"/>
      <c r="AT156" s="309"/>
      <c r="AU156" s="309"/>
      <c r="AV156" s="309"/>
      <c r="AW156" s="309"/>
      <c r="AX156" s="309"/>
      <c r="AY156" s="309"/>
      <c r="AZ156" s="309"/>
      <c r="BA156" s="309"/>
      <c r="BB156" s="309"/>
      <c r="BC156" s="309"/>
      <c r="BD156" s="309"/>
      <c r="BE156" s="309"/>
      <c r="BF156" s="309"/>
      <c r="BG156" s="309"/>
      <c r="BH156" s="124"/>
      <c r="BI156" s="41"/>
      <c r="BK156" s="412"/>
      <c r="BL156" s="413"/>
      <c r="BM156" s="414"/>
      <c r="BN156" s="412"/>
      <c r="BO156" s="413"/>
      <c r="BP156" s="414"/>
      <c r="BQ156" s="412"/>
      <c r="BR156" s="413"/>
      <c r="BS156" s="414"/>
      <c r="BT156" s="412"/>
      <c r="BU156" s="413"/>
      <c r="BV156" s="414"/>
      <c r="BW156" s="412"/>
      <c r="BX156" s="413"/>
      <c r="BY156" s="414"/>
      <c r="BZ156" s="412"/>
      <c r="CA156" s="413"/>
      <c r="CB156" s="414"/>
      <c r="CC156" s="412"/>
      <c r="CD156" s="413"/>
      <c r="CE156" s="414"/>
      <c r="CF156" s="412"/>
      <c r="CG156" s="413"/>
      <c r="CH156" s="414"/>
      <c r="CI156" s="412"/>
      <c r="CJ156" s="413"/>
      <c r="CK156" s="414"/>
      <c r="CL156" s="412"/>
      <c r="CM156" s="413"/>
      <c r="CN156" s="414"/>
      <c r="CO156" s="412"/>
      <c r="CP156" s="413"/>
      <c r="CQ156" s="414"/>
      <c r="CR156" s="412"/>
      <c r="CS156" s="413"/>
      <c r="CT156" s="414"/>
      <c r="CU156" s="412"/>
      <c r="CV156" s="413"/>
      <c r="CW156" s="414"/>
      <c r="CX156" s="412"/>
      <c r="CY156" s="413"/>
      <c r="CZ156" s="414"/>
      <c r="DA156" s="412"/>
      <c r="DB156" s="413"/>
      <c r="DC156" s="414"/>
      <c r="DD156" s="412"/>
      <c r="DE156" s="413"/>
      <c r="DF156" s="414"/>
      <c r="DH156" s="311"/>
      <c r="DI156" s="311"/>
      <c r="DJ156" s="311"/>
      <c r="DK156" s="311"/>
      <c r="DL156" s="321"/>
      <c r="DM156" s="321"/>
      <c r="DN156" s="321"/>
      <c r="DO156" s="321"/>
      <c r="DP156" s="321"/>
      <c r="DQ156" s="321"/>
      <c r="DR156" s="321"/>
      <c r="DS156" s="321"/>
    </row>
    <row r="157" spans="1:123" ht="7.4" customHeight="1" x14ac:dyDescent="0.5">
      <c r="A157" s="42"/>
      <c r="B157" s="42"/>
      <c r="C157" s="333"/>
      <c r="D157" s="333"/>
      <c r="E157" s="41"/>
      <c r="F157" s="42"/>
      <c r="G157" s="56"/>
      <c r="H157" s="56"/>
      <c r="I157" s="56"/>
      <c r="J157" s="56"/>
      <c r="K157" s="56"/>
      <c r="L157" s="56"/>
      <c r="M157" s="56"/>
      <c r="N157" s="56"/>
      <c r="O157" s="56"/>
      <c r="P157" s="56"/>
      <c r="Q157" s="56"/>
      <c r="R157" s="126"/>
      <c r="S157" s="42"/>
      <c r="T157" s="116" t="str">
        <f>VLOOKUP(G155,PL!$B$9:$BH$1265,33,FALSE)</f>
        <v>.</v>
      </c>
      <c r="AJ157" s="41"/>
      <c r="AK157" s="42"/>
      <c r="AL157" s="311"/>
      <c r="AM157" s="311"/>
      <c r="AN157" s="311"/>
      <c r="AO157" s="311"/>
      <c r="AP157" s="43"/>
      <c r="AQ157" s="42"/>
      <c r="AR157" s="131"/>
      <c r="AS157" s="131"/>
      <c r="AT157" s="131"/>
      <c r="AU157" s="131"/>
      <c r="AV157" s="131"/>
      <c r="AW157" s="131"/>
      <c r="AX157" s="105"/>
      <c r="AZ157" s="131"/>
      <c r="BA157" s="131"/>
      <c r="BB157" s="131"/>
      <c r="BC157" s="131"/>
      <c r="BD157" s="131"/>
      <c r="BE157" s="131"/>
      <c r="BF157" s="131"/>
      <c r="BG157" s="131"/>
      <c r="BH157" s="124"/>
      <c r="BI157" s="41"/>
      <c r="BK157" s="194"/>
      <c r="BL157" s="123"/>
      <c r="BM157" s="195"/>
      <c r="BN157" s="194"/>
      <c r="BO157" s="123"/>
      <c r="BP157" s="195"/>
      <c r="BQ157" s="194"/>
      <c r="BR157" s="123"/>
      <c r="BS157" s="195"/>
      <c r="BT157" s="194"/>
      <c r="BU157" s="123"/>
      <c r="BV157" s="195"/>
      <c r="BW157" s="194"/>
      <c r="BX157" s="123"/>
      <c r="BY157" s="195"/>
      <c r="BZ157" s="194"/>
      <c r="CA157" s="123"/>
      <c r="CB157" s="195"/>
      <c r="CC157" s="194"/>
      <c r="CD157" s="123"/>
      <c r="CE157" s="195"/>
      <c r="CF157" s="194"/>
      <c r="CG157" s="123"/>
      <c r="CH157" s="195"/>
      <c r="CI157" s="194"/>
      <c r="CJ157" s="123"/>
      <c r="CK157" s="195"/>
      <c r="CL157" s="194"/>
      <c r="CM157" s="123"/>
      <c r="CN157" s="195"/>
      <c r="CO157" s="194"/>
      <c r="CP157" s="123"/>
      <c r="CQ157" s="195"/>
      <c r="CR157" s="194"/>
      <c r="CS157" s="123"/>
      <c r="CT157" s="195"/>
      <c r="CU157" s="194"/>
      <c r="CV157" s="123"/>
      <c r="CW157" s="195"/>
      <c r="CX157" s="194"/>
      <c r="CY157" s="123"/>
      <c r="CZ157" s="195"/>
      <c r="DA157" s="194"/>
      <c r="DB157" s="123"/>
      <c r="DC157" s="195"/>
      <c r="DD157" s="194"/>
      <c r="DE157" s="123"/>
      <c r="DF157" s="195"/>
      <c r="DH157" s="311"/>
      <c r="DI157" s="311"/>
      <c r="DJ157" s="311"/>
      <c r="DK157" s="311"/>
      <c r="DL157" s="321"/>
      <c r="DM157" s="321"/>
      <c r="DN157" s="321"/>
      <c r="DO157" s="321"/>
      <c r="DP157" s="321"/>
      <c r="DQ157" s="321"/>
      <c r="DR157" s="321"/>
      <c r="DS157" s="321"/>
    </row>
    <row r="158" spans="1:123" ht="7.4" customHeight="1" x14ac:dyDescent="0.5">
      <c r="A158" s="42"/>
      <c r="B158" s="42"/>
      <c r="C158" s="333"/>
      <c r="D158" s="333"/>
      <c r="E158" s="41"/>
      <c r="F158" s="42"/>
      <c r="G158" s="56"/>
      <c r="H158" s="56"/>
      <c r="I158" s="56"/>
      <c r="J158" s="56"/>
      <c r="K158" s="56"/>
      <c r="L158" s="56"/>
      <c r="M158" s="56"/>
      <c r="N158" s="56"/>
      <c r="O158" s="56"/>
      <c r="P158" s="56"/>
      <c r="Q158" s="56"/>
      <c r="R158" s="126"/>
      <c r="S158" s="42"/>
      <c r="AJ158" s="41"/>
      <c r="AK158" s="42"/>
      <c r="AL158" s="311"/>
      <c r="AM158" s="311"/>
      <c r="AN158" s="311"/>
      <c r="AO158" s="311"/>
      <c r="AP158" s="43"/>
      <c r="AQ158" s="42"/>
      <c r="AR158" s="131"/>
      <c r="AS158" s="131"/>
      <c r="AT158" s="131"/>
      <c r="AU158" s="131"/>
      <c r="AV158" s="131"/>
      <c r="AW158" s="131"/>
      <c r="AX158" s="105"/>
      <c r="AZ158" s="131"/>
      <c r="BA158" s="131"/>
      <c r="BB158" s="131"/>
      <c r="BC158" s="131"/>
      <c r="BD158" s="131"/>
      <c r="BE158" s="131"/>
      <c r="BF158" s="131"/>
      <c r="BG158" s="131"/>
      <c r="BH158" s="124"/>
      <c r="BI158" s="41"/>
      <c r="BK158" s="194"/>
      <c r="BL158" s="123"/>
      <c r="BM158" s="195"/>
      <c r="BN158" s="194"/>
      <c r="BO158" s="123"/>
      <c r="BP158" s="195"/>
      <c r="BQ158" s="194"/>
      <c r="BR158" s="123"/>
      <c r="BS158" s="195"/>
      <c r="BT158" s="194"/>
      <c r="BU158" s="123"/>
      <c r="BV158" s="195"/>
      <c r="BW158" s="194"/>
      <c r="BX158" s="123"/>
      <c r="BY158" s="195"/>
      <c r="BZ158" s="194"/>
      <c r="CA158" s="123"/>
      <c r="CB158" s="195"/>
      <c r="CC158" s="194"/>
      <c r="CD158" s="123"/>
      <c r="CE158" s="195"/>
      <c r="CF158" s="194"/>
      <c r="CG158" s="123"/>
      <c r="CH158" s="195"/>
      <c r="CI158" s="194"/>
      <c r="CJ158" s="123"/>
      <c r="CK158" s="195"/>
      <c r="CL158" s="194"/>
      <c r="CM158" s="123"/>
      <c r="CN158" s="195"/>
      <c r="CO158" s="194"/>
      <c r="CP158" s="123"/>
      <c r="CQ158" s="195"/>
      <c r="CR158" s="194"/>
      <c r="CS158" s="123"/>
      <c r="CT158" s="195"/>
      <c r="CU158" s="194"/>
      <c r="CV158" s="123"/>
      <c r="CW158" s="195"/>
      <c r="CX158" s="194"/>
      <c r="CY158" s="123"/>
      <c r="CZ158" s="195"/>
      <c r="DA158" s="194"/>
      <c r="DB158" s="123"/>
      <c r="DC158" s="195"/>
      <c r="DD158" s="194"/>
      <c r="DE158" s="123"/>
      <c r="DF158" s="195"/>
      <c r="DH158" s="311"/>
      <c r="DI158" s="311"/>
      <c r="DJ158" s="311"/>
      <c r="DK158" s="311"/>
      <c r="DL158" s="321"/>
      <c r="DM158" s="321"/>
      <c r="DN158" s="321"/>
      <c r="DO158" s="321"/>
      <c r="DP158" s="321"/>
      <c r="DQ158" s="321"/>
      <c r="DR158" s="321"/>
      <c r="DS158" s="321"/>
    </row>
    <row r="159" spans="1:123" ht="7.4" customHeight="1" x14ac:dyDescent="0.5">
      <c r="A159" s="42"/>
      <c r="B159" s="42"/>
      <c r="C159" s="311">
        <f>C155+1</f>
        <v>11</v>
      </c>
      <c r="D159" s="311"/>
      <c r="E159" s="41"/>
      <c r="F159" s="42"/>
      <c r="G159" s="319" t="str">
        <f>IF(AL159=0,"N/A","AXE_CC_SS")</f>
        <v>N/A</v>
      </c>
      <c r="H159" s="319"/>
      <c r="I159" s="319"/>
      <c r="J159" s="319"/>
      <c r="K159" s="319"/>
      <c r="L159" s="319"/>
      <c r="M159" s="319"/>
      <c r="N159" s="319"/>
      <c r="O159" s="319"/>
      <c r="P159" s="319"/>
      <c r="Q159" s="319"/>
      <c r="R159" s="320"/>
      <c r="S159" s="42"/>
      <c r="T159" s="405" t="str">
        <f>VLOOKUP(G159,PL!$B$9:$BH$1265,14,FALSE)</f>
        <v>No Item</v>
      </c>
      <c r="U159" s="405"/>
      <c r="V159" s="405"/>
      <c r="W159" s="405"/>
      <c r="X159" s="405"/>
      <c r="Y159" s="405"/>
      <c r="Z159" s="405"/>
      <c r="AA159" s="405"/>
      <c r="AB159" s="405"/>
      <c r="AC159" s="405"/>
      <c r="AD159" s="405"/>
      <c r="AE159" s="405"/>
      <c r="AF159" s="405"/>
      <c r="AG159" s="405"/>
      <c r="AH159" s="405"/>
      <c r="AI159" s="405"/>
      <c r="AJ159" s="411"/>
      <c r="AK159" s="42"/>
      <c r="AL159" s="311">
        <f>ROUND(SUM(BK159:DF159)*(1+$BF$81),0)</f>
        <v>0</v>
      </c>
      <c r="AM159" s="311"/>
      <c r="AN159" s="311"/>
      <c r="AO159" s="311"/>
      <c r="AP159" s="43"/>
      <c r="AQ159" s="128"/>
      <c r="AR159" s="308" t="str">
        <f>VLOOKUP(G159,PL!$B$9:$BH$818,52,FALSE)</f>
        <v>-</v>
      </c>
      <c r="AS159" s="309"/>
      <c r="AT159" s="309"/>
      <c r="AU159" s="309"/>
      <c r="AV159" s="309"/>
      <c r="AW159" s="309"/>
      <c r="AX159" s="309"/>
      <c r="AY159" s="309"/>
      <c r="AZ159" s="309"/>
      <c r="BA159" s="309"/>
      <c r="BB159" s="309"/>
      <c r="BC159" s="309"/>
      <c r="BD159" s="309"/>
      <c r="BE159" s="309"/>
      <c r="BF159" s="309"/>
      <c r="BG159" s="309"/>
      <c r="BH159" s="124"/>
      <c r="BI159" s="41"/>
      <c r="BK159" s="412">
        <f>IF($AI$81="Included",1,0)*M58*M54</f>
        <v>0</v>
      </c>
      <c r="BL159" s="413"/>
      <c r="BM159" s="414"/>
      <c r="BN159" s="412">
        <f>IF($AI$81="Included",1,0)*P58*P54</f>
        <v>0</v>
      </c>
      <c r="BO159" s="413"/>
      <c r="BP159" s="414"/>
      <c r="BQ159" s="412">
        <f>IF($AI$81="Included",1,0)*S58*S54</f>
        <v>0</v>
      </c>
      <c r="BR159" s="413"/>
      <c r="BS159" s="414"/>
      <c r="BT159" s="412">
        <f>IF($AI$81="Included",1,0)*V58*V54</f>
        <v>0</v>
      </c>
      <c r="BU159" s="413"/>
      <c r="BV159" s="414"/>
      <c r="BW159" s="412">
        <f>IF($AI$81="Included",1,0)*Y58*Y54</f>
        <v>0</v>
      </c>
      <c r="BX159" s="413"/>
      <c r="BY159" s="414"/>
      <c r="BZ159" s="412">
        <f>IF($AI$81="Included",1,0)*AB58*AB54</f>
        <v>0</v>
      </c>
      <c r="CA159" s="413"/>
      <c r="CB159" s="414"/>
      <c r="CC159" s="412">
        <f>IF($AI$81="Included",1,0)*AE58*AE54</f>
        <v>0</v>
      </c>
      <c r="CD159" s="413"/>
      <c r="CE159" s="414"/>
      <c r="CF159" s="412">
        <f>IF($AI$81="Included",1,0)*AH58*AH54</f>
        <v>0</v>
      </c>
      <c r="CG159" s="413"/>
      <c r="CH159" s="414"/>
      <c r="CI159" s="412">
        <f>IF($AI$81="Included",1,0)*AK58*AK54</f>
        <v>0</v>
      </c>
      <c r="CJ159" s="413"/>
      <c r="CK159" s="414"/>
      <c r="CL159" s="412">
        <f>IF($AI$81="Included",1,0)*AN58*AN54</f>
        <v>0</v>
      </c>
      <c r="CM159" s="413"/>
      <c r="CN159" s="414"/>
      <c r="CO159" s="412">
        <f>IF($AI$81="Included",1,0)*AQ58*AQ54</f>
        <v>0</v>
      </c>
      <c r="CP159" s="413"/>
      <c r="CQ159" s="414"/>
      <c r="CR159" s="412">
        <f>IF($AI$81="Included",1,0)*AT58*AT54</f>
        <v>0</v>
      </c>
      <c r="CS159" s="413"/>
      <c r="CT159" s="414"/>
      <c r="CU159" s="412">
        <f>IF($AI$81="Included",1,0)*AW58*AW54</f>
        <v>0</v>
      </c>
      <c r="CV159" s="413"/>
      <c r="CW159" s="414"/>
      <c r="CX159" s="412">
        <f>IF($AI$81="Included",1,0)*AZ58*AZ54</f>
        <v>0</v>
      </c>
      <c r="CY159" s="413"/>
      <c r="CZ159" s="414"/>
      <c r="DA159" s="412">
        <f>IF($AI$81="Included",1,0)*BC58*BC54</f>
        <v>0</v>
      </c>
      <c r="DB159" s="413"/>
      <c r="DC159" s="414"/>
      <c r="DD159" s="412">
        <f>IF($AI$81="Included",1,0)*BF58*BF54</f>
        <v>0</v>
      </c>
      <c r="DE159" s="413"/>
      <c r="DF159" s="414"/>
      <c r="DH159" s="311"/>
      <c r="DI159" s="311"/>
      <c r="DJ159" s="311"/>
      <c r="DK159" s="311"/>
      <c r="DL159" s="321"/>
      <c r="DM159" s="321"/>
      <c r="DN159" s="321"/>
      <c r="DO159" s="321"/>
      <c r="DP159" s="321"/>
      <c r="DQ159" s="321"/>
      <c r="DR159" s="321"/>
      <c r="DS159" s="321"/>
    </row>
    <row r="160" spans="1:123" ht="7.4" customHeight="1" x14ac:dyDescent="0.5">
      <c r="A160" s="42"/>
      <c r="B160" s="42"/>
      <c r="C160" s="311"/>
      <c r="D160" s="311"/>
      <c r="E160" s="41"/>
      <c r="F160" s="42"/>
      <c r="G160" s="319"/>
      <c r="H160" s="319"/>
      <c r="I160" s="319"/>
      <c r="J160" s="319"/>
      <c r="K160" s="319"/>
      <c r="L160" s="319"/>
      <c r="M160" s="319"/>
      <c r="N160" s="319"/>
      <c r="O160" s="319"/>
      <c r="P160" s="319"/>
      <c r="Q160" s="319"/>
      <c r="R160" s="320"/>
      <c r="S160" s="42"/>
      <c r="T160" s="405"/>
      <c r="U160" s="405"/>
      <c r="V160" s="405"/>
      <c r="W160" s="405"/>
      <c r="X160" s="405"/>
      <c r="Y160" s="405"/>
      <c r="Z160" s="405"/>
      <c r="AA160" s="405"/>
      <c r="AB160" s="405"/>
      <c r="AC160" s="405"/>
      <c r="AD160" s="405"/>
      <c r="AE160" s="405"/>
      <c r="AF160" s="405"/>
      <c r="AG160" s="405"/>
      <c r="AH160" s="405"/>
      <c r="AI160" s="405"/>
      <c r="AJ160" s="411"/>
      <c r="AK160" s="42"/>
      <c r="AL160" s="311"/>
      <c r="AM160" s="311"/>
      <c r="AN160" s="311"/>
      <c r="AO160" s="311"/>
      <c r="AP160" s="43"/>
      <c r="AQ160" s="128"/>
      <c r="AR160" s="309"/>
      <c r="AS160" s="309"/>
      <c r="AT160" s="309"/>
      <c r="AU160" s="309"/>
      <c r="AV160" s="309"/>
      <c r="AW160" s="309"/>
      <c r="AX160" s="309"/>
      <c r="AY160" s="309"/>
      <c r="AZ160" s="309"/>
      <c r="BA160" s="309"/>
      <c r="BB160" s="309"/>
      <c r="BC160" s="309"/>
      <c r="BD160" s="309"/>
      <c r="BE160" s="309"/>
      <c r="BF160" s="309"/>
      <c r="BG160" s="309"/>
      <c r="BH160" s="124"/>
      <c r="BI160" s="41"/>
      <c r="BK160" s="412"/>
      <c r="BL160" s="413"/>
      <c r="BM160" s="414"/>
      <c r="BN160" s="412"/>
      <c r="BO160" s="413"/>
      <c r="BP160" s="414"/>
      <c r="BQ160" s="412"/>
      <c r="BR160" s="413"/>
      <c r="BS160" s="414"/>
      <c r="BT160" s="412"/>
      <c r="BU160" s="413"/>
      <c r="BV160" s="414"/>
      <c r="BW160" s="412"/>
      <c r="BX160" s="413"/>
      <c r="BY160" s="414"/>
      <c r="BZ160" s="412"/>
      <c r="CA160" s="413"/>
      <c r="CB160" s="414"/>
      <c r="CC160" s="412"/>
      <c r="CD160" s="413"/>
      <c r="CE160" s="414"/>
      <c r="CF160" s="412"/>
      <c r="CG160" s="413"/>
      <c r="CH160" s="414"/>
      <c r="CI160" s="412"/>
      <c r="CJ160" s="413"/>
      <c r="CK160" s="414"/>
      <c r="CL160" s="412"/>
      <c r="CM160" s="413"/>
      <c r="CN160" s="414"/>
      <c r="CO160" s="412"/>
      <c r="CP160" s="413"/>
      <c r="CQ160" s="414"/>
      <c r="CR160" s="412"/>
      <c r="CS160" s="413"/>
      <c r="CT160" s="414"/>
      <c r="CU160" s="412"/>
      <c r="CV160" s="413"/>
      <c r="CW160" s="414"/>
      <c r="CX160" s="412"/>
      <c r="CY160" s="413"/>
      <c r="CZ160" s="414"/>
      <c r="DA160" s="412"/>
      <c r="DB160" s="413"/>
      <c r="DC160" s="414"/>
      <c r="DD160" s="412"/>
      <c r="DE160" s="413"/>
      <c r="DF160" s="414"/>
      <c r="DH160" s="311"/>
      <c r="DI160" s="311"/>
      <c r="DJ160" s="311"/>
      <c r="DK160" s="311"/>
      <c r="DL160" s="321"/>
      <c r="DM160" s="321"/>
      <c r="DN160" s="321"/>
      <c r="DO160" s="321"/>
      <c r="DP160" s="321"/>
      <c r="DQ160" s="321"/>
      <c r="DR160" s="321"/>
      <c r="DS160" s="321"/>
    </row>
    <row r="161" spans="1:123" ht="7.4" customHeight="1" x14ac:dyDescent="0.5">
      <c r="A161" s="42"/>
      <c r="B161" s="42"/>
      <c r="C161" s="333"/>
      <c r="D161" s="333"/>
      <c r="E161" s="41"/>
      <c r="F161" s="42"/>
      <c r="G161" s="56"/>
      <c r="H161" s="56"/>
      <c r="I161" s="56"/>
      <c r="J161" s="56"/>
      <c r="K161" s="56"/>
      <c r="L161" s="56"/>
      <c r="M161" s="56"/>
      <c r="N161" s="56"/>
      <c r="O161" s="56"/>
      <c r="P161" s="56"/>
      <c r="Q161" s="56"/>
      <c r="R161" s="126"/>
      <c r="S161" s="42"/>
      <c r="T161" s="116" t="str">
        <f>VLOOKUP(G159,PL!$B$9:$BH$1265,33,FALSE)</f>
        <v>.</v>
      </c>
      <c r="AJ161" s="41"/>
      <c r="AK161" s="42"/>
      <c r="AL161" s="311"/>
      <c r="AM161" s="311"/>
      <c r="AN161" s="311"/>
      <c r="AO161" s="311"/>
      <c r="AP161" s="43"/>
      <c r="AQ161" s="42"/>
      <c r="AR161" s="131"/>
      <c r="AS161" s="131"/>
      <c r="AT161" s="131"/>
      <c r="AU161" s="131"/>
      <c r="AV161" s="131"/>
      <c r="AW161" s="131"/>
      <c r="AX161" s="105"/>
      <c r="AZ161" s="131"/>
      <c r="BA161" s="131"/>
      <c r="BB161" s="131"/>
      <c r="BC161" s="131"/>
      <c r="BD161" s="131"/>
      <c r="BE161" s="131"/>
      <c r="BF161" s="131"/>
      <c r="BG161" s="131"/>
      <c r="BH161" s="124"/>
      <c r="BI161" s="41"/>
      <c r="BK161" s="194"/>
      <c r="BL161" s="123"/>
      <c r="BM161" s="195"/>
      <c r="BN161" s="194"/>
      <c r="BO161" s="123"/>
      <c r="BP161" s="195"/>
      <c r="BQ161" s="194"/>
      <c r="BR161" s="123"/>
      <c r="BS161" s="195"/>
      <c r="BT161" s="194"/>
      <c r="BU161" s="123"/>
      <c r="BV161" s="195"/>
      <c r="BW161" s="194"/>
      <c r="BX161" s="123"/>
      <c r="BY161" s="195"/>
      <c r="BZ161" s="194"/>
      <c r="CA161" s="123"/>
      <c r="CB161" s="195"/>
      <c r="CC161" s="194"/>
      <c r="CD161" s="123"/>
      <c r="CE161" s="195"/>
      <c r="CF161" s="194"/>
      <c r="CG161" s="123"/>
      <c r="CH161" s="195"/>
      <c r="CI161" s="194"/>
      <c r="CJ161" s="123"/>
      <c r="CK161" s="195"/>
      <c r="CL161" s="194"/>
      <c r="CM161" s="123"/>
      <c r="CN161" s="195"/>
      <c r="CO161" s="194"/>
      <c r="CP161" s="123"/>
      <c r="CQ161" s="195"/>
      <c r="CR161" s="194"/>
      <c r="CS161" s="123"/>
      <c r="CT161" s="195"/>
      <c r="CU161" s="194"/>
      <c r="CV161" s="123"/>
      <c r="CW161" s="195"/>
      <c r="CX161" s="194"/>
      <c r="CY161" s="123"/>
      <c r="CZ161" s="195"/>
      <c r="DA161" s="194"/>
      <c r="DB161" s="123"/>
      <c r="DC161" s="195"/>
      <c r="DD161" s="194"/>
      <c r="DE161" s="123"/>
      <c r="DF161" s="195"/>
      <c r="DH161" s="311"/>
      <c r="DI161" s="311"/>
      <c r="DJ161" s="311"/>
      <c r="DK161" s="311"/>
      <c r="DL161" s="321"/>
      <c r="DM161" s="321"/>
      <c r="DN161" s="321"/>
      <c r="DO161" s="321"/>
      <c r="DP161" s="321"/>
      <c r="DQ161" s="321"/>
      <c r="DR161" s="321"/>
      <c r="DS161" s="321"/>
    </row>
    <row r="162" spans="1:123" ht="7.4" customHeight="1" x14ac:dyDescent="0.5">
      <c r="A162" s="42"/>
      <c r="B162" s="42"/>
      <c r="C162" s="55"/>
      <c r="D162" s="55"/>
      <c r="E162" s="41"/>
      <c r="F162" s="42"/>
      <c r="G162" s="56"/>
      <c r="H162" s="56"/>
      <c r="I162" s="56"/>
      <c r="J162" s="56"/>
      <c r="K162" s="56"/>
      <c r="L162" s="56"/>
      <c r="M162" s="56"/>
      <c r="N162" s="56"/>
      <c r="O162" s="56"/>
      <c r="P162" s="56"/>
      <c r="Q162" s="56"/>
      <c r="R162" s="126"/>
      <c r="S162" s="42"/>
      <c r="AJ162" s="41"/>
      <c r="AK162" s="42"/>
      <c r="AL162" s="311"/>
      <c r="AM162" s="311"/>
      <c r="AN162" s="311"/>
      <c r="AO162" s="311"/>
      <c r="AP162" s="43"/>
      <c r="AQ162" s="42"/>
      <c r="AR162" s="272"/>
      <c r="AS162" s="272"/>
      <c r="AT162" s="272"/>
      <c r="AU162" s="272"/>
      <c r="AV162" s="272"/>
      <c r="AW162" s="272"/>
      <c r="AX162" s="105"/>
      <c r="AZ162" s="131"/>
      <c r="BA162" s="131"/>
      <c r="BB162" s="131"/>
      <c r="BC162" s="131"/>
      <c r="BD162" s="131"/>
      <c r="BE162" s="131"/>
      <c r="BF162" s="131"/>
      <c r="BG162" s="131"/>
      <c r="BH162" s="124"/>
      <c r="BI162" s="124"/>
      <c r="BK162" s="194"/>
      <c r="BL162" s="123"/>
      <c r="BM162" s="195"/>
      <c r="BN162" s="194"/>
      <c r="BO162" s="123"/>
      <c r="BP162" s="195"/>
      <c r="BQ162" s="194"/>
      <c r="BR162" s="123"/>
      <c r="BS162" s="195"/>
      <c r="BT162" s="194"/>
      <c r="BU162" s="123"/>
      <c r="BV162" s="195"/>
      <c r="BW162" s="194"/>
      <c r="BX162" s="123"/>
      <c r="BY162" s="195"/>
      <c r="BZ162" s="194"/>
      <c r="CA162" s="123"/>
      <c r="CB162" s="195"/>
      <c r="CC162" s="194"/>
      <c r="CD162" s="123"/>
      <c r="CE162" s="195"/>
      <c r="CF162" s="194"/>
      <c r="CG162" s="123"/>
      <c r="CH162" s="195"/>
      <c r="CI162" s="194"/>
      <c r="CJ162" s="123"/>
      <c r="CK162" s="195"/>
      <c r="CL162" s="194"/>
      <c r="CM162" s="123"/>
      <c r="CN162" s="195"/>
      <c r="CO162" s="194"/>
      <c r="CP162" s="123"/>
      <c r="CQ162" s="195"/>
      <c r="CR162" s="194"/>
      <c r="CS162" s="123"/>
      <c r="CT162" s="195"/>
      <c r="CU162" s="194"/>
      <c r="CV162" s="123"/>
      <c r="CW162" s="195"/>
      <c r="CX162" s="194"/>
      <c r="CY162" s="123"/>
      <c r="CZ162" s="195"/>
      <c r="DA162" s="194"/>
      <c r="DB162" s="123"/>
      <c r="DC162" s="195"/>
      <c r="DD162" s="194"/>
      <c r="DE162" s="123"/>
      <c r="DF162" s="195"/>
      <c r="DL162" s="105"/>
      <c r="DM162" s="105"/>
      <c r="DN162" s="105"/>
      <c r="DO162" s="105"/>
      <c r="DP162" s="105"/>
      <c r="DQ162" s="105"/>
      <c r="DR162" s="105"/>
      <c r="DS162" s="105"/>
    </row>
    <row r="163" spans="1:123" ht="7.4" customHeight="1" x14ac:dyDescent="0.5">
      <c r="A163" s="42"/>
      <c r="B163" s="42"/>
      <c r="C163" s="311">
        <f>C159+1</f>
        <v>12</v>
      </c>
      <c r="D163" s="311"/>
      <c r="E163" s="41"/>
      <c r="F163" s="42"/>
      <c r="G163" s="319" t="str">
        <f>IF(AL163=0,"N/A","AXE_EL_AL")</f>
        <v>N/A</v>
      </c>
      <c r="H163" s="319"/>
      <c r="I163" s="319"/>
      <c r="J163" s="319"/>
      <c r="K163" s="319"/>
      <c r="L163" s="319"/>
      <c r="M163" s="319"/>
      <c r="N163" s="319"/>
      <c r="O163" s="319"/>
      <c r="P163" s="319"/>
      <c r="Q163" s="319"/>
      <c r="R163" s="320"/>
      <c r="S163" s="42"/>
      <c r="T163" s="405" t="str">
        <f>VLOOKUP(G163,PL!$B$9:$BH$1265,14,FALSE)</f>
        <v>No Item</v>
      </c>
      <c r="U163" s="405"/>
      <c r="V163" s="405"/>
      <c r="W163" s="405"/>
      <c r="X163" s="405"/>
      <c r="Y163" s="405"/>
      <c r="Z163" s="405"/>
      <c r="AA163" s="405"/>
      <c r="AB163" s="405"/>
      <c r="AC163" s="405"/>
      <c r="AD163" s="405"/>
      <c r="AE163" s="405"/>
      <c r="AF163" s="405"/>
      <c r="AG163" s="405"/>
      <c r="AH163" s="405"/>
      <c r="AI163" s="405"/>
      <c r="AJ163" s="411"/>
      <c r="AK163" s="42"/>
      <c r="AL163" s="311">
        <f>ROUND(SUM(BK163:DF163)*(1+$BF$87),0)</f>
        <v>0</v>
      </c>
      <c r="AM163" s="311"/>
      <c r="AN163" s="311"/>
      <c r="AO163" s="311"/>
      <c r="AP163" s="43"/>
      <c r="AQ163" s="128"/>
      <c r="AR163" s="308" t="str">
        <f>VLOOKUP(G163,PL!$B$9:$BH$818,52,FALSE)</f>
        <v>-</v>
      </c>
      <c r="AS163" s="309"/>
      <c r="AT163" s="309"/>
      <c r="AU163" s="309"/>
      <c r="AV163" s="309"/>
      <c r="AW163" s="309"/>
      <c r="AX163" s="309"/>
      <c r="AY163" s="309"/>
      <c r="AZ163" s="309"/>
      <c r="BA163" s="309"/>
      <c r="BB163" s="309"/>
      <c r="BC163" s="309"/>
      <c r="BD163" s="309"/>
      <c r="BE163" s="309"/>
      <c r="BF163" s="309"/>
      <c r="BG163" s="309"/>
      <c r="BH163" s="124"/>
      <c r="BI163" s="124"/>
      <c r="BK163" s="412">
        <f>IF($AI$93="Included",1,0)*M54</f>
        <v>0</v>
      </c>
      <c r="BL163" s="413"/>
      <c r="BM163" s="414"/>
      <c r="BN163" s="412">
        <f>IF($AI$93="Included",1,0)*P54</f>
        <v>0</v>
      </c>
      <c r="BO163" s="413"/>
      <c r="BP163" s="414"/>
      <c r="BQ163" s="412">
        <f>IF($AI$93="Included",1,0)*S54</f>
        <v>0</v>
      </c>
      <c r="BR163" s="413"/>
      <c r="BS163" s="414"/>
      <c r="BT163" s="412">
        <f>IF($AI$93="Included",1,0)*V54</f>
        <v>0</v>
      </c>
      <c r="BU163" s="413"/>
      <c r="BV163" s="414"/>
      <c r="BW163" s="412">
        <f>IF($AI$93="Included",1,0)*Y54</f>
        <v>0</v>
      </c>
      <c r="BX163" s="413"/>
      <c r="BY163" s="414"/>
      <c r="BZ163" s="412">
        <f>IF($AI$93="Included",1,0)*AB54</f>
        <v>0</v>
      </c>
      <c r="CA163" s="413"/>
      <c r="CB163" s="414"/>
      <c r="CC163" s="412">
        <f>IF($AI$93="Included",1,0)*AE54</f>
        <v>0</v>
      </c>
      <c r="CD163" s="413"/>
      <c r="CE163" s="414"/>
      <c r="CF163" s="412">
        <f>IF($AI$93="Included",1,0)*AH54</f>
        <v>0</v>
      </c>
      <c r="CG163" s="413"/>
      <c r="CH163" s="414"/>
      <c r="CI163" s="412">
        <f>IF($AI$93="Included",1,0)*AK54</f>
        <v>0</v>
      </c>
      <c r="CJ163" s="413"/>
      <c r="CK163" s="414"/>
      <c r="CL163" s="412">
        <f>IF($AI$93="Included",1,0)*AN54</f>
        <v>0</v>
      </c>
      <c r="CM163" s="413"/>
      <c r="CN163" s="414"/>
      <c r="CO163" s="412">
        <f>IF($AI$93="Included",1,0)*AQ54</f>
        <v>0</v>
      </c>
      <c r="CP163" s="413"/>
      <c r="CQ163" s="414"/>
      <c r="CR163" s="412">
        <f>IF($AI$93="Included",1,0)*AT54</f>
        <v>0</v>
      </c>
      <c r="CS163" s="413"/>
      <c r="CT163" s="414"/>
      <c r="CU163" s="412">
        <f>IF($AI$93="Included",1,0)*AW54</f>
        <v>0</v>
      </c>
      <c r="CV163" s="413"/>
      <c r="CW163" s="414"/>
      <c r="CX163" s="412">
        <f>IF($AI$93="Included",1,0)*AZ54</f>
        <v>0</v>
      </c>
      <c r="CY163" s="413"/>
      <c r="CZ163" s="414"/>
      <c r="DA163" s="412">
        <f>IF($AI$93="Included",1,0)*BC54</f>
        <v>0</v>
      </c>
      <c r="DB163" s="413"/>
      <c r="DC163" s="414"/>
      <c r="DD163" s="412">
        <f>IF($AI$93="Included",1,0)*BF54</f>
        <v>0</v>
      </c>
      <c r="DE163" s="413"/>
      <c r="DF163" s="414"/>
      <c r="DH163" s="311"/>
      <c r="DI163" s="311"/>
      <c r="DJ163" s="311"/>
      <c r="DK163" s="311"/>
      <c r="DL163" s="321"/>
      <c r="DM163" s="321"/>
      <c r="DN163" s="321"/>
      <c r="DO163" s="321"/>
      <c r="DP163" s="321"/>
      <c r="DQ163" s="321"/>
      <c r="DR163" s="321"/>
      <c r="DS163" s="321"/>
    </row>
    <row r="164" spans="1:123" ht="7.4" customHeight="1" x14ac:dyDescent="0.5">
      <c r="A164" s="42"/>
      <c r="B164" s="42"/>
      <c r="C164" s="311"/>
      <c r="D164" s="311"/>
      <c r="E164" s="41"/>
      <c r="F164" s="42"/>
      <c r="G164" s="319"/>
      <c r="H164" s="319"/>
      <c r="I164" s="319"/>
      <c r="J164" s="319"/>
      <c r="K164" s="319"/>
      <c r="L164" s="319"/>
      <c r="M164" s="319"/>
      <c r="N164" s="319"/>
      <c r="O164" s="319"/>
      <c r="P164" s="319"/>
      <c r="Q164" s="319"/>
      <c r="R164" s="320"/>
      <c r="S164" s="42"/>
      <c r="T164" s="405"/>
      <c r="U164" s="405"/>
      <c r="V164" s="405"/>
      <c r="W164" s="405"/>
      <c r="X164" s="405"/>
      <c r="Y164" s="405"/>
      <c r="Z164" s="405"/>
      <c r="AA164" s="405"/>
      <c r="AB164" s="405"/>
      <c r="AC164" s="405"/>
      <c r="AD164" s="405"/>
      <c r="AE164" s="405"/>
      <c r="AF164" s="405"/>
      <c r="AG164" s="405"/>
      <c r="AH164" s="405"/>
      <c r="AI164" s="405"/>
      <c r="AJ164" s="411"/>
      <c r="AK164" s="42"/>
      <c r="AL164" s="311"/>
      <c r="AM164" s="311"/>
      <c r="AN164" s="311"/>
      <c r="AO164" s="311"/>
      <c r="AP164" s="43"/>
      <c r="AQ164" s="128"/>
      <c r="AR164" s="309"/>
      <c r="AS164" s="309"/>
      <c r="AT164" s="309"/>
      <c r="AU164" s="309"/>
      <c r="AV164" s="309"/>
      <c r="AW164" s="309"/>
      <c r="AX164" s="309"/>
      <c r="AY164" s="309"/>
      <c r="AZ164" s="309"/>
      <c r="BA164" s="309"/>
      <c r="BB164" s="309"/>
      <c r="BC164" s="309"/>
      <c r="BD164" s="309"/>
      <c r="BE164" s="309"/>
      <c r="BF164" s="309"/>
      <c r="BG164" s="309"/>
      <c r="BH164" s="124"/>
      <c r="BI164" s="124"/>
      <c r="BK164" s="412"/>
      <c r="BL164" s="413"/>
      <c r="BM164" s="414"/>
      <c r="BN164" s="412"/>
      <c r="BO164" s="413"/>
      <c r="BP164" s="414"/>
      <c r="BQ164" s="412"/>
      <c r="BR164" s="413"/>
      <c r="BS164" s="414"/>
      <c r="BT164" s="412"/>
      <c r="BU164" s="413"/>
      <c r="BV164" s="414"/>
      <c r="BW164" s="412"/>
      <c r="BX164" s="413"/>
      <c r="BY164" s="414"/>
      <c r="BZ164" s="412"/>
      <c r="CA164" s="413"/>
      <c r="CB164" s="414"/>
      <c r="CC164" s="412"/>
      <c r="CD164" s="413"/>
      <c r="CE164" s="414"/>
      <c r="CF164" s="412"/>
      <c r="CG164" s="413"/>
      <c r="CH164" s="414"/>
      <c r="CI164" s="412"/>
      <c r="CJ164" s="413"/>
      <c r="CK164" s="414"/>
      <c r="CL164" s="412"/>
      <c r="CM164" s="413"/>
      <c r="CN164" s="414"/>
      <c r="CO164" s="412"/>
      <c r="CP164" s="413"/>
      <c r="CQ164" s="414"/>
      <c r="CR164" s="412"/>
      <c r="CS164" s="413"/>
      <c r="CT164" s="414"/>
      <c r="CU164" s="412"/>
      <c r="CV164" s="413"/>
      <c r="CW164" s="414"/>
      <c r="CX164" s="412"/>
      <c r="CY164" s="413"/>
      <c r="CZ164" s="414"/>
      <c r="DA164" s="412"/>
      <c r="DB164" s="413"/>
      <c r="DC164" s="414"/>
      <c r="DD164" s="412"/>
      <c r="DE164" s="413"/>
      <c r="DF164" s="414"/>
      <c r="DH164" s="311"/>
      <c r="DI164" s="311"/>
      <c r="DJ164" s="311"/>
      <c r="DK164" s="311"/>
      <c r="DL164" s="321"/>
      <c r="DM164" s="321"/>
      <c r="DN164" s="321"/>
      <c r="DO164" s="321"/>
      <c r="DP164" s="321"/>
      <c r="DQ164" s="321"/>
      <c r="DR164" s="321"/>
      <c r="DS164" s="321"/>
    </row>
    <row r="165" spans="1:123" ht="7.4" customHeight="1" x14ac:dyDescent="0.5">
      <c r="A165" s="42"/>
      <c r="B165" s="42"/>
      <c r="C165" s="333"/>
      <c r="D165" s="333"/>
      <c r="E165" s="41"/>
      <c r="F165" s="42"/>
      <c r="G165" s="56"/>
      <c r="H165" s="56"/>
      <c r="I165" s="56"/>
      <c r="J165" s="56"/>
      <c r="K165" s="56"/>
      <c r="L165" s="56"/>
      <c r="M165" s="56"/>
      <c r="N165" s="56"/>
      <c r="O165" s="56"/>
      <c r="P165" s="56"/>
      <c r="Q165" s="56"/>
      <c r="R165" s="126"/>
      <c r="S165" s="42"/>
      <c r="T165" s="116" t="str">
        <f>VLOOKUP(G163,PL!$B$9:$BH$1265,33,FALSE)</f>
        <v>.</v>
      </c>
      <c r="AJ165" s="41"/>
      <c r="AK165" s="42"/>
      <c r="AL165" s="311"/>
      <c r="AM165" s="311"/>
      <c r="AN165" s="311"/>
      <c r="AO165" s="311"/>
      <c r="AP165" s="43"/>
      <c r="AQ165" s="42"/>
      <c r="AR165" s="272"/>
      <c r="AS165" s="272"/>
      <c r="AT165" s="272"/>
      <c r="AU165" s="272"/>
      <c r="AV165" s="272"/>
      <c r="AW165" s="272"/>
      <c r="AX165" s="105"/>
      <c r="AZ165" s="131"/>
      <c r="BA165" s="131"/>
      <c r="BB165" s="131"/>
      <c r="BC165" s="131"/>
      <c r="BD165" s="131"/>
      <c r="BE165" s="131"/>
      <c r="BF165" s="131"/>
      <c r="BG165" s="131"/>
      <c r="BH165" s="124"/>
      <c r="BI165" s="124"/>
      <c r="BK165" s="194"/>
      <c r="BL165" s="123"/>
      <c r="BM165" s="195"/>
      <c r="BN165" s="194"/>
      <c r="BO165" s="123"/>
      <c r="BP165" s="195"/>
      <c r="BQ165" s="194"/>
      <c r="BR165" s="123"/>
      <c r="BS165" s="195"/>
      <c r="BT165" s="194"/>
      <c r="BU165" s="123"/>
      <c r="BV165" s="195"/>
      <c r="BW165" s="194"/>
      <c r="BX165" s="123"/>
      <c r="BY165" s="195"/>
      <c r="BZ165" s="194"/>
      <c r="CA165" s="123"/>
      <c r="CB165" s="195"/>
      <c r="CC165" s="194"/>
      <c r="CD165" s="123"/>
      <c r="CE165" s="195"/>
      <c r="CF165" s="194"/>
      <c r="CG165" s="123"/>
      <c r="CH165" s="195"/>
      <c r="CI165" s="194"/>
      <c r="CJ165" s="123"/>
      <c r="CK165" s="195"/>
      <c r="CL165" s="194"/>
      <c r="CM165" s="123"/>
      <c r="CN165" s="195"/>
      <c r="CO165" s="194"/>
      <c r="CP165" s="123"/>
      <c r="CQ165" s="195"/>
      <c r="CR165" s="194"/>
      <c r="CS165" s="123"/>
      <c r="CT165" s="195"/>
      <c r="CU165" s="194"/>
      <c r="CV165" s="123"/>
      <c r="CW165" s="195"/>
      <c r="CX165" s="194"/>
      <c r="CY165" s="123"/>
      <c r="CZ165" s="195"/>
      <c r="DA165" s="194"/>
      <c r="DB165" s="123"/>
      <c r="DC165" s="195"/>
      <c r="DD165" s="194"/>
      <c r="DE165" s="123"/>
      <c r="DF165" s="195"/>
      <c r="DH165" s="311"/>
      <c r="DI165" s="311"/>
      <c r="DJ165" s="311"/>
      <c r="DK165" s="311"/>
      <c r="DL165" s="321"/>
      <c r="DM165" s="321"/>
      <c r="DN165" s="321"/>
      <c r="DO165" s="321"/>
      <c r="DP165" s="321"/>
      <c r="DQ165" s="321"/>
      <c r="DR165" s="321"/>
      <c r="DS165" s="321"/>
    </row>
    <row r="166" spans="1:123" ht="7.4" customHeight="1" x14ac:dyDescent="0.5">
      <c r="A166" s="42"/>
      <c r="B166" s="42"/>
      <c r="C166" s="333"/>
      <c r="D166" s="333"/>
      <c r="E166" s="41"/>
      <c r="F166" s="42"/>
      <c r="G166" s="56"/>
      <c r="H166" s="56"/>
      <c r="I166" s="56"/>
      <c r="J166" s="56"/>
      <c r="K166" s="56"/>
      <c r="L166" s="56"/>
      <c r="M166" s="56"/>
      <c r="N166" s="56"/>
      <c r="O166" s="56"/>
      <c r="P166" s="56"/>
      <c r="Q166" s="56"/>
      <c r="R166" s="126"/>
      <c r="S166" s="42"/>
      <c r="AJ166" s="41"/>
      <c r="AK166" s="42"/>
      <c r="AL166" s="311"/>
      <c r="AM166" s="311"/>
      <c r="AN166" s="311"/>
      <c r="AO166" s="311"/>
      <c r="AP166" s="43"/>
      <c r="AQ166" s="42"/>
      <c r="AR166" s="131"/>
      <c r="AS166" s="131"/>
      <c r="AT166" s="131"/>
      <c r="AU166" s="131"/>
      <c r="AV166" s="131"/>
      <c r="AW166" s="131"/>
      <c r="AX166" s="105"/>
      <c r="AZ166" s="131"/>
      <c r="BA166" s="131"/>
      <c r="BB166" s="131"/>
      <c r="BC166" s="131"/>
      <c r="BD166" s="131"/>
      <c r="BE166" s="131"/>
      <c r="BF166" s="131"/>
      <c r="BG166" s="131"/>
      <c r="BH166" s="124"/>
      <c r="BI166" s="41"/>
      <c r="BK166" s="194"/>
      <c r="BL166" s="123"/>
      <c r="BM166" s="195"/>
      <c r="BN166" s="194"/>
      <c r="BO166" s="123"/>
      <c r="BP166" s="195"/>
      <c r="BQ166" s="194"/>
      <c r="BR166" s="123"/>
      <c r="BS166" s="195"/>
      <c r="BT166" s="194"/>
      <c r="BU166" s="123"/>
      <c r="BV166" s="195"/>
      <c r="BW166" s="194"/>
      <c r="BX166" s="123"/>
      <c r="BY166" s="195"/>
      <c r="BZ166" s="194"/>
      <c r="CA166" s="123"/>
      <c r="CB166" s="195"/>
      <c r="CC166" s="194"/>
      <c r="CD166" s="123"/>
      <c r="CE166" s="195"/>
      <c r="CF166" s="194"/>
      <c r="CG166" s="123"/>
      <c r="CH166" s="195"/>
      <c r="CI166" s="194"/>
      <c r="CJ166" s="123"/>
      <c r="CK166" s="195"/>
      <c r="CL166" s="194"/>
      <c r="CM166" s="123"/>
      <c r="CN166" s="195"/>
      <c r="CO166" s="194"/>
      <c r="CP166" s="123"/>
      <c r="CQ166" s="195"/>
      <c r="CR166" s="194"/>
      <c r="CS166" s="123"/>
      <c r="CT166" s="195"/>
      <c r="CU166" s="194"/>
      <c r="CV166" s="123"/>
      <c r="CW166" s="195"/>
      <c r="CX166" s="194"/>
      <c r="CY166" s="123"/>
      <c r="CZ166" s="195"/>
      <c r="DA166" s="194"/>
      <c r="DB166" s="123"/>
      <c r="DC166" s="195"/>
      <c r="DD166" s="194"/>
      <c r="DE166" s="123"/>
      <c r="DF166" s="195"/>
      <c r="DH166" s="311"/>
      <c r="DI166" s="311"/>
      <c r="DJ166" s="311"/>
      <c r="DK166" s="311"/>
      <c r="DL166" s="321"/>
      <c r="DM166" s="321"/>
      <c r="DN166" s="321"/>
      <c r="DO166" s="321"/>
      <c r="DP166" s="321"/>
      <c r="DQ166" s="321"/>
      <c r="DR166" s="321"/>
      <c r="DS166" s="321"/>
    </row>
    <row r="167" spans="1:123" ht="7.4" customHeight="1" x14ac:dyDescent="0.5">
      <c r="A167" s="42"/>
      <c r="B167" s="42"/>
      <c r="C167" s="311">
        <f>C163+1</f>
        <v>13</v>
      </c>
      <c r="D167" s="311"/>
      <c r="E167" s="41"/>
      <c r="F167" s="42"/>
      <c r="G167" s="319" t="str">
        <f>IF(AL167=0,"N/A","AXE_CS_8_20"&amp;"_SS")</f>
        <v>N/A</v>
      </c>
      <c r="H167" s="319"/>
      <c r="I167" s="319"/>
      <c r="J167" s="319"/>
      <c r="K167" s="319"/>
      <c r="L167" s="319"/>
      <c r="M167" s="319"/>
      <c r="N167" s="319"/>
      <c r="O167" s="319"/>
      <c r="P167" s="319"/>
      <c r="Q167" s="319"/>
      <c r="R167" s="320"/>
      <c r="S167" s="42"/>
      <c r="T167" s="405" t="str">
        <f>VLOOKUP(G167,PL!$B$9:$BH$1265,14,FALSE)</f>
        <v>No Item</v>
      </c>
      <c r="U167" s="405"/>
      <c r="V167" s="405"/>
      <c r="W167" s="405"/>
      <c r="X167" s="405"/>
      <c r="Y167" s="405"/>
      <c r="Z167" s="405"/>
      <c r="AA167" s="405"/>
      <c r="AB167" s="405"/>
      <c r="AC167" s="405"/>
      <c r="AD167" s="405"/>
      <c r="AE167" s="405"/>
      <c r="AF167" s="405"/>
      <c r="AG167" s="405"/>
      <c r="AH167" s="405"/>
      <c r="AI167" s="405"/>
      <c r="AJ167" s="411"/>
      <c r="AK167" s="42"/>
      <c r="AL167" s="311">
        <f>ROUND(SUM(BK167:DF167)*(1+$BF$87),0)</f>
        <v>0</v>
      </c>
      <c r="AM167" s="311"/>
      <c r="AN167" s="311"/>
      <c r="AO167" s="311"/>
      <c r="AP167" s="43"/>
      <c r="AQ167" s="128"/>
      <c r="AR167" s="308" t="str">
        <f>VLOOKUP(G167,PL!$B$9:$BH$818,52,FALSE)</f>
        <v>-</v>
      </c>
      <c r="AS167" s="309"/>
      <c r="AT167" s="309"/>
      <c r="AU167" s="309"/>
      <c r="AV167" s="309"/>
      <c r="AW167" s="309"/>
      <c r="AX167" s="309"/>
      <c r="AY167" s="309"/>
      <c r="AZ167" s="309"/>
      <c r="BA167" s="309"/>
      <c r="BB167" s="309"/>
      <c r="BC167" s="309"/>
      <c r="BD167" s="309"/>
      <c r="BE167" s="309"/>
      <c r="BF167" s="309"/>
      <c r="BG167" s="309"/>
      <c r="BH167" s="124"/>
      <c r="BI167" s="41"/>
      <c r="BK167" s="412">
        <f>IF($AI$89="Included",1,0)*M54*4
+IF(OR(MID($G$143,8,2)="PF",MID($G$143,8,2)="RS",MID($G$143,8,2)="RF"),BK147,0)</f>
        <v>0</v>
      </c>
      <c r="BL167" s="413"/>
      <c r="BM167" s="414"/>
      <c r="BN167" s="412">
        <f>IF($AI$89="Included",1,0)*P54*4
+IF(OR(MID($G$143,8,2)="PF",MID($G$143,8,2)="RS",MID($G$143,8,2)="RF"),BN147,0)</f>
        <v>0</v>
      </c>
      <c r="BO167" s="413"/>
      <c r="BP167" s="414"/>
      <c r="BQ167" s="412">
        <f>IF($AI$89="Included",1,0)*S54*4
+IF(OR(MID($G$143,8,2)="PF",MID($G$143,8,2)="RS",MID($G$143,8,2)="RF"),BQ147,0)</f>
        <v>0</v>
      </c>
      <c r="BR167" s="413"/>
      <c r="BS167" s="414"/>
      <c r="BT167" s="412">
        <f>IF($AI$89="Included",1,0)*V54*4
+IF(OR(MID($G$143,8,2)="PF",MID($G$143,8,2)="RS",MID($G$143,8,2)="RF"),BT147,0)</f>
        <v>0</v>
      </c>
      <c r="BU167" s="413"/>
      <c r="BV167" s="414"/>
      <c r="BW167" s="412">
        <f>IF($AI$89="Included",1,0)*Y54*4
+IF(OR(MID($G$143,8,2)="PF",MID($G$143,8,2)="RS",MID($G$143,8,2)="RF"),BW147,0)</f>
        <v>0</v>
      </c>
      <c r="BX167" s="413"/>
      <c r="BY167" s="414"/>
      <c r="BZ167" s="412">
        <f>IF($AI$89="Included",1,0)*AB54*4
+IF(OR(MID($G$143,8,2)="PF",MID($G$143,8,2)="RS",MID($G$143,8,2)="RF"),BZ147,0)</f>
        <v>0</v>
      </c>
      <c r="CA167" s="413"/>
      <c r="CB167" s="414"/>
      <c r="CC167" s="412">
        <f>IF($AI$89="Included",1,0)*AE54*4
+IF(OR(MID($G$143,8,2)="PF",MID($G$143,8,2)="RS",MID($G$143,8,2)="RF"),CC147,0)</f>
        <v>0</v>
      </c>
      <c r="CD167" s="413"/>
      <c r="CE167" s="414"/>
      <c r="CF167" s="412">
        <f>IF($AI$89="Included",1,0)*AH54*4
+IF(OR(MID($G$143,8,2)="PF",MID($G$143,8,2)="RS",MID($G$143,8,2)="RF"),CF147,0)</f>
        <v>0</v>
      </c>
      <c r="CG167" s="413"/>
      <c r="CH167" s="414"/>
      <c r="CI167" s="412">
        <f>IF($AI$89="Included",1,0)*AK54*4
+IF(OR(MID($G$143,8,2)="PF",MID($G$143,8,2)="RS",MID($G$143,8,2)="RF"),CI147,0)</f>
        <v>0</v>
      </c>
      <c r="CJ167" s="413"/>
      <c r="CK167" s="414"/>
      <c r="CL167" s="412">
        <f>IF($AI$89="Included",1,0)*AN54*4
+IF(OR(MID($G$143,8,2)="PF",MID($G$143,8,2)="RS",MID($G$143,8,2)="RF"),CL147,0)</f>
        <v>0</v>
      </c>
      <c r="CM167" s="413"/>
      <c r="CN167" s="414"/>
      <c r="CO167" s="412">
        <f>IF($AI$89="Included",1,0)*AQ54*4
+IF(OR(MID($G$143,8,2)="PF",MID($G$143,8,2)="RS",MID($G$143,8,2)="RF"),CO147,0)</f>
        <v>0</v>
      </c>
      <c r="CP167" s="413"/>
      <c r="CQ167" s="414"/>
      <c r="CR167" s="412">
        <f>IF($AI$89="Included",1,0)*AT54*4
+IF(OR(MID($G$143,8,2)="PF",MID($G$143,8,2)="RS",MID($G$143,8,2)="RF"),CR147,0)</f>
        <v>0</v>
      </c>
      <c r="CS167" s="413"/>
      <c r="CT167" s="414"/>
      <c r="CU167" s="412">
        <f>IF($AI$89="Included",1,0)*AW54*4
+IF(OR(MID($G$143,8,2)="PF",MID($G$143,8,2)="RS",MID($G$143,8,2)="RF"),CU147,0)</f>
        <v>0</v>
      </c>
      <c r="CV167" s="413"/>
      <c r="CW167" s="414"/>
      <c r="CX167" s="412">
        <f>IF($AI$89="Included",1,0)*AZ54*4
+IF(OR(MID($G$143,8,2)="PF",MID($G$143,8,2)="RS",MID($G$143,8,2)="RF"),CX147,0)</f>
        <v>0</v>
      </c>
      <c r="CY167" s="413"/>
      <c r="CZ167" s="414"/>
      <c r="DA167" s="412">
        <f>IF($AI$89="Included",1,0)*BC54*4
+IF(OR(MID($G$143,8,2)="PF",MID($G$143,8,2)="RS",MID($G$143,8,2)="RF"),DA147,0)</f>
        <v>0</v>
      </c>
      <c r="DB167" s="413"/>
      <c r="DC167" s="414"/>
      <c r="DD167" s="412">
        <f>IF($AI$89="Included",1,0)*BF54*4
+IF(OR(MID($G$143,8,2)="PF",MID($G$143,8,2)="RS",MID($G$143,8,2)="RF"),DD147,0)</f>
        <v>0</v>
      </c>
      <c r="DE167" s="413"/>
      <c r="DF167" s="414"/>
      <c r="DH167" s="311"/>
      <c r="DI167" s="311"/>
      <c r="DJ167" s="311"/>
      <c r="DK167" s="311"/>
      <c r="DL167" s="321"/>
      <c r="DM167" s="321"/>
      <c r="DN167" s="321"/>
      <c r="DO167" s="321"/>
      <c r="DP167" s="321"/>
      <c r="DQ167" s="321"/>
      <c r="DR167" s="321"/>
      <c r="DS167" s="321"/>
    </row>
    <row r="168" spans="1:123" ht="7.4" customHeight="1" x14ac:dyDescent="0.5">
      <c r="A168" s="42"/>
      <c r="B168" s="42"/>
      <c r="C168" s="311"/>
      <c r="D168" s="311"/>
      <c r="E168" s="41"/>
      <c r="F168" s="42"/>
      <c r="G168" s="319"/>
      <c r="H168" s="319"/>
      <c r="I168" s="319"/>
      <c r="J168" s="319"/>
      <c r="K168" s="319"/>
      <c r="L168" s="319"/>
      <c r="M168" s="319"/>
      <c r="N168" s="319"/>
      <c r="O168" s="319"/>
      <c r="P168" s="319"/>
      <c r="Q168" s="319"/>
      <c r="R168" s="320"/>
      <c r="S168" s="42"/>
      <c r="T168" s="405"/>
      <c r="U168" s="405"/>
      <c r="V168" s="405"/>
      <c r="W168" s="405"/>
      <c r="X168" s="405"/>
      <c r="Y168" s="405"/>
      <c r="Z168" s="405"/>
      <c r="AA168" s="405"/>
      <c r="AB168" s="405"/>
      <c r="AC168" s="405"/>
      <c r="AD168" s="405"/>
      <c r="AE168" s="405"/>
      <c r="AF168" s="405"/>
      <c r="AG168" s="405"/>
      <c r="AH168" s="405"/>
      <c r="AI168" s="405"/>
      <c r="AJ168" s="411"/>
      <c r="AK168" s="42"/>
      <c r="AL168" s="311"/>
      <c r="AM168" s="311"/>
      <c r="AN168" s="311"/>
      <c r="AO168" s="311"/>
      <c r="AP168" s="43"/>
      <c r="AQ168" s="128"/>
      <c r="AR168" s="309"/>
      <c r="AS168" s="309"/>
      <c r="AT168" s="309"/>
      <c r="AU168" s="309"/>
      <c r="AV168" s="309"/>
      <c r="AW168" s="309"/>
      <c r="AX168" s="309"/>
      <c r="AY168" s="309"/>
      <c r="AZ168" s="309"/>
      <c r="BA168" s="309"/>
      <c r="BB168" s="309"/>
      <c r="BC168" s="309"/>
      <c r="BD168" s="309"/>
      <c r="BE168" s="309"/>
      <c r="BF168" s="309"/>
      <c r="BG168" s="309"/>
      <c r="BH168" s="124"/>
      <c r="BI168" s="41"/>
      <c r="BK168" s="412"/>
      <c r="BL168" s="413"/>
      <c r="BM168" s="414"/>
      <c r="BN168" s="412"/>
      <c r="BO168" s="413"/>
      <c r="BP168" s="414"/>
      <c r="BQ168" s="412"/>
      <c r="BR168" s="413"/>
      <c r="BS168" s="414"/>
      <c r="BT168" s="412"/>
      <c r="BU168" s="413"/>
      <c r="BV168" s="414"/>
      <c r="BW168" s="412"/>
      <c r="BX168" s="413"/>
      <c r="BY168" s="414"/>
      <c r="BZ168" s="412"/>
      <c r="CA168" s="413"/>
      <c r="CB168" s="414"/>
      <c r="CC168" s="412"/>
      <c r="CD168" s="413"/>
      <c r="CE168" s="414"/>
      <c r="CF168" s="412"/>
      <c r="CG168" s="413"/>
      <c r="CH168" s="414"/>
      <c r="CI168" s="412"/>
      <c r="CJ168" s="413"/>
      <c r="CK168" s="414"/>
      <c r="CL168" s="412"/>
      <c r="CM168" s="413"/>
      <c r="CN168" s="414"/>
      <c r="CO168" s="412"/>
      <c r="CP168" s="413"/>
      <c r="CQ168" s="414"/>
      <c r="CR168" s="412"/>
      <c r="CS168" s="413"/>
      <c r="CT168" s="414"/>
      <c r="CU168" s="412"/>
      <c r="CV168" s="413"/>
      <c r="CW168" s="414"/>
      <c r="CX168" s="412"/>
      <c r="CY168" s="413"/>
      <c r="CZ168" s="414"/>
      <c r="DA168" s="412"/>
      <c r="DB168" s="413"/>
      <c r="DC168" s="414"/>
      <c r="DD168" s="412"/>
      <c r="DE168" s="413"/>
      <c r="DF168" s="414"/>
      <c r="DH168" s="311"/>
      <c r="DI168" s="311"/>
      <c r="DJ168" s="311"/>
      <c r="DK168" s="311"/>
      <c r="DL168" s="321"/>
      <c r="DM168" s="321"/>
      <c r="DN168" s="321"/>
      <c r="DO168" s="321"/>
      <c r="DP168" s="321"/>
      <c r="DQ168" s="321"/>
      <c r="DR168" s="321"/>
      <c r="DS168" s="321"/>
    </row>
    <row r="169" spans="1:123" ht="7.4" customHeight="1" x14ac:dyDescent="0.5">
      <c r="A169" s="42"/>
      <c r="B169" s="42"/>
      <c r="C169" s="333"/>
      <c r="D169" s="333"/>
      <c r="E169" s="41"/>
      <c r="F169" s="42"/>
      <c r="G169" s="56"/>
      <c r="H169" s="56"/>
      <c r="I169" s="56"/>
      <c r="J169" s="56"/>
      <c r="K169" s="56"/>
      <c r="L169" s="56"/>
      <c r="M169" s="56"/>
      <c r="N169" s="56"/>
      <c r="O169" s="56"/>
      <c r="P169" s="56"/>
      <c r="Q169" s="56"/>
      <c r="R169" s="126"/>
      <c r="S169" s="42"/>
      <c r="T169" s="116" t="str">
        <f>VLOOKUP(G167,PL!$B$9:$BH$1265,33,FALSE)</f>
        <v>.</v>
      </c>
      <c r="AJ169" s="41"/>
      <c r="AK169" s="42"/>
      <c r="AL169" s="311"/>
      <c r="AM169" s="311"/>
      <c r="AN169" s="311"/>
      <c r="AO169" s="311"/>
      <c r="AP169" s="43"/>
      <c r="AQ169" s="42"/>
      <c r="AR169" s="131"/>
      <c r="AS169" s="131"/>
      <c r="AT169" s="131"/>
      <c r="AU169" s="131"/>
      <c r="AV169" s="131"/>
      <c r="AW169" s="131"/>
      <c r="AX169" s="105"/>
      <c r="AZ169" s="131"/>
      <c r="BA169" s="131"/>
      <c r="BB169" s="131"/>
      <c r="BC169" s="131"/>
      <c r="BD169" s="131"/>
      <c r="BE169" s="131"/>
      <c r="BF169" s="131"/>
      <c r="BG169" s="131"/>
      <c r="BH169" s="124"/>
      <c r="BI169" s="41"/>
      <c r="BK169" s="194"/>
      <c r="BL169" s="123"/>
      <c r="BM169" s="195"/>
      <c r="BN169" s="194"/>
      <c r="BO169" s="123"/>
      <c r="BP169" s="195"/>
      <c r="BQ169" s="194"/>
      <c r="BR169" s="123"/>
      <c r="BS169" s="195"/>
      <c r="BT169" s="194"/>
      <c r="BU169" s="123"/>
      <c r="BV169" s="195"/>
      <c r="BW169" s="194"/>
      <c r="BX169" s="123"/>
      <c r="BY169" s="195"/>
      <c r="BZ169" s="194"/>
      <c r="CA169" s="123"/>
      <c r="CB169" s="195"/>
      <c r="CC169" s="194"/>
      <c r="CD169" s="123"/>
      <c r="CE169" s="195"/>
      <c r="CF169" s="194"/>
      <c r="CG169" s="123"/>
      <c r="CH169" s="195"/>
      <c r="CI169" s="194"/>
      <c r="CJ169" s="123"/>
      <c r="CK169" s="195"/>
      <c r="CL169" s="194"/>
      <c r="CM169" s="123"/>
      <c r="CN169" s="195"/>
      <c r="CO169" s="194"/>
      <c r="CP169" s="123"/>
      <c r="CQ169" s="195"/>
      <c r="CR169" s="194"/>
      <c r="CS169" s="123"/>
      <c r="CT169" s="195"/>
      <c r="CU169" s="194"/>
      <c r="CV169" s="123"/>
      <c r="CW169" s="195"/>
      <c r="CX169" s="194"/>
      <c r="CY169" s="123"/>
      <c r="CZ169" s="195"/>
      <c r="DA169" s="194"/>
      <c r="DB169" s="123"/>
      <c r="DC169" s="195"/>
      <c r="DD169" s="194"/>
      <c r="DE169" s="123"/>
      <c r="DF169" s="195"/>
      <c r="DH169" s="311"/>
      <c r="DI169" s="311"/>
      <c r="DJ169" s="311"/>
      <c r="DK169" s="311"/>
      <c r="DL169" s="321"/>
      <c r="DM169" s="321"/>
      <c r="DN169" s="321"/>
      <c r="DO169" s="321"/>
      <c r="DP169" s="321"/>
      <c r="DQ169" s="321"/>
      <c r="DR169" s="321"/>
      <c r="DS169" s="321"/>
    </row>
    <row r="170" spans="1:123" ht="7.4" customHeight="1" x14ac:dyDescent="0.5">
      <c r="A170" s="42"/>
      <c r="B170" s="42"/>
      <c r="C170" s="333"/>
      <c r="D170" s="333"/>
      <c r="E170" s="41"/>
      <c r="F170" s="42"/>
      <c r="G170" s="56"/>
      <c r="H170" s="56"/>
      <c r="I170" s="56"/>
      <c r="J170" s="56"/>
      <c r="K170" s="56"/>
      <c r="L170" s="56"/>
      <c r="M170" s="56"/>
      <c r="N170" s="56"/>
      <c r="O170" s="56"/>
      <c r="P170" s="56"/>
      <c r="Q170" s="56"/>
      <c r="R170" s="126"/>
      <c r="S170" s="42"/>
      <c r="AJ170" s="41"/>
      <c r="AK170" s="42"/>
      <c r="AL170" s="311"/>
      <c r="AM170" s="311"/>
      <c r="AN170" s="311"/>
      <c r="AO170" s="311"/>
      <c r="AP170" s="43"/>
      <c r="AQ170" s="42"/>
      <c r="AR170" s="131"/>
      <c r="AS170" s="131"/>
      <c r="AT170" s="131"/>
      <c r="AU170" s="131"/>
      <c r="AV170" s="131"/>
      <c r="AW170" s="131"/>
      <c r="AX170" s="105"/>
      <c r="AZ170" s="131"/>
      <c r="BA170" s="131"/>
      <c r="BB170" s="131"/>
      <c r="BC170" s="131"/>
      <c r="BD170" s="131"/>
      <c r="BE170" s="131"/>
      <c r="BF170" s="131"/>
      <c r="BG170" s="131"/>
      <c r="BH170" s="124"/>
      <c r="BI170" s="41"/>
      <c r="BK170" s="194"/>
      <c r="BL170" s="123"/>
      <c r="BM170" s="195"/>
      <c r="BN170" s="194"/>
      <c r="BO170" s="123"/>
      <c r="BP170" s="195"/>
      <c r="BQ170" s="194"/>
      <c r="BR170" s="123"/>
      <c r="BS170" s="195"/>
      <c r="BT170" s="194"/>
      <c r="BU170" s="123"/>
      <c r="BV170" s="195"/>
      <c r="BW170" s="194"/>
      <c r="BX170" s="123"/>
      <c r="BY170" s="195"/>
      <c r="BZ170" s="194"/>
      <c r="CA170" s="123"/>
      <c r="CB170" s="195"/>
      <c r="CC170" s="194"/>
      <c r="CD170" s="123"/>
      <c r="CE170" s="195"/>
      <c r="CF170" s="194"/>
      <c r="CG170" s="123"/>
      <c r="CH170" s="195"/>
      <c r="CI170" s="194"/>
      <c r="CJ170" s="123"/>
      <c r="CK170" s="195"/>
      <c r="CL170" s="194"/>
      <c r="CM170" s="123"/>
      <c r="CN170" s="195"/>
      <c r="CO170" s="194"/>
      <c r="CP170" s="123"/>
      <c r="CQ170" s="195"/>
      <c r="CR170" s="194"/>
      <c r="CS170" s="123"/>
      <c r="CT170" s="195"/>
      <c r="CU170" s="194"/>
      <c r="CV170" s="123"/>
      <c r="CW170" s="195"/>
      <c r="CX170" s="194"/>
      <c r="CY170" s="123"/>
      <c r="CZ170" s="195"/>
      <c r="DA170" s="194"/>
      <c r="DB170" s="123"/>
      <c r="DC170" s="195"/>
      <c r="DD170" s="194"/>
      <c r="DE170" s="123"/>
      <c r="DF170" s="195"/>
      <c r="DH170" s="311"/>
      <c r="DI170" s="311"/>
      <c r="DJ170" s="311"/>
      <c r="DK170" s="311"/>
      <c r="DL170" s="321"/>
      <c r="DM170" s="321"/>
      <c r="DN170" s="321"/>
      <c r="DO170" s="321"/>
      <c r="DP170" s="321"/>
      <c r="DQ170" s="321"/>
      <c r="DR170" s="321"/>
      <c r="DS170" s="321"/>
    </row>
    <row r="171" spans="1:123" ht="7.4" customHeight="1" x14ac:dyDescent="0.5">
      <c r="A171" s="42"/>
      <c r="B171" s="42"/>
      <c r="C171" s="311">
        <f>C167+1</f>
        <v>14</v>
      </c>
      <c r="D171" s="311"/>
      <c r="E171" s="41"/>
      <c r="F171" s="42"/>
      <c r="G171" s="319" t="str">
        <f>IF(AL171=0,"N/A","AXE_CS_8_25"&amp;"_SS")</f>
        <v>AXE_CS_8_25_SS</v>
      </c>
      <c r="H171" s="319"/>
      <c r="I171" s="319"/>
      <c r="J171" s="319"/>
      <c r="K171" s="319"/>
      <c r="L171" s="319"/>
      <c r="M171" s="319"/>
      <c r="N171" s="319"/>
      <c r="O171" s="319"/>
      <c r="P171" s="319"/>
      <c r="Q171" s="319"/>
      <c r="R171" s="320"/>
      <c r="S171" s="42"/>
      <c r="T171" s="405" t="str">
        <f>VLOOKUP(G171,PL!$B$9:$BH$1265,14,FALSE)</f>
        <v>Cap Screws Hexagon</v>
      </c>
      <c r="U171" s="405"/>
      <c r="V171" s="405"/>
      <c r="W171" s="405"/>
      <c r="X171" s="405"/>
      <c r="Y171" s="405"/>
      <c r="Z171" s="405"/>
      <c r="AA171" s="405"/>
      <c r="AB171" s="405"/>
      <c r="AC171" s="405"/>
      <c r="AD171" s="405"/>
      <c r="AE171" s="405"/>
      <c r="AF171" s="405"/>
      <c r="AG171" s="405"/>
      <c r="AH171" s="405"/>
      <c r="AI171" s="405"/>
      <c r="AJ171" s="411"/>
      <c r="AK171" s="42"/>
      <c r="AL171" s="311">
        <f>ROUND(SUM(BK171:DF171)*(1+$BF$87),0)</f>
        <v>998</v>
      </c>
      <c r="AM171" s="311"/>
      <c r="AN171" s="311"/>
      <c r="AO171" s="311"/>
      <c r="AP171" s="43"/>
      <c r="AQ171" s="128"/>
      <c r="AR171" s="308" t="str">
        <f>VLOOKUP(G171,PL!$B$9:$BH$818,52,FALSE)</f>
        <v>SOL-59501</v>
      </c>
      <c r="AS171" s="309"/>
      <c r="AT171" s="309"/>
      <c r="AU171" s="309"/>
      <c r="AV171" s="309"/>
      <c r="AW171" s="309"/>
      <c r="AX171" s="309"/>
      <c r="AY171" s="309"/>
      <c r="AZ171" s="309"/>
      <c r="BA171" s="309"/>
      <c r="BB171" s="309"/>
      <c r="BC171" s="309"/>
      <c r="BD171" s="309"/>
      <c r="BE171" s="309"/>
      <c r="BF171" s="309"/>
      <c r="BG171" s="309"/>
      <c r="BH171" s="124"/>
      <c r="BI171" s="41"/>
      <c r="BK171" s="412">
        <f>BK143+BK151*2
+IF(OR(MID($G$143,8,2)="PF",MID($G$143,8,2)="RS",MID($G$143,8,2)="RF"),0,BK147)</f>
        <v>960</v>
      </c>
      <c r="BL171" s="413"/>
      <c r="BM171" s="414"/>
      <c r="BN171" s="412">
        <f t="shared" ref="BN171" si="23">BN143+BN151*2
+IF(OR(MID($G$143,8,2)="PF",MID($G$143,8,2)="RS",MID($G$143,8,2)="RF"),0,BN147)</f>
        <v>0</v>
      </c>
      <c r="BO171" s="413"/>
      <c r="BP171" s="414"/>
      <c r="BQ171" s="412">
        <f t="shared" ref="BQ171" si="24">BQ143+BQ151*2
+IF(OR(MID($G$143,8,2)="PF",MID($G$143,8,2)="RS",MID($G$143,8,2)="RF"),0,BQ147)</f>
        <v>0</v>
      </c>
      <c r="BR171" s="413"/>
      <c r="BS171" s="414"/>
      <c r="BT171" s="412">
        <f t="shared" ref="BT171" si="25">BT143+BT151*2
+IF(OR(MID($G$143,8,2)="PF",MID($G$143,8,2)="RS",MID($G$143,8,2)="RF"),0,BT147)</f>
        <v>0</v>
      </c>
      <c r="BU171" s="413"/>
      <c r="BV171" s="414"/>
      <c r="BW171" s="412">
        <f t="shared" ref="BW171" si="26">BW143+BW151*2
+IF(OR(MID($G$143,8,2)="PF",MID($G$143,8,2)="RS",MID($G$143,8,2)="RF"),0,BW147)</f>
        <v>0</v>
      </c>
      <c r="BX171" s="413"/>
      <c r="BY171" s="414"/>
      <c r="BZ171" s="412">
        <f t="shared" ref="BZ171" si="27">BZ143+BZ151*2
+IF(OR(MID($G$143,8,2)="PF",MID($G$143,8,2)="RS",MID($G$143,8,2)="RF"),0,BZ147)</f>
        <v>0</v>
      </c>
      <c r="CA171" s="413"/>
      <c r="CB171" s="414"/>
      <c r="CC171" s="412">
        <f t="shared" ref="CC171" si="28">CC143+CC151*2
+IF(OR(MID($G$143,8,2)="PF",MID($G$143,8,2)="RS",MID($G$143,8,2)="RF"),0,CC147)</f>
        <v>0</v>
      </c>
      <c r="CD171" s="413"/>
      <c r="CE171" s="414"/>
      <c r="CF171" s="412">
        <f t="shared" ref="CF171" si="29">CF143+CF151*2
+IF(OR(MID($G$143,8,2)="PF",MID($G$143,8,2)="RS",MID($G$143,8,2)="RF"),0,CF147)</f>
        <v>0</v>
      </c>
      <c r="CG171" s="413"/>
      <c r="CH171" s="414"/>
      <c r="CI171" s="412">
        <f t="shared" ref="CI171" si="30">CI143+CI151*2
+IF(OR(MID($G$143,8,2)="PF",MID($G$143,8,2)="RS",MID($G$143,8,2)="RF"),0,CI147)</f>
        <v>0</v>
      </c>
      <c r="CJ171" s="413"/>
      <c r="CK171" s="414"/>
      <c r="CL171" s="412">
        <f t="shared" ref="CL171" si="31">CL143+CL151*2
+IF(OR(MID($G$143,8,2)="PF",MID($G$143,8,2)="RS",MID($G$143,8,2)="RF"),0,CL147)</f>
        <v>0</v>
      </c>
      <c r="CM171" s="413"/>
      <c r="CN171" s="414"/>
      <c r="CO171" s="412">
        <f t="shared" ref="CO171" si="32">CO143+CO151*2
+IF(OR(MID($G$143,8,2)="PF",MID($G$143,8,2)="RS",MID($G$143,8,2)="RF"),0,CO147)</f>
        <v>0</v>
      </c>
      <c r="CP171" s="413"/>
      <c r="CQ171" s="414"/>
      <c r="CR171" s="412">
        <f t="shared" ref="CR171" si="33">CR143+CR151*2
+IF(OR(MID($G$143,8,2)="PF",MID($G$143,8,2)="RS",MID($G$143,8,2)="RF"),0,CR147)</f>
        <v>0</v>
      </c>
      <c r="CS171" s="413"/>
      <c r="CT171" s="414"/>
      <c r="CU171" s="412">
        <f t="shared" ref="CU171" si="34">CU143+CU151*2
+IF(OR(MID($G$143,8,2)="PF",MID($G$143,8,2)="RS",MID($G$143,8,2)="RF"),0,CU147)</f>
        <v>0</v>
      </c>
      <c r="CV171" s="413"/>
      <c r="CW171" s="414"/>
      <c r="CX171" s="412">
        <f t="shared" ref="CX171" si="35">CX143+CX151*2
+IF(OR(MID($G$143,8,2)="PF",MID($G$143,8,2)="RS",MID($G$143,8,2)="RF"),0,CX147)</f>
        <v>0</v>
      </c>
      <c r="CY171" s="413"/>
      <c r="CZ171" s="414"/>
      <c r="DA171" s="412">
        <f t="shared" ref="DA171" si="36">DA143+DA151*2
+IF(OR(MID($G$143,8,2)="PF",MID($G$143,8,2)="RS",MID($G$143,8,2)="RF"),0,DA147)</f>
        <v>0</v>
      </c>
      <c r="DB171" s="413"/>
      <c r="DC171" s="414"/>
      <c r="DD171" s="412">
        <f t="shared" ref="DD171" si="37">DD143+DD151*2
+IF(OR(MID($G$143,8,2)="PF",MID($G$143,8,2)="RS",MID($G$143,8,2)="RF"),0,DD147)</f>
        <v>0</v>
      </c>
      <c r="DE171" s="413"/>
      <c r="DF171" s="414"/>
      <c r="DH171" s="311"/>
      <c r="DI171" s="311"/>
      <c r="DJ171" s="311"/>
      <c r="DK171" s="311"/>
      <c r="DL171" s="321"/>
      <c r="DM171" s="321"/>
      <c r="DN171" s="321"/>
      <c r="DO171" s="321"/>
      <c r="DP171" s="321"/>
      <c r="DQ171" s="321"/>
      <c r="DR171" s="321"/>
      <c r="DS171" s="321"/>
    </row>
    <row r="172" spans="1:123" ht="7.4" customHeight="1" x14ac:dyDescent="0.5">
      <c r="A172" s="42"/>
      <c r="B172" s="42"/>
      <c r="C172" s="311"/>
      <c r="D172" s="311"/>
      <c r="E172" s="41"/>
      <c r="F172" s="42"/>
      <c r="G172" s="319"/>
      <c r="H172" s="319"/>
      <c r="I172" s="319"/>
      <c r="J172" s="319"/>
      <c r="K172" s="319"/>
      <c r="L172" s="319"/>
      <c r="M172" s="319"/>
      <c r="N172" s="319"/>
      <c r="O172" s="319"/>
      <c r="P172" s="319"/>
      <c r="Q172" s="319"/>
      <c r="R172" s="320"/>
      <c r="S172" s="42"/>
      <c r="T172" s="405"/>
      <c r="U172" s="405"/>
      <c r="V172" s="405"/>
      <c r="W172" s="405"/>
      <c r="X172" s="405"/>
      <c r="Y172" s="405"/>
      <c r="Z172" s="405"/>
      <c r="AA172" s="405"/>
      <c r="AB172" s="405"/>
      <c r="AC172" s="405"/>
      <c r="AD172" s="405"/>
      <c r="AE172" s="405"/>
      <c r="AF172" s="405"/>
      <c r="AG172" s="405"/>
      <c r="AH172" s="405"/>
      <c r="AI172" s="405"/>
      <c r="AJ172" s="411"/>
      <c r="AK172" s="42"/>
      <c r="AL172" s="311"/>
      <c r="AM172" s="311"/>
      <c r="AN172" s="311"/>
      <c r="AO172" s="311"/>
      <c r="AP172" s="43"/>
      <c r="AQ172" s="128"/>
      <c r="AR172" s="309"/>
      <c r="AS172" s="309"/>
      <c r="AT172" s="309"/>
      <c r="AU172" s="309"/>
      <c r="AV172" s="309"/>
      <c r="AW172" s="309"/>
      <c r="AX172" s="309"/>
      <c r="AY172" s="309"/>
      <c r="AZ172" s="309"/>
      <c r="BA172" s="309"/>
      <c r="BB172" s="309"/>
      <c r="BC172" s="309"/>
      <c r="BD172" s="309"/>
      <c r="BE172" s="309"/>
      <c r="BF172" s="309"/>
      <c r="BG172" s="309"/>
      <c r="BH172" s="124"/>
      <c r="BI172" s="41"/>
      <c r="BK172" s="412"/>
      <c r="BL172" s="413"/>
      <c r="BM172" s="414"/>
      <c r="BN172" s="412"/>
      <c r="BO172" s="413"/>
      <c r="BP172" s="414"/>
      <c r="BQ172" s="412"/>
      <c r="BR172" s="413"/>
      <c r="BS172" s="414"/>
      <c r="BT172" s="412"/>
      <c r="BU172" s="413"/>
      <c r="BV172" s="414"/>
      <c r="BW172" s="412"/>
      <c r="BX172" s="413"/>
      <c r="BY172" s="414"/>
      <c r="BZ172" s="412"/>
      <c r="CA172" s="413"/>
      <c r="CB172" s="414"/>
      <c r="CC172" s="412"/>
      <c r="CD172" s="413"/>
      <c r="CE172" s="414"/>
      <c r="CF172" s="412"/>
      <c r="CG172" s="413"/>
      <c r="CH172" s="414"/>
      <c r="CI172" s="412"/>
      <c r="CJ172" s="413"/>
      <c r="CK172" s="414"/>
      <c r="CL172" s="412"/>
      <c r="CM172" s="413"/>
      <c r="CN172" s="414"/>
      <c r="CO172" s="412"/>
      <c r="CP172" s="413"/>
      <c r="CQ172" s="414"/>
      <c r="CR172" s="412"/>
      <c r="CS172" s="413"/>
      <c r="CT172" s="414"/>
      <c r="CU172" s="412"/>
      <c r="CV172" s="413"/>
      <c r="CW172" s="414"/>
      <c r="CX172" s="412"/>
      <c r="CY172" s="413"/>
      <c r="CZ172" s="414"/>
      <c r="DA172" s="412"/>
      <c r="DB172" s="413"/>
      <c r="DC172" s="414"/>
      <c r="DD172" s="412"/>
      <c r="DE172" s="413"/>
      <c r="DF172" s="414"/>
      <c r="DH172" s="311"/>
      <c r="DI172" s="311"/>
      <c r="DJ172" s="311"/>
      <c r="DK172" s="311"/>
      <c r="DL172" s="321"/>
      <c r="DM172" s="321"/>
      <c r="DN172" s="321"/>
      <c r="DO172" s="321"/>
      <c r="DP172" s="321"/>
      <c r="DQ172" s="321"/>
      <c r="DR172" s="321"/>
      <c r="DS172" s="321"/>
    </row>
    <row r="173" spans="1:123" ht="7.4" customHeight="1" x14ac:dyDescent="0.5">
      <c r="A173" s="42"/>
      <c r="B173" s="42"/>
      <c r="C173" s="333"/>
      <c r="D173" s="333"/>
      <c r="E173" s="41"/>
      <c r="F173" s="42"/>
      <c r="G173" s="56"/>
      <c r="H173" s="56"/>
      <c r="I173" s="56"/>
      <c r="J173" s="56"/>
      <c r="K173" s="56"/>
      <c r="L173" s="56"/>
      <c r="M173" s="56"/>
      <c r="N173" s="56"/>
      <c r="O173" s="56"/>
      <c r="P173" s="56"/>
      <c r="Q173" s="56"/>
      <c r="R173" s="126"/>
      <c r="S173" s="42"/>
      <c r="T173" s="116" t="str">
        <f>VLOOKUP(G171,PL!$B$9:$BH$1265,33,FALSE)</f>
        <v>Stainless Steel, M8x25</v>
      </c>
      <c r="AJ173" s="41"/>
      <c r="AK173" s="42"/>
      <c r="AL173" s="311"/>
      <c r="AM173" s="311"/>
      <c r="AN173" s="311"/>
      <c r="AO173" s="311"/>
      <c r="AP173" s="43"/>
      <c r="AQ173" s="42"/>
      <c r="AR173" s="131"/>
      <c r="AS173" s="131"/>
      <c r="AT173" s="131"/>
      <c r="AU173" s="131"/>
      <c r="AV173" s="131"/>
      <c r="AW173" s="131"/>
      <c r="AX173" s="105"/>
      <c r="AZ173" s="131"/>
      <c r="BA173" s="131"/>
      <c r="BB173" s="131"/>
      <c r="BC173" s="131"/>
      <c r="BD173" s="131"/>
      <c r="BE173" s="131"/>
      <c r="BF173" s="131"/>
      <c r="BG173" s="131"/>
      <c r="BH173" s="124"/>
      <c r="BI173" s="41"/>
      <c r="BK173" s="194"/>
      <c r="BL173" s="123"/>
      <c r="BM173" s="195"/>
      <c r="BN173" s="194"/>
      <c r="BO173" s="123"/>
      <c r="BP173" s="195"/>
      <c r="BQ173" s="194"/>
      <c r="BR173" s="123"/>
      <c r="BS173" s="195"/>
      <c r="BT173" s="194"/>
      <c r="BU173" s="123"/>
      <c r="BV173" s="195"/>
      <c r="BW173" s="194"/>
      <c r="BX173" s="123"/>
      <c r="BY173" s="195"/>
      <c r="BZ173" s="194"/>
      <c r="CA173" s="123"/>
      <c r="CB173" s="195"/>
      <c r="CC173" s="194"/>
      <c r="CD173" s="123"/>
      <c r="CE173" s="195"/>
      <c r="CF173" s="194"/>
      <c r="CG173" s="123"/>
      <c r="CH173" s="195"/>
      <c r="CI173" s="194"/>
      <c r="CJ173" s="123"/>
      <c r="CK173" s="195"/>
      <c r="CL173" s="194"/>
      <c r="CM173" s="123"/>
      <c r="CN173" s="195"/>
      <c r="CO173" s="194"/>
      <c r="CP173" s="123"/>
      <c r="CQ173" s="195"/>
      <c r="CR173" s="194"/>
      <c r="CS173" s="123"/>
      <c r="CT173" s="195"/>
      <c r="CU173" s="194"/>
      <c r="CV173" s="123"/>
      <c r="CW173" s="195"/>
      <c r="CX173" s="194"/>
      <c r="CY173" s="123"/>
      <c r="CZ173" s="195"/>
      <c r="DA173" s="194"/>
      <c r="DB173" s="123"/>
      <c r="DC173" s="195"/>
      <c r="DD173" s="194"/>
      <c r="DE173" s="123"/>
      <c r="DF173" s="195"/>
      <c r="DH173" s="311"/>
      <c r="DI173" s="311"/>
      <c r="DJ173" s="311"/>
      <c r="DK173" s="311"/>
      <c r="DL173" s="321"/>
      <c r="DM173" s="321"/>
      <c r="DN173" s="321"/>
      <c r="DO173" s="321"/>
      <c r="DP173" s="321"/>
      <c r="DQ173" s="321"/>
      <c r="DR173" s="321"/>
      <c r="DS173" s="321"/>
    </row>
    <row r="174" spans="1:123" ht="7.4" customHeight="1" x14ac:dyDescent="0.5">
      <c r="A174" s="42"/>
      <c r="B174" s="42"/>
      <c r="C174" s="333"/>
      <c r="D174" s="333"/>
      <c r="E174" s="41"/>
      <c r="F174" s="42"/>
      <c r="G174" s="56"/>
      <c r="H174" s="56"/>
      <c r="I174" s="56"/>
      <c r="J174" s="56"/>
      <c r="K174" s="56"/>
      <c r="L174" s="56"/>
      <c r="M174" s="56"/>
      <c r="N174" s="56"/>
      <c r="O174" s="56"/>
      <c r="P174" s="56"/>
      <c r="Q174" s="56"/>
      <c r="R174" s="126"/>
      <c r="S174" s="42"/>
      <c r="AJ174" s="41"/>
      <c r="AK174" s="42"/>
      <c r="AL174" s="311"/>
      <c r="AM174" s="311"/>
      <c r="AN174" s="311"/>
      <c r="AO174" s="311"/>
      <c r="AP174" s="43"/>
      <c r="AQ174" s="42"/>
      <c r="AR174" s="131"/>
      <c r="AS174" s="131"/>
      <c r="AT174" s="131"/>
      <c r="AU174" s="131"/>
      <c r="AV174" s="131"/>
      <c r="AW174" s="131"/>
      <c r="AX174" s="105"/>
      <c r="AZ174" s="131"/>
      <c r="BA174" s="131"/>
      <c r="BB174" s="131"/>
      <c r="BC174" s="131"/>
      <c r="BD174" s="131"/>
      <c r="BE174" s="131"/>
      <c r="BF174" s="131"/>
      <c r="BG174" s="131"/>
      <c r="BH174" s="124"/>
      <c r="BI174" s="41"/>
      <c r="BK174" s="194"/>
      <c r="BL174" s="123"/>
      <c r="BM174" s="195"/>
      <c r="BN174" s="194"/>
      <c r="BO174" s="123"/>
      <c r="BP174" s="195"/>
      <c r="BQ174" s="194"/>
      <c r="BR174" s="123"/>
      <c r="BS174" s="195"/>
      <c r="BT174" s="194"/>
      <c r="BU174" s="123"/>
      <c r="BV174" s="195"/>
      <c r="BW174" s="194"/>
      <c r="BX174" s="123"/>
      <c r="BY174" s="195"/>
      <c r="BZ174" s="194"/>
      <c r="CA174" s="123"/>
      <c r="CB174" s="195"/>
      <c r="CC174" s="194"/>
      <c r="CD174" s="123"/>
      <c r="CE174" s="195"/>
      <c r="CF174" s="194"/>
      <c r="CG174" s="123"/>
      <c r="CH174" s="195"/>
      <c r="CI174" s="194"/>
      <c r="CJ174" s="123"/>
      <c r="CK174" s="195"/>
      <c r="CL174" s="194"/>
      <c r="CM174" s="123"/>
      <c r="CN174" s="195"/>
      <c r="CO174" s="194"/>
      <c r="CP174" s="123"/>
      <c r="CQ174" s="195"/>
      <c r="CR174" s="194"/>
      <c r="CS174" s="123"/>
      <c r="CT174" s="195"/>
      <c r="CU174" s="194"/>
      <c r="CV174" s="123"/>
      <c r="CW174" s="195"/>
      <c r="CX174" s="194"/>
      <c r="CY174" s="123"/>
      <c r="CZ174" s="195"/>
      <c r="DA174" s="194"/>
      <c r="DB174" s="123"/>
      <c r="DC174" s="195"/>
      <c r="DD174" s="194"/>
      <c r="DE174" s="123"/>
      <c r="DF174" s="195"/>
      <c r="DH174" s="311"/>
      <c r="DI174" s="311"/>
      <c r="DJ174" s="311"/>
      <c r="DK174" s="311"/>
      <c r="DL174" s="321"/>
      <c r="DM174" s="321"/>
      <c r="DN174" s="321"/>
      <c r="DO174" s="321"/>
      <c r="DP174" s="321"/>
      <c r="DQ174" s="321"/>
      <c r="DR174" s="321"/>
      <c r="DS174" s="321"/>
    </row>
    <row r="175" spans="1:123" ht="7.4" customHeight="1" x14ac:dyDescent="0.5">
      <c r="A175" s="42"/>
      <c r="B175" s="42"/>
      <c r="C175" s="311">
        <f>C171+1</f>
        <v>15</v>
      </c>
      <c r="D175" s="311"/>
      <c r="E175" s="41"/>
      <c r="F175" s="42"/>
      <c r="G175" s="319" t="str">
        <f>IF(AL175=0,"N/A","AXE_CS_8_"&amp;$AM$45-5&amp;"_SS")</f>
        <v>N/A</v>
      </c>
      <c r="H175" s="319"/>
      <c r="I175" s="319"/>
      <c r="J175" s="319"/>
      <c r="K175" s="319"/>
      <c r="L175" s="319"/>
      <c r="M175" s="319"/>
      <c r="N175" s="319"/>
      <c r="O175" s="319"/>
      <c r="P175" s="319"/>
      <c r="Q175" s="319"/>
      <c r="R175" s="320"/>
      <c r="S175" s="42"/>
      <c r="T175" s="405" t="str">
        <f>VLOOKUP(G175,PL!$B$9:$BH$1265,14,FALSE)</f>
        <v>No Item</v>
      </c>
      <c r="U175" s="405"/>
      <c r="V175" s="405"/>
      <c r="W175" s="405"/>
      <c r="X175" s="405"/>
      <c r="Y175" s="405"/>
      <c r="Z175" s="405"/>
      <c r="AA175" s="405"/>
      <c r="AB175" s="405"/>
      <c r="AC175" s="405"/>
      <c r="AD175" s="405"/>
      <c r="AE175" s="405"/>
      <c r="AF175" s="405"/>
      <c r="AG175" s="405"/>
      <c r="AH175" s="405"/>
      <c r="AI175" s="405"/>
      <c r="AJ175" s="411"/>
      <c r="AK175" s="42"/>
      <c r="AL175" s="311">
        <f>ROUND(SUM(BK175:DF175)*(1+$BF$87),0)</f>
        <v>0</v>
      </c>
      <c r="AM175" s="311"/>
      <c r="AN175" s="311"/>
      <c r="AO175" s="311"/>
      <c r="AP175" s="43"/>
      <c r="AQ175" s="128"/>
      <c r="AR175" s="308" t="str">
        <f>VLOOKUP(G175,PL!$B$9:$BH$818,52,FALSE)</f>
        <v>-</v>
      </c>
      <c r="AS175" s="309"/>
      <c r="AT175" s="309"/>
      <c r="AU175" s="309"/>
      <c r="AV175" s="309"/>
      <c r="AW175" s="309"/>
      <c r="AX175" s="309"/>
      <c r="AY175" s="309"/>
      <c r="AZ175" s="309"/>
      <c r="BA175" s="309"/>
      <c r="BB175" s="309"/>
      <c r="BC175" s="309"/>
      <c r="BD175" s="309"/>
      <c r="BE175" s="309"/>
      <c r="BF175" s="309"/>
      <c r="BG175" s="309"/>
      <c r="BH175" s="124"/>
      <c r="BI175" s="41"/>
      <c r="BK175" s="412">
        <f>IF($AI$85="Included",0,BK135+BK139)</f>
        <v>0</v>
      </c>
      <c r="BL175" s="413"/>
      <c r="BM175" s="414"/>
      <c r="BN175" s="412">
        <f>IF($AI$85="Included",0,BN135+BN139)</f>
        <v>0</v>
      </c>
      <c r="BO175" s="413"/>
      <c r="BP175" s="414"/>
      <c r="BQ175" s="412">
        <f>IF($AI$85="Included",0,BQ135+BQ139)</f>
        <v>0</v>
      </c>
      <c r="BR175" s="413"/>
      <c r="BS175" s="414"/>
      <c r="BT175" s="412">
        <f>IF($AI$85="Included",0,BT135+BT139)</f>
        <v>0</v>
      </c>
      <c r="BU175" s="413"/>
      <c r="BV175" s="414"/>
      <c r="BW175" s="412">
        <f>IF($AI$85="Included",0,BW135+BW139)</f>
        <v>0</v>
      </c>
      <c r="BX175" s="413"/>
      <c r="BY175" s="414"/>
      <c r="BZ175" s="412">
        <f>IF($AI$85="Included",0,BZ135+BZ139)</f>
        <v>0</v>
      </c>
      <c r="CA175" s="413"/>
      <c r="CB175" s="414"/>
      <c r="CC175" s="412">
        <f>IF($AI$85="Included",0,CC135+CC139)</f>
        <v>0</v>
      </c>
      <c r="CD175" s="413"/>
      <c r="CE175" s="414"/>
      <c r="CF175" s="412">
        <f>IF($AI$85="Included",0,CF135+CF139)</f>
        <v>0</v>
      </c>
      <c r="CG175" s="413"/>
      <c r="CH175" s="414"/>
      <c r="CI175" s="412">
        <f>IF($AI$85="Included",0,CI135+CI139)</f>
        <v>0</v>
      </c>
      <c r="CJ175" s="413"/>
      <c r="CK175" s="414"/>
      <c r="CL175" s="412">
        <f>IF($AI$85="Included",0,CL135+CL139)</f>
        <v>0</v>
      </c>
      <c r="CM175" s="413"/>
      <c r="CN175" s="414"/>
      <c r="CO175" s="412">
        <f>IF($AI$85="Included",0,CO135+CO139)</f>
        <v>0</v>
      </c>
      <c r="CP175" s="413"/>
      <c r="CQ175" s="414"/>
      <c r="CR175" s="412">
        <f>IF($AI$85="Included",0,CR135+CR139)</f>
        <v>0</v>
      </c>
      <c r="CS175" s="413"/>
      <c r="CT175" s="414"/>
      <c r="CU175" s="412">
        <f>IF($AI$85="Included",0,CU135+CU139)</f>
        <v>0</v>
      </c>
      <c r="CV175" s="413"/>
      <c r="CW175" s="414"/>
      <c r="CX175" s="412">
        <f>IF($AI$85="Included",0,CX135+CX139)</f>
        <v>0</v>
      </c>
      <c r="CY175" s="413"/>
      <c r="CZ175" s="414"/>
      <c r="DA175" s="412">
        <f>IF($AI$85="Included",0,DA135+DA139)</f>
        <v>0</v>
      </c>
      <c r="DB175" s="413"/>
      <c r="DC175" s="414"/>
      <c r="DD175" s="412">
        <f>IF($AI$85="Included",0,DD135+DD139)</f>
        <v>0</v>
      </c>
      <c r="DE175" s="413"/>
      <c r="DF175" s="414"/>
      <c r="DH175" s="311"/>
      <c r="DI175" s="311"/>
      <c r="DJ175" s="311"/>
      <c r="DK175" s="311"/>
      <c r="DL175" s="321"/>
      <c r="DM175" s="321"/>
      <c r="DN175" s="321"/>
      <c r="DO175" s="321"/>
      <c r="DP175" s="321"/>
      <c r="DQ175" s="321"/>
      <c r="DR175" s="321"/>
      <c r="DS175" s="321"/>
    </row>
    <row r="176" spans="1:123" ht="7.4" customHeight="1" x14ac:dyDescent="0.5">
      <c r="A176" s="42"/>
      <c r="B176" s="42"/>
      <c r="C176" s="311"/>
      <c r="D176" s="311"/>
      <c r="E176" s="41"/>
      <c r="F176" s="42"/>
      <c r="G176" s="319"/>
      <c r="H176" s="319"/>
      <c r="I176" s="319"/>
      <c r="J176" s="319"/>
      <c r="K176" s="319"/>
      <c r="L176" s="319"/>
      <c r="M176" s="319"/>
      <c r="N176" s="319"/>
      <c r="O176" s="319"/>
      <c r="P176" s="319"/>
      <c r="Q176" s="319"/>
      <c r="R176" s="320"/>
      <c r="S176" s="42"/>
      <c r="T176" s="405"/>
      <c r="U176" s="405"/>
      <c r="V176" s="405"/>
      <c r="W176" s="405"/>
      <c r="X176" s="405"/>
      <c r="Y176" s="405"/>
      <c r="Z176" s="405"/>
      <c r="AA176" s="405"/>
      <c r="AB176" s="405"/>
      <c r="AC176" s="405"/>
      <c r="AD176" s="405"/>
      <c r="AE176" s="405"/>
      <c r="AF176" s="405"/>
      <c r="AG176" s="405"/>
      <c r="AH176" s="405"/>
      <c r="AI176" s="405"/>
      <c r="AJ176" s="411"/>
      <c r="AK176" s="42"/>
      <c r="AL176" s="311"/>
      <c r="AM176" s="311"/>
      <c r="AN176" s="311"/>
      <c r="AO176" s="311"/>
      <c r="AP176" s="43"/>
      <c r="AQ176" s="128"/>
      <c r="AR176" s="309"/>
      <c r="AS176" s="309"/>
      <c r="AT176" s="309"/>
      <c r="AU176" s="309"/>
      <c r="AV176" s="309"/>
      <c r="AW176" s="309"/>
      <c r="AX176" s="309"/>
      <c r="AY176" s="309"/>
      <c r="AZ176" s="309"/>
      <c r="BA176" s="309"/>
      <c r="BB176" s="309"/>
      <c r="BC176" s="309"/>
      <c r="BD176" s="309"/>
      <c r="BE176" s="309"/>
      <c r="BF176" s="309"/>
      <c r="BG176" s="309"/>
      <c r="BH176" s="124"/>
      <c r="BI176" s="41"/>
      <c r="BK176" s="412"/>
      <c r="BL176" s="413"/>
      <c r="BM176" s="414"/>
      <c r="BN176" s="412"/>
      <c r="BO176" s="413"/>
      <c r="BP176" s="414"/>
      <c r="BQ176" s="412"/>
      <c r="BR176" s="413"/>
      <c r="BS176" s="414"/>
      <c r="BT176" s="412"/>
      <c r="BU176" s="413"/>
      <c r="BV176" s="414"/>
      <c r="BW176" s="412"/>
      <c r="BX176" s="413"/>
      <c r="BY176" s="414"/>
      <c r="BZ176" s="412"/>
      <c r="CA176" s="413"/>
      <c r="CB176" s="414"/>
      <c r="CC176" s="412"/>
      <c r="CD176" s="413"/>
      <c r="CE176" s="414"/>
      <c r="CF176" s="412"/>
      <c r="CG176" s="413"/>
      <c r="CH176" s="414"/>
      <c r="CI176" s="412"/>
      <c r="CJ176" s="413"/>
      <c r="CK176" s="414"/>
      <c r="CL176" s="412"/>
      <c r="CM176" s="413"/>
      <c r="CN176" s="414"/>
      <c r="CO176" s="412"/>
      <c r="CP176" s="413"/>
      <c r="CQ176" s="414"/>
      <c r="CR176" s="412"/>
      <c r="CS176" s="413"/>
      <c r="CT176" s="414"/>
      <c r="CU176" s="412"/>
      <c r="CV176" s="413"/>
      <c r="CW176" s="414"/>
      <c r="CX176" s="412"/>
      <c r="CY176" s="413"/>
      <c r="CZ176" s="414"/>
      <c r="DA176" s="412"/>
      <c r="DB176" s="413"/>
      <c r="DC176" s="414"/>
      <c r="DD176" s="412"/>
      <c r="DE176" s="413"/>
      <c r="DF176" s="414"/>
      <c r="DH176" s="311"/>
      <c r="DI176" s="311"/>
      <c r="DJ176" s="311"/>
      <c r="DK176" s="311"/>
      <c r="DL176" s="321"/>
      <c r="DM176" s="321"/>
      <c r="DN176" s="321"/>
      <c r="DO176" s="321"/>
      <c r="DP176" s="321"/>
      <c r="DQ176" s="321"/>
      <c r="DR176" s="321"/>
      <c r="DS176" s="321"/>
    </row>
    <row r="177" spans="1:123" ht="7.4" customHeight="1" x14ac:dyDescent="0.5">
      <c r="A177" s="42"/>
      <c r="B177" s="42"/>
      <c r="C177" s="333"/>
      <c r="D177" s="333"/>
      <c r="E177" s="41"/>
      <c r="F177" s="42"/>
      <c r="G177" s="56"/>
      <c r="H177" s="56"/>
      <c r="I177" s="56"/>
      <c r="J177" s="56"/>
      <c r="K177" s="56"/>
      <c r="L177" s="56"/>
      <c r="M177" s="56"/>
      <c r="N177" s="56"/>
      <c r="O177" s="56"/>
      <c r="P177" s="56"/>
      <c r="Q177" s="56"/>
      <c r="R177" s="126"/>
      <c r="S177" s="42"/>
      <c r="T177" s="116" t="str">
        <f>VLOOKUP(G175,PL!$B$9:$BH$1265,33,FALSE)</f>
        <v>.</v>
      </c>
      <c r="AJ177" s="41"/>
      <c r="AK177" s="42"/>
      <c r="AL177" s="311"/>
      <c r="AM177" s="311"/>
      <c r="AN177" s="311"/>
      <c r="AO177" s="311"/>
      <c r="AP177" s="43"/>
      <c r="AQ177" s="42"/>
      <c r="AR177" s="131"/>
      <c r="AS177" s="131"/>
      <c r="AT177" s="131"/>
      <c r="AU177" s="131"/>
      <c r="AV177" s="131"/>
      <c r="AW177" s="131"/>
      <c r="AX177" s="105"/>
      <c r="AZ177" s="131"/>
      <c r="BA177" s="131"/>
      <c r="BB177" s="131"/>
      <c r="BC177" s="131"/>
      <c r="BD177" s="131"/>
      <c r="BE177" s="131"/>
      <c r="BF177" s="131"/>
      <c r="BG177" s="131"/>
      <c r="BH177" s="124"/>
      <c r="BI177" s="41"/>
      <c r="BK177" s="194"/>
      <c r="BL177" s="123"/>
      <c r="BM177" s="195"/>
      <c r="BN177" s="194"/>
      <c r="BO177" s="123"/>
      <c r="BP177" s="195"/>
      <c r="BQ177" s="194"/>
      <c r="BR177" s="123"/>
      <c r="BS177" s="195"/>
      <c r="BT177" s="194"/>
      <c r="BU177" s="123"/>
      <c r="BV177" s="195"/>
      <c r="BW177" s="194"/>
      <c r="BX177" s="123"/>
      <c r="BY177" s="195"/>
      <c r="BZ177" s="194"/>
      <c r="CA177" s="123"/>
      <c r="CB177" s="195"/>
      <c r="CC177" s="194"/>
      <c r="CD177" s="123"/>
      <c r="CE177" s="195"/>
      <c r="CF177" s="194"/>
      <c r="CG177" s="123"/>
      <c r="CH177" s="195"/>
      <c r="CI177" s="194"/>
      <c r="CJ177" s="123"/>
      <c r="CK177" s="195"/>
      <c r="CL177" s="194"/>
      <c r="CM177" s="123"/>
      <c r="CN177" s="195"/>
      <c r="CO177" s="194"/>
      <c r="CP177" s="123"/>
      <c r="CQ177" s="195"/>
      <c r="CR177" s="194"/>
      <c r="CS177" s="123"/>
      <c r="CT177" s="195"/>
      <c r="CU177" s="194"/>
      <c r="CV177" s="123"/>
      <c r="CW177" s="195"/>
      <c r="CX177" s="194"/>
      <c r="CY177" s="123"/>
      <c r="CZ177" s="195"/>
      <c r="DA177" s="194"/>
      <c r="DB177" s="123"/>
      <c r="DC177" s="195"/>
      <c r="DD177" s="194"/>
      <c r="DE177" s="123"/>
      <c r="DF177" s="195"/>
      <c r="DH177" s="311"/>
      <c r="DI177" s="311"/>
      <c r="DJ177" s="311"/>
      <c r="DK177" s="311"/>
      <c r="DL177" s="321"/>
      <c r="DM177" s="321"/>
      <c r="DN177" s="321"/>
      <c r="DO177" s="321"/>
      <c r="DP177" s="321"/>
      <c r="DQ177" s="321"/>
      <c r="DR177" s="321"/>
      <c r="DS177" s="321"/>
    </row>
    <row r="178" spans="1:123" ht="7.4" customHeight="1" x14ac:dyDescent="0.5">
      <c r="A178" s="42"/>
      <c r="B178" s="42"/>
      <c r="C178" s="333"/>
      <c r="D178" s="333"/>
      <c r="E178" s="41"/>
      <c r="F178" s="42"/>
      <c r="G178" s="56"/>
      <c r="H178" s="56"/>
      <c r="I178" s="56"/>
      <c r="J178" s="56"/>
      <c r="K178" s="56"/>
      <c r="L178" s="56"/>
      <c r="M178" s="56"/>
      <c r="N178" s="56"/>
      <c r="O178" s="56"/>
      <c r="P178" s="56"/>
      <c r="Q178" s="56"/>
      <c r="R178" s="126"/>
      <c r="S178" s="42"/>
      <c r="AJ178" s="41"/>
      <c r="AK178" s="42"/>
      <c r="AL178" s="311"/>
      <c r="AM178" s="311"/>
      <c r="AN178" s="311"/>
      <c r="AO178" s="311"/>
      <c r="AP178" s="43"/>
      <c r="AQ178" s="42"/>
      <c r="AR178" s="131"/>
      <c r="AS178" s="131"/>
      <c r="AT178" s="131"/>
      <c r="AU178" s="131"/>
      <c r="AV178" s="131"/>
      <c r="AW178" s="131"/>
      <c r="AX178" s="105"/>
      <c r="AZ178" s="131"/>
      <c r="BA178" s="131"/>
      <c r="BB178" s="131"/>
      <c r="BC178" s="131"/>
      <c r="BD178" s="131"/>
      <c r="BE178" s="131"/>
      <c r="BF178" s="131"/>
      <c r="BG178" s="131"/>
      <c r="BH178" s="124"/>
      <c r="BI178" s="41"/>
      <c r="BK178" s="194"/>
      <c r="BL178" s="123"/>
      <c r="BM178" s="195"/>
      <c r="BN178" s="194"/>
      <c r="BO178" s="123"/>
      <c r="BP178" s="195"/>
      <c r="BQ178" s="194"/>
      <c r="BR178" s="123"/>
      <c r="BS178" s="195"/>
      <c r="BT178" s="194"/>
      <c r="BU178" s="123"/>
      <c r="BV178" s="195"/>
      <c r="BW178" s="194"/>
      <c r="BX178" s="123"/>
      <c r="BY178" s="195"/>
      <c r="BZ178" s="194"/>
      <c r="CA178" s="123"/>
      <c r="CB178" s="195"/>
      <c r="CC178" s="194"/>
      <c r="CD178" s="123"/>
      <c r="CE178" s="195"/>
      <c r="CF178" s="194"/>
      <c r="CG178" s="123"/>
      <c r="CH178" s="195"/>
      <c r="CI178" s="194"/>
      <c r="CJ178" s="123"/>
      <c r="CK178" s="195"/>
      <c r="CL178" s="194"/>
      <c r="CM178" s="123"/>
      <c r="CN178" s="195"/>
      <c r="CO178" s="194"/>
      <c r="CP178" s="123"/>
      <c r="CQ178" s="195"/>
      <c r="CR178" s="194"/>
      <c r="CS178" s="123"/>
      <c r="CT178" s="195"/>
      <c r="CU178" s="194"/>
      <c r="CV178" s="123"/>
      <c r="CW178" s="195"/>
      <c r="CX178" s="194"/>
      <c r="CY178" s="123"/>
      <c r="CZ178" s="195"/>
      <c r="DA178" s="194"/>
      <c r="DB178" s="123"/>
      <c r="DC178" s="195"/>
      <c r="DD178" s="194"/>
      <c r="DE178" s="123"/>
      <c r="DF178" s="195"/>
      <c r="DH178" s="311"/>
      <c r="DI178" s="311"/>
      <c r="DJ178" s="311"/>
      <c r="DK178" s="311"/>
      <c r="DL178" s="321"/>
      <c r="DM178" s="321"/>
      <c r="DN178" s="321"/>
      <c r="DO178" s="321"/>
      <c r="DP178" s="321"/>
      <c r="DQ178" s="321"/>
      <c r="DR178" s="321"/>
      <c r="DS178" s="321"/>
    </row>
    <row r="179" spans="1:123" ht="7.4" customHeight="1" x14ac:dyDescent="0.5">
      <c r="A179" s="42"/>
      <c r="B179" s="42"/>
      <c r="C179" s="311">
        <f>C175+1</f>
        <v>16</v>
      </c>
      <c r="D179" s="311"/>
      <c r="E179" s="41"/>
      <c r="F179" s="42"/>
      <c r="G179" s="319" t="str">
        <f>IF(AL179=0,"N/A","AXE_WS_8"&amp;"_SS")</f>
        <v>AXE_WS_8_SS</v>
      </c>
      <c r="H179" s="319"/>
      <c r="I179" s="319"/>
      <c r="J179" s="319"/>
      <c r="K179" s="319"/>
      <c r="L179" s="319"/>
      <c r="M179" s="319"/>
      <c r="N179" s="319"/>
      <c r="O179" s="319"/>
      <c r="P179" s="319"/>
      <c r="Q179" s="319"/>
      <c r="R179" s="320"/>
      <c r="S179" s="42"/>
      <c r="T179" s="405" t="str">
        <f>VLOOKUP(G179,PL!$B$9:$BH$1265,14,FALSE)</f>
        <v>Spring Washer</v>
      </c>
      <c r="U179" s="405"/>
      <c r="V179" s="405"/>
      <c r="W179" s="405"/>
      <c r="X179" s="405"/>
      <c r="Y179" s="405"/>
      <c r="Z179" s="405"/>
      <c r="AA179" s="405"/>
      <c r="AB179" s="405"/>
      <c r="AC179" s="405"/>
      <c r="AD179" s="405"/>
      <c r="AE179" s="405"/>
      <c r="AF179" s="405"/>
      <c r="AG179" s="405"/>
      <c r="AH179" s="405"/>
      <c r="AI179" s="405"/>
      <c r="AJ179" s="411"/>
      <c r="AK179" s="42"/>
      <c r="AL179" s="311">
        <f>ROUND(SUM(BK179:DF179)*(1+$BF$87),0)</f>
        <v>998</v>
      </c>
      <c r="AM179" s="311"/>
      <c r="AN179" s="311"/>
      <c r="AO179" s="311"/>
      <c r="AP179" s="43"/>
      <c r="AQ179" s="128"/>
      <c r="AR179" s="308" t="str">
        <f>VLOOKUP(G179,PL!$B$9:$BH$818,52,FALSE)</f>
        <v>SOL-5951</v>
      </c>
      <c r="AS179" s="309"/>
      <c r="AT179" s="309"/>
      <c r="AU179" s="309"/>
      <c r="AV179" s="309"/>
      <c r="AW179" s="309"/>
      <c r="AX179" s="309"/>
      <c r="AY179" s="309"/>
      <c r="AZ179" s="309"/>
      <c r="BA179" s="309"/>
      <c r="BB179" s="309"/>
      <c r="BC179" s="309"/>
      <c r="BD179" s="309"/>
      <c r="BE179" s="309"/>
      <c r="BF179" s="309"/>
      <c r="BG179" s="309"/>
      <c r="BH179" s="124"/>
      <c r="BI179" s="41"/>
      <c r="BK179" s="412">
        <f>BK171+BK175+BK167</f>
        <v>960</v>
      </c>
      <c r="BL179" s="413"/>
      <c r="BM179" s="414"/>
      <c r="BN179" s="412">
        <f>BN171+BN175+BN167</f>
        <v>0</v>
      </c>
      <c r="BO179" s="413"/>
      <c r="BP179" s="414"/>
      <c r="BQ179" s="412">
        <f>BQ171+BQ175+BQ167</f>
        <v>0</v>
      </c>
      <c r="BR179" s="413"/>
      <c r="BS179" s="414"/>
      <c r="BT179" s="412">
        <f>BT171+BT175+BT167</f>
        <v>0</v>
      </c>
      <c r="BU179" s="413"/>
      <c r="BV179" s="414"/>
      <c r="BW179" s="412">
        <f>BW171+BW175+BW167</f>
        <v>0</v>
      </c>
      <c r="BX179" s="413"/>
      <c r="BY179" s="414"/>
      <c r="BZ179" s="412">
        <f>BZ171+BZ175+BZ167</f>
        <v>0</v>
      </c>
      <c r="CA179" s="413"/>
      <c r="CB179" s="414"/>
      <c r="CC179" s="412">
        <f>CC171+CC175+CC167</f>
        <v>0</v>
      </c>
      <c r="CD179" s="413"/>
      <c r="CE179" s="414"/>
      <c r="CF179" s="412">
        <f>CF171+CF175+CF167</f>
        <v>0</v>
      </c>
      <c r="CG179" s="413"/>
      <c r="CH179" s="414"/>
      <c r="CI179" s="412">
        <f>CI171+CI175+CI167</f>
        <v>0</v>
      </c>
      <c r="CJ179" s="413"/>
      <c r="CK179" s="414"/>
      <c r="CL179" s="412">
        <f>CL171+CL175+CL167</f>
        <v>0</v>
      </c>
      <c r="CM179" s="413"/>
      <c r="CN179" s="414"/>
      <c r="CO179" s="412">
        <f>CO171+CO175+CO167</f>
        <v>0</v>
      </c>
      <c r="CP179" s="413"/>
      <c r="CQ179" s="414"/>
      <c r="CR179" s="412">
        <f>CR171+CR175+CR167</f>
        <v>0</v>
      </c>
      <c r="CS179" s="413"/>
      <c r="CT179" s="414"/>
      <c r="CU179" s="412">
        <f>CU171+CU175+CU167</f>
        <v>0</v>
      </c>
      <c r="CV179" s="413"/>
      <c r="CW179" s="414"/>
      <c r="CX179" s="412">
        <f>CX171+CX175+CX167</f>
        <v>0</v>
      </c>
      <c r="CY179" s="413"/>
      <c r="CZ179" s="414"/>
      <c r="DA179" s="412">
        <f>DA171+DA175+DA167</f>
        <v>0</v>
      </c>
      <c r="DB179" s="413"/>
      <c r="DC179" s="414"/>
      <c r="DD179" s="412">
        <f>DD171+DD175+DD167</f>
        <v>0</v>
      </c>
      <c r="DE179" s="413"/>
      <c r="DF179" s="414"/>
      <c r="DH179" s="311"/>
      <c r="DI179" s="311"/>
      <c r="DJ179" s="311"/>
      <c r="DK179" s="311"/>
      <c r="DL179" s="321"/>
      <c r="DM179" s="321"/>
      <c r="DN179" s="321"/>
      <c r="DO179" s="321"/>
      <c r="DP179" s="321"/>
      <c r="DQ179" s="321"/>
      <c r="DR179" s="321"/>
      <c r="DS179" s="321"/>
    </row>
    <row r="180" spans="1:123" ht="7.4" customHeight="1" x14ac:dyDescent="0.5">
      <c r="A180" s="42"/>
      <c r="B180" s="42"/>
      <c r="C180" s="311"/>
      <c r="D180" s="311"/>
      <c r="E180" s="41"/>
      <c r="F180" s="42"/>
      <c r="G180" s="319"/>
      <c r="H180" s="319"/>
      <c r="I180" s="319"/>
      <c r="J180" s="319"/>
      <c r="K180" s="319"/>
      <c r="L180" s="319"/>
      <c r="M180" s="319"/>
      <c r="N180" s="319"/>
      <c r="O180" s="319"/>
      <c r="P180" s="319"/>
      <c r="Q180" s="319"/>
      <c r="R180" s="320"/>
      <c r="S180" s="42"/>
      <c r="T180" s="405"/>
      <c r="U180" s="405"/>
      <c r="V180" s="405"/>
      <c r="W180" s="405"/>
      <c r="X180" s="405"/>
      <c r="Y180" s="405"/>
      <c r="Z180" s="405"/>
      <c r="AA180" s="405"/>
      <c r="AB180" s="405"/>
      <c r="AC180" s="405"/>
      <c r="AD180" s="405"/>
      <c r="AE180" s="405"/>
      <c r="AF180" s="405"/>
      <c r="AG180" s="405"/>
      <c r="AH180" s="405"/>
      <c r="AI180" s="405"/>
      <c r="AJ180" s="411"/>
      <c r="AK180" s="42"/>
      <c r="AL180" s="311"/>
      <c r="AM180" s="311"/>
      <c r="AN180" s="311"/>
      <c r="AO180" s="311"/>
      <c r="AP180" s="43"/>
      <c r="AQ180" s="128"/>
      <c r="AR180" s="309"/>
      <c r="AS180" s="309"/>
      <c r="AT180" s="309"/>
      <c r="AU180" s="309"/>
      <c r="AV180" s="309"/>
      <c r="AW180" s="309"/>
      <c r="AX180" s="309"/>
      <c r="AY180" s="309"/>
      <c r="AZ180" s="309"/>
      <c r="BA180" s="309"/>
      <c r="BB180" s="309"/>
      <c r="BC180" s="309"/>
      <c r="BD180" s="309"/>
      <c r="BE180" s="309"/>
      <c r="BF180" s="309"/>
      <c r="BG180" s="309"/>
      <c r="BH180" s="124"/>
      <c r="BI180" s="41"/>
      <c r="BK180" s="412"/>
      <c r="BL180" s="413"/>
      <c r="BM180" s="414"/>
      <c r="BN180" s="412"/>
      <c r="BO180" s="413"/>
      <c r="BP180" s="414"/>
      <c r="BQ180" s="412"/>
      <c r="BR180" s="413"/>
      <c r="BS180" s="414"/>
      <c r="BT180" s="412"/>
      <c r="BU180" s="413"/>
      <c r="BV180" s="414"/>
      <c r="BW180" s="412"/>
      <c r="BX180" s="413"/>
      <c r="BY180" s="414"/>
      <c r="BZ180" s="412"/>
      <c r="CA180" s="413"/>
      <c r="CB180" s="414"/>
      <c r="CC180" s="412"/>
      <c r="CD180" s="413"/>
      <c r="CE180" s="414"/>
      <c r="CF180" s="412"/>
      <c r="CG180" s="413"/>
      <c r="CH180" s="414"/>
      <c r="CI180" s="412"/>
      <c r="CJ180" s="413"/>
      <c r="CK180" s="414"/>
      <c r="CL180" s="412"/>
      <c r="CM180" s="413"/>
      <c r="CN180" s="414"/>
      <c r="CO180" s="412"/>
      <c r="CP180" s="413"/>
      <c r="CQ180" s="414"/>
      <c r="CR180" s="412"/>
      <c r="CS180" s="413"/>
      <c r="CT180" s="414"/>
      <c r="CU180" s="412"/>
      <c r="CV180" s="413"/>
      <c r="CW180" s="414"/>
      <c r="CX180" s="412"/>
      <c r="CY180" s="413"/>
      <c r="CZ180" s="414"/>
      <c r="DA180" s="412"/>
      <c r="DB180" s="413"/>
      <c r="DC180" s="414"/>
      <c r="DD180" s="412"/>
      <c r="DE180" s="413"/>
      <c r="DF180" s="414"/>
      <c r="DH180" s="311"/>
      <c r="DI180" s="311"/>
      <c r="DJ180" s="311"/>
      <c r="DK180" s="311"/>
      <c r="DL180" s="321"/>
      <c r="DM180" s="321"/>
      <c r="DN180" s="321"/>
      <c r="DO180" s="321"/>
      <c r="DP180" s="321"/>
      <c r="DQ180" s="321"/>
      <c r="DR180" s="321"/>
      <c r="DS180" s="321"/>
    </row>
    <row r="181" spans="1:123" ht="7.4" customHeight="1" x14ac:dyDescent="0.5">
      <c r="A181" s="42"/>
      <c r="B181" s="42"/>
      <c r="C181" s="333"/>
      <c r="D181" s="333"/>
      <c r="E181" s="41"/>
      <c r="F181" s="42"/>
      <c r="G181" s="56"/>
      <c r="H181" s="56"/>
      <c r="I181" s="56"/>
      <c r="J181" s="56"/>
      <c r="K181" s="56"/>
      <c r="L181" s="56"/>
      <c r="M181" s="56"/>
      <c r="N181" s="56"/>
      <c r="O181" s="56"/>
      <c r="P181" s="56"/>
      <c r="Q181" s="56"/>
      <c r="R181" s="126"/>
      <c r="S181" s="42"/>
      <c r="T181" s="116" t="str">
        <f>VLOOKUP(G179,PL!$B$9:$BH$1265,33,FALSE)</f>
        <v>Stainless Steel, M8</v>
      </c>
      <c r="AJ181" s="41"/>
      <c r="AK181" s="42"/>
      <c r="AL181" s="311"/>
      <c r="AM181" s="311"/>
      <c r="AN181" s="311"/>
      <c r="AO181" s="311"/>
      <c r="AP181" s="43"/>
      <c r="AQ181" s="42"/>
      <c r="AR181" s="131"/>
      <c r="AS181" s="131"/>
      <c r="AT181" s="131"/>
      <c r="AU181" s="131"/>
      <c r="AV181" s="131"/>
      <c r="AW181" s="131"/>
      <c r="AX181" s="105"/>
      <c r="AZ181" s="131"/>
      <c r="BA181" s="131"/>
      <c r="BB181" s="131"/>
      <c r="BC181" s="131"/>
      <c r="BD181" s="131"/>
      <c r="BE181" s="131"/>
      <c r="BF181" s="131"/>
      <c r="BG181" s="131"/>
      <c r="BH181" s="124"/>
      <c r="BI181" s="41"/>
      <c r="BK181" s="194"/>
      <c r="BL181" s="123"/>
      <c r="BM181" s="195"/>
      <c r="BN181" s="194"/>
      <c r="BO181" s="123"/>
      <c r="BP181" s="195"/>
      <c r="BQ181" s="194"/>
      <c r="BR181" s="123"/>
      <c r="BS181" s="195"/>
      <c r="BT181" s="194"/>
      <c r="BU181" s="123"/>
      <c r="BV181" s="195"/>
      <c r="BW181" s="194"/>
      <c r="BX181" s="123"/>
      <c r="BY181" s="195"/>
      <c r="BZ181" s="194"/>
      <c r="CA181" s="123"/>
      <c r="CB181" s="195"/>
      <c r="CC181" s="194"/>
      <c r="CD181" s="123"/>
      <c r="CE181" s="195"/>
      <c r="CF181" s="194"/>
      <c r="CG181" s="123"/>
      <c r="CH181" s="195"/>
      <c r="CI181" s="194"/>
      <c r="CJ181" s="123"/>
      <c r="CK181" s="195"/>
      <c r="CL181" s="194"/>
      <c r="CM181" s="123"/>
      <c r="CN181" s="195"/>
      <c r="CO181" s="194"/>
      <c r="CP181" s="123"/>
      <c r="CQ181" s="195"/>
      <c r="CR181" s="194"/>
      <c r="CS181" s="123"/>
      <c r="CT181" s="195"/>
      <c r="CU181" s="194"/>
      <c r="CV181" s="123"/>
      <c r="CW181" s="195"/>
      <c r="CX181" s="194"/>
      <c r="CY181" s="123"/>
      <c r="CZ181" s="195"/>
      <c r="DA181" s="194"/>
      <c r="DB181" s="123"/>
      <c r="DC181" s="195"/>
      <c r="DD181" s="194"/>
      <c r="DE181" s="123"/>
      <c r="DF181" s="195"/>
      <c r="DH181" s="311"/>
      <c r="DI181" s="311"/>
      <c r="DJ181" s="311"/>
      <c r="DK181" s="311"/>
      <c r="DL181" s="321"/>
      <c r="DM181" s="321"/>
      <c r="DN181" s="321"/>
      <c r="DO181" s="321"/>
      <c r="DP181" s="321"/>
      <c r="DQ181" s="321"/>
      <c r="DR181" s="321"/>
      <c r="DS181" s="321"/>
    </row>
    <row r="182" spans="1:123" ht="7.4" customHeight="1" x14ac:dyDescent="0.5">
      <c r="A182" s="42"/>
      <c r="B182" s="42"/>
      <c r="C182" s="333"/>
      <c r="D182" s="333"/>
      <c r="E182" s="41"/>
      <c r="F182" s="42"/>
      <c r="G182" s="56"/>
      <c r="H182" s="56"/>
      <c r="I182" s="56"/>
      <c r="J182" s="56"/>
      <c r="K182" s="56"/>
      <c r="L182" s="56"/>
      <c r="M182" s="56"/>
      <c r="N182" s="56"/>
      <c r="O182" s="56"/>
      <c r="P182" s="56"/>
      <c r="Q182" s="56"/>
      <c r="R182" s="126"/>
      <c r="S182" s="42"/>
      <c r="AJ182" s="41"/>
      <c r="AK182" s="42"/>
      <c r="AL182" s="311"/>
      <c r="AM182" s="311"/>
      <c r="AN182" s="311"/>
      <c r="AO182" s="311"/>
      <c r="AP182" s="43"/>
      <c r="AQ182" s="42"/>
      <c r="AR182" s="131"/>
      <c r="AS182" s="131"/>
      <c r="AT182" s="131"/>
      <c r="AU182" s="131"/>
      <c r="AV182" s="131"/>
      <c r="AW182" s="131"/>
      <c r="AX182" s="105"/>
      <c r="AZ182" s="131"/>
      <c r="BA182" s="131"/>
      <c r="BB182" s="131"/>
      <c r="BC182" s="131"/>
      <c r="BD182" s="131"/>
      <c r="BE182" s="131"/>
      <c r="BF182" s="131"/>
      <c r="BG182" s="131"/>
      <c r="BH182" s="124"/>
      <c r="BI182" s="41"/>
      <c r="BK182" s="194"/>
      <c r="BL182" s="123"/>
      <c r="BM182" s="195"/>
      <c r="BN182" s="194"/>
      <c r="BO182" s="123"/>
      <c r="BP182" s="195"/>
      <c r="BQ182" s="194"/>
      <c r="BR182" s="123"/>
      <c r="BS182" s="195"/>
      <c r="BT182" s="194"/>
      <c r="BU182" s="123"/>
      <c r="BV182" s="195"/>
      <c r="BW182" s="194"/>
      <c r="BX182" s="123"/>
      <c r="BY182" s="195"/>
      <c r="BZ182" s="194"/>
      <c r="CA182" s="123"/>
      <c r="CB182" s="195"/>
      <c r="CC182" s="194"/>
      <c r="CD182" s="123"/>
      <c r="CE182" s="195"/>
      <c r="CF182" s="194"/>
      <c r="CG182" s="123"/>
      <c r="CH182" s="195"/>
      <c r="CI182" s="194"/>
      <c r="CJ182" s="123"/>
      <c r="CK182" s="195"/>
      <c r="CL182" s="194"/>
      <c r="CM182" s="123"/>
      <c r="CN182" s="195"/>
      <c r="CO182" s="194"/>
      <c r="CP182" s="123"/>
      <c r="CQ182" s="195"/>
      <c r="CR182" s="194"/>
      <c r="CS182" s="123"/>
      <c r="CT182" s="195"/>
      <c r="CU182" s="194"/>
      <c r="CV182" s="123"/>
      <c r="CW182" s="195"/>
      <c r="CX182" s="194"/>
      <c r="CY182" s="123"/>
      <c r="CZ182" s="195"/>
      <c r="DA182" s="194"/>
      <c r="DB182" s="123"/>
      <c r="DC182" s="195"/>
      <c r="DD182" s="194"/>
      <c r="DE182" s="123"/>
      <c r="DF182" s="195"/>
      <c r="DH182" s="311"/>
      <c r="DI182" s="311"/>
      <c r="DJ182" s="311"/>
      <c r="DK182" s="311"/>
      <c r="DL182" s="321"/>
      <c r="DM182" s="321"/>
      <c r="DN182" s="321"/>
      <c r="DO182" s="321"/>
      <c r="DP182" s="321"/>
      <c r="DQ182" s="321"/>
      <c r="DR182" s="321"/>
      <c r="DS182" s="321"/>
    </row>
    <row r="183" spans="1:123" ht="7.4" customHeight="1" x14ac:dyDescent="0.5">
      <c r="A183" s="42"/>
      <c r="B183" s="42"/>
      <c r="C183" s="311">
        <f>C179+1</f>
        <v>17</v>
      </c>
      <c r="D183" s="311"/>
      <c r="E183" s="41"/>
      <c r="F183" s="42"/>
      <c r="G183" s="319" t="str">
        <f>IF(AL183=0,"N/A","AXE_NHF_8_SS")</f>
        <v>AXE_NHF_8_SS</v>
      </c>
      <c r="H183" s="319"/>
      <c r="I183" s="319"/>
      <c r="J183" s="319"/>
      <c r="K183" s="319"/>
      <c r="L183" s="319"/>
      <c r="M183" s="319"/>
      <c r="N183" s="319"/>
      <c r="O183" s="319"/>
      <c r="P183" s="319"/>
      <c r="Q183" s="319"/>
      <c r="R183" s="320"/>
      <c r="S183" s="42"/>
      <c r="T183" s="405" t="str">
        <f>VLOOKUP(G183,PL!$B$9:$BH$1265,14,FALSE)</f>
        <v>Hex Flange Nut</v>
      </c>
      <c r="U183" s="405"/>
      <c r="V183" s="405"/>
      <c r="W183" s="405"/>
      <c r="X183" s="405"/>
      <c r="Y183" s="405"/>
      <c r="Z183" s="405"/>
      <c r="AA183" s="405"/>
      <c r="AB183" s="405"/>
      <c r="AC183" s="405"/>
      <c r="AD183" s="405"/>
      <c r="AE183" s="405"/>
      <c r="AF183" s="405"/>
      <c r="AG183" s="405"/>
      <c r="AH183" s="405"/>
      <c r="AI183" s="405"/>
      <c r="AJ183" s="411"/>
      <c r="AK183" s="42"/>
      <c r="AL183" s="311">
        <f>ROUND(SUM(BK183:DF183)*(1+$BF$87),0)</f>
        <v>998</v>
      </c>
      <c r="AM183" s="311"/>
      <c r="AN183" s="311"/>
      <c r="AO183" s="311"/>
      <c r="AP183" s="43"/>
      <c r="AQ183" s="128"/>
      <c r="AR183" s="308" t="str">
        <f>VLOOKUP(G183,PL!$B$9:$BH$818,52,FALSE)</f>
        <v>SOL-59530</v>
      </c>
      <c r="AS183" s="309"/>
      <c r="AT183" s="309"/>
      <c r="AU183" s="309"/>
      <c r="AV183" s="309"/>
      <c r="AW183" s="309"/>
      <c r="AX183" s="309"/>
      <c r="AY183" s="309"/>
      <c r="AZ183" s="309"/>
      <c r="BA183" s="309"/>
      <c r="BB183" s="309"/>
      <c r="BC183" s="309"/>
      <c r="BD183" s="309"/>
      <c r="BE183" s="309"/>
      <c r="BF183" s="309"/>
      <c r="BG183" s="309"/>
      <c r="BH183" s="124"/>
      <c r="BI183" s="41"/>
      <c r="BK183" s="412">
        <f>BK171-IF($N$93="Angles",0,BK151*2)</f>
        <v>960</v>
      </c>
      <c r="BL183" s="413"/>
      <c r="BM183" s="414"/>
      <c r="BN183" s="412">
        <f>BN171-IF($N$93="Angles",0,BN151*2)</f>
        <v>0</v>
      </c>
      <c r="BO183" s="413"/>
      <c r="BP183" s="414"/>
      <c r="BQ183" s="412">
        <f>BQ171-IF($N$93="Angles",0,BQ151*2)</f>
        <v>0</v>
      </c>
      <c r="BR183" s="413"/>
      <c r="BS183" s="414"/>
      <c r="BT183" s="412">
        <f>BT171-IF($N$93="Angles",0,BT151*2)</f>
        <v>0</v>
      </c>
      <c r="BU183" s="413"/>
      <c r="BV183" s="414"/>
      <c r="BW183" s="412">
        <f>BW171-IF($N$93="Angles",0,BW151*2)</f>
        <v>0</v>
      </c>
      <c r="BX183" s="413"/>
      <c r="BY183" s="414"/>
      <c r="BZ183" s="412">
        <f>BZ171-IF($N$93="Angles",0,BZ151*2)</f>
        <v>0</v>
      </c>
      <c r="CA183" s="413"/>
      <c r="CB183" s="414"/>
      <c r="CC183" s="412">
        <f>CC171-IF($N$93="Angles",0,CC151*2)</f>
        <v>0</v>
      </c>
      <c r="CD183" s="413"/>
      <c r="CE183" s="414"/>
      <c r="CF183" s="412">
        <f>CF171-IF($N$93="Angles",0,CF151*2)</f>
        <v>0</v>
      </c>
      <c r="CG183" s="413"/>
      <c r="CH183" s="414"/>
      <c r="CI183" s="412">
        <f>CI171-IF($N$93="Angles",0,CI151*2)</f>
        <v>0</v>
      </c>
      <c r="CJ183" s="413"/>
      <c r="CK183" s="414"/>
      <c r="CL183" s="412">
        <f>CL171-IF($N$93="Angles",0,CL151*2)</f>
        <v>0</v>
      </c>
      <c r="CM183" s="413"/>
      <c r="CN183" s="414"/>
      <c r="CO183" s="412">
        <f>CO171-IF($N$93="Angles",0,CO151*2)</f>
        <v>0</v>
      </c>
      <c r="CP183" s="413"/>
      <c r="CQ183" s="414"/>
      <c r="CR183" s="412">
        <f>CR171-IF($N$93="Angles",0,CR151*2)</f>
        <v>0</v>
      </c>
      <c r="CS183" s="413"/>
      <c r="CT183" s="414"/>
      <c r="CU183" s="412">
        <f>CU171-IF($N$93="Angles",0,CU151*2)</f>
        <v>0</v>
      </c>
      <c r="CV183" s="413"/>
      <c r="CW183" s="414"/>
      <c r="CX183" s="412">
        <f>CX171-IF($N$93="Angles",0,CX151*2)</f>
        <v>0</v>
      </c>
      <c r="CY183" s="413"/>
      <c r="CZ183" s="414"/>
      <c r="DA183" s="412">
        <f>DA171-IF($N$93="Angles",0,DA151*2)</f>
        <v>0</v>
      </c>
      <c r="DB183" s="413"/>
      <c r="DC183" s="414"/>
      <c r="DD183" s="412">
        <f>DD171-IF($N$93="Angles",0,DD151*2)</f>
        <v>0</v>
      </c>
      <c r="DE183" s="413"/>
      <c r="DF183" s="414"/>
      <c r="DH183" s="311"/>
      <c r="DI183" s="311"/>
      <c r="DJ183" s="311"/>
      <c r="DK183" s="311"/>
      <c r="DL183" s="321"/>
      <c r="DM183" s="321"/>
      <c r="DN183" s="321"/>
      <c r="DO183" s="321"/>
      <c r="DP183" s="321"/>
      <c r="DQ183" s="321"/>
      <c r="DR183" s="321"/>
      <c r="DS183" s="321"/>
    </row>
    <row r="184" spans="1:123" ht="7.4" customHeight="1" x14ac:dyDescent="0.5">
      <c r="A184" s="42"/>
      <c r="B184" s="42"/>
      <c r="C184" s="311"/>
      <c r="D184" s="311"/>
      <c r="E184" s="41"/>
      <c r="F184" s="42"/>
      <c r="G184" s="319"/>
      <c r="H184" s="319"/>
      <c r="I184" s="319"/>
      <c r="J184" s="319"/>
      <c r="K184" s="319"/>
      <c r="L184" s="319"/>
      <c r="M184" s="319"/>
      <c r="N184" s="319"/>
      <c r="O184" s="319"/>
      <c r="P184" s="319"/>
      <c r="Q184" s="319"/>
      <c r="R184" s="320"/>
      <c r="S184" s="42"/>
      <c r="T184" s="405"/>
      <c r="U184" s="405"/>
      <c r="V184" s="405"/>
      <c r="W184" s="405"/>
      <c r="X184" s="405"/>
      <c r="Y184" s="405"/>
      <c r="Z184" s="405"/>
      <c r="AA184" s="405"/>
      <c r="AB184" s="405"/>
      <c r="AC184" s="405"/>
      <c r="AD184" s="405"/>
      <c r="AE184" s="405"/>
      <c r="AF184" s="405"/>
      <c r="AG184" s="405"/>
      <c r="AH184" s="405"/>
      <c r="AI184" s="405"/>
      <c r="AJ184" s="411"/>
      <c r="AK184" s="42"/>
      <c r="AL184" s="311"/>
      <c r="AM184" s="311"/>
      <c r="AN184" s="311"/>
      <c r="AO184" s="311"/>
      <c r="AP184" s="43"/>
      <c r="AQ184" s="128"/>
      <c r="AR184" s="309"/>
      <c r="AS184" s="309"/>
      <c r="AT184" s="309"/>
      <c r="AU184" s="309"/>
      <c r="AV184" s="309"/>
      <c r="AW184" s="309"/>
      <c r="AX184" s="309"/>
      <c r="AY184" s="309"/>
      <c r="AZ184" s="309"/>
      <c r="BA184" s="309"/>
      <c r="BB184" s="309"/>
      <c r="BC184" s="309"/>
      <c r="BD184" s="309"/>
      <c r="BE184" s="309"/>
      <c r="BF184" s="309"/>
      <c r="BG184" s="309"/>
      <c r="BH184" s="124"/>
      <c r="BI184" s="41"/>
      <c r="BK184" s="412"/>
      <c r="BL184" s="413"/>
      <c r="BM184" s="414"/>
      <c r="BN184" s="412"/>
      <c r="BO184" s="413"/>
      <c r="BP184" s="414"/>
      <c r="BQ184" s="412"/>
      <c r="BR184" s="413"/>
      <c r="BS184" s="414"/>
      <c r="BT184" s="412"/>
      <c r="BU184" s="413"/>
      <c r="BV184" s="414"/>
      <c r="BW184" s="412"/>
      <c r="BX184" s="413"/>
      <c r="BY184" s="414"/>
      <c r="BZ184" s="412"/>
      <c r="CA184" s="413"/>
      <c r="CB184" s="414"/>
      <c r="CC184" s="412"/>
      <c r="CD184" s="413"/>
      <c r="CE184" s="414"/>
      <c r="CF184" s="412"/>
      <c r="CG184" s="413"/>
      <c r="CH184" s="414"/>
      <c r="CI184" s="412"/>
      <c r="CJ184" s="413"/>
      <c r="CK184" s="414"/>
      <c r="CL184" s="412"/>
      <c r="CM184" s="413"/>
      <c r="CN184" s="414"/>
      <c r="CO184" s="412"/>
      <c r="CP184" s="413"/>
      <c r="CQ184" s="414"/>
      <c r="CR184" s="412"/>
      <c r="CS184" s="413"/>
      <c r="CT184" s="414"/>
      <c r="CU184" s="412"/>
      <c r="CV184" s="413"/>
      <c r="CW184" s="414"/>
      <c r="CX184" s="412"/>
      <c r="CY184" s="413"/>
      <c r="CZ184" s="414"/>
      <c r="DA184" s="412"/>
      <c r="DB184" s="413"/>
      <c r="DC184" s="414"/>
      <c r="DD184" s="412"/>
      <c r="DE184" s="413"/>
      <c r="DF184" s="414"/>
      <c r="DH184" s="311"/>
      <c r="DI184" s="311"/>
      <c r="DJ184" s="311"/>
      <c r="DK184" s="311"/>
      <c r="DL184" s="321"/>
      <c r="DM184" s="321"/>
      <c r="DN184" s="321"/>
      <c r="DO184" s="321"/>
      <c r="DP184" s="321"/>
      <c r="DQ184" s="321"/>
      <c r="DR184" s="321"/>
      <c r="DS184" s="321"/>
    </row>
    <row r="185" spans="1:123" ht="7.4" customHeight="1" x14ac:dyDescent="0.5">
      <c r="A185" s="42"/>
      <c r="B185" s="42"/>
      <c r="C185" s="333"/>
      <c r="D185" s="333"/>
      <c r="E185" s="41"/>
      <c r="F185" s="42"/>
      <c r="G185" s="56"/>
      <c r="H185" s="56"/>
      <c r="I185" s="56"/>
      <c r="J185" s="56"/>
      <c r="K185" s="56"/>
      <c r="L185" s="56"/>
      <c r="M185" s="56"/>
      <c r="N185" s="56"/>
      <c r="O185" s="56"/>
      <c r="P185" s="56"/>
      <c r="Q185" s="56"/>
      <c r="R185" s="126"/>
      <c r="S185" s="42"/>
      <c r="T185" s="116" t="str">
        <f>VLOOKUP(G183,PL!$B$9:$BH$1265,33,FALSE)</f>
        <v>Stainless Steel, M8</v>
      </c>
      <c r="AJ185" s="41"/>
      <c r="AK185" s="42"/>
      <c r="AL185" s="311"/>
      <c r="AM185" s="311"/>
      <c r="AN185" s="311"/>
      <c r="AO185" s="311"/>
      <c r="AP185" s="43"/>
      <c r="AQ185" s="42"/>
      <c r="AR185" s="131"/>
      <c r="AS185" s="131"/>
      <c r="AT185" s="131"/>
      <c r="AU185" s="131"/>
      <c r="AV185" s="131"/>
      <c r="AW185" s="131"/>
      <c r="AX185" s="105"/>
      <c r="AZ185" s="131"/>
      <c r="BA185" s="131"/>
      <c r="BB185" s="131"/>
      <c r="BC185" s="131"/>
      <c r="BD185" s="131"/>
      <c r="BE185" s="131"/>
      <c r="BF185" s="131"/>
      <c r="BG185" s="131"/>
      <c r="BH185" s="124"/>
      <c r="BI185" s="41"/>
      <c r="BK185" s="194"/>
      <c r="BL185" s="123"/>
      <c r="BM185" s="195"/>
      <c r="BN185" s="194"/>
      <c r="BO185" s="123"/>
      <c r="BP185" s="195"/>
      <c r="BQ185" s="194"/>
      <c r="BR185" s="123"/>
      <c r="BS185" s="195"/>
      <c r="BT185" s="194"/>
      <c r="BU185" s="123"/>
      <c r="BV185" s="195"/>
      <c r="BW185" s="194"/>
      <c r="BX185" s="123"/>
      <c r="BY185" s="195"/>
      <c r="BZ185" s="194"/>
      <c r="CA185" s="123"/>
      <c r="CB185" s="195"/>
      <c r="CC185" s="194"/>
      <c r="CD185" s="123"/>
      <c r="CE185" s="195"/>
      <c r="CF185" s="194"/>
      <c r="CG185" s="123"/>
      <c r="CH185" s="195"/>
      <c r="CI185" s="194"/>
      <c r="CJ185" s="123"/>
      <c r="CK185" s="195"/>
      <c r="CL185" s="194"/>
      <c r="CM185" s="123"/>
      <c r="CN185" s="195"/>
      <c r="CO185" s="194"/>
      <c r="CP185" s="123"/>
      <c r="CQ185" s="195"/>
      <c r="CR185" s="194"/>
      <c r="CS185" s="123"/>
      <c r="CT185" s="195"/>
      <c r="CU185" s="194"/>
      <c r="CV185" s="123"/>
      <c r="CW185" s="195"/>
      <c r="CX185" s="194"/>
      <c r="CY185" s="123"/>
      <c r="CZ185" s="195"/>
      <c r="DA185" s="194"/>
      <c r="DB185" s="123"/>
      <c r="DC185" s="195"/>
      <c r="DD185" s="194"/>
      <c r="DE185" s="123"/>
      <c r="DF185" s="195"/>
      <c r="DH185" s="311"/>
      <c r="DI185" s="311"/>
      <c r="DJ185" s="311"/>
      <c r="DK185" s="311"/>
      <c r="DL185" s="321"/>
      <c r="DM185" s="321"/>
      <c r="DN185" s="321"/>
      <c r="DO185" s="321"/>
      <c r="DP185" s="321"/>
      <c r="DQ185" s="321"/>
      <c r="DR185" s="321"/>
      <c r="DS185" s="321"/>
    </row>
    <row r="186" spans="1:123" ht="7.4" customHeight="1" x14ac:dyDescent="0.5">
      <c r="A186" s="42"/>
      <c r="B186" s="42"/>
      <c r="C186" s="333"/>
      <c r="D186" s="333"/>
      <c r="E186" s="41"/>
      <c r="F186" s="42"/>
      <c r="G186" s="56"/>
      <c r="H186" s="56"/>
      <c r="I186" s="56"/>
      <c r="J186" s="56"/>
      <c r="K186" s="56"/>
      <c r="L186" s="56"/>
      <c r="M186" s="56"/>
      <c r="N186" s="56"/>
      <c r="O186" s="56"/>
      <c r="P186" s="56"/>
      <c r="Q186" s="56"/>
      <c r="R186" s="126"/>
      <c r="S186" s="42"/>
      <c r="AJ186" s="41"/>
      <c r="AK186" s="42"/>
      <c r="AL186" s="311"/>
      <c r="AM186" s="311"/>
      <c r="AN186" s="311"/>
      <c r="AO186" s="311"/>
      <c r="AP186" s="43"/>
      <c r="AQ186" s="42"/>
      <c r="AR186" s="131"/>
      <c r="AS186" s="131"/>
      <c r="AT186" s="131"/>
      <c r="AU186" s="131"/>
      <c r="AV186" s="131"/>
      <c r="AW186" s="131"/>
      <c r="AX186" s="105"/>
      <c r="AZ186" s="131"/>
      <c r="BA186" s="131"/>
      <c r="BB186" s="131"/>
      <c r="BC186" s="131"/>
      <c r="BD186" s="131"/>
      <c r="BE186" s="131"/>
      <c r="BF186" s="131"/>
      <c r="BG186" s="131"/>
      <c r="BH186" s="124"/>
      <c r="BI186" s="41"/>
      <c r="BK186" s="194"/>
      <c r="BL186" s="123"/>
      <c r="BM186" s="195"/>
      <c r="BN186" s="194"/>
      <c r="BO186" s="123"/>
      <c r="BP186" s="195"/>
      <c r="BQ186" s="194"/>
      <c r="BR186" s="123"/>
      <c r="BS186" s="195"/>
      <c r="BT186" s="194"/>
      <c r="BU186" s="123"/>
      <c r="BV186" s="195"/>
      <c r="BW186" s="194"/>
      <c r="BX186" s="123"/>
      <c r="BY186" s="195"/>
      <c r="BZ186" s="194"/>
      <c r="CA186" s="123"/>
      <c r="CB186" s="195"/>
      <c r="CC186" s="194"/>
      <c r="CD186" s="123"/>
      <c r="CE186" s="195"/>
      <c r="CF186" s="194"/>
      <c r="CG186" s="123"/>
      <c r="CH186" s="195"/>
      <c r="CI186" s="194"/>
      <c r="CJ186" s="123"/>
      <c r="CK186" s="195"/>
      <c r="CL186" s="194"/>
      <c r="CM186" s="123"/>
      <c r="CN186" s="195"/>
      <c r="CO186" s="194"/>
      <c r="CP186" s="123"/>
      <c r="CQ186" s="195"/>
      <c r="CR186" s="194"/>
      <c r="CS186" s="123"/>
      <c r="CT186" s="195"/>
      <c r="CU186" s="194"/>
      <c r="CV186" s="123"/>
      <c r="CW186" s="195"/>
      <c r="CX186" s="194"/>
      <c r="CY186" s="123"/>
      <c r="CZ186" s="195"/>
      <c r="DA186" s="194"/>
      <c r="DB186" s="123"/>
      <c r="DC186" s="195"/>
      <c r="DD186" s="194"/>
      <c r="DE186" s="123"/>
      <c r="DF186" s="195"/>
      <c r="DH186" s="311"/>
      <c r="DI186" s="311"/>
      <c r="DJ186" s="311"/>
      <c r="DK186" s="311"/>
      <c r="DL186" s="321"/>
      <c r="DM186" s="321"/>
      <c r="DN186" s="321"/>
      <c r="DO186" s="321"/>
      <c r="DP186" s="321"/>
      <c r="DQ186" s="321"/>
      <c r="DR186" s="321"/>
      <c r="DS186" s="321"/>
    </row>
    <row r="187" spans="1:123" ht="7.4" customHeight="1" x14ac:dyDescent="0.5">
      <c r="A187" s="42"/>
      <c r="B187" s="42"/>
      <c r="C187" s="311">
        <f>C183+1</f>
        <v>18</v>
      </c>
      <c r="D187" s="311"/>
      <c r="E187" s="41"/>
      <c r="F187" s="42"/>
      <c r="G187" s="319" t="str">
        <f>IF(AL187=0,"N/A","AXE_NSQ_8_SS")</f>
        <v>N/A</v>
      </c>
      <c r="H187" s="319"/>
      <c r="I187" s="319"/>
      <c r="J187" s="319"/>
      <c r="K187" s="319"/>
      <c r="L187" s="319"/>
      <c r="M187" s="319"/>
      <c r="N187" s="319"/>
      <c r="O187" s="319"/>
      <c r="P187" s="319"/>
      <c r="Q187" s="319"/>
      <c r="R187" s="320"/>
      <c r="S187" s="42"/>
      <c r="T187" s="405" t="str">
        <f>VLOOKUP(G187,PL!$B$9:$BH$1265,14,FALSE)</f>
        <v>No Item</v>
      </c>
      <c r="U187" s="405"/>
      <c r="V187" s="405"/>
      <c r="W187" s="405"/>
      <c r="X187" s="405"/>
      <c r="Y187" s="405"/>
      <c r="Z187" s="405"/>
      <c r="AA187" s="405"/>
      <c r="AB187" s="405"/>
      <c r="AC187" s="405"/>
      <c r="AD187" s="405"/>
      <c r="AE187" s="405"/>
      <c r="AF187" s="405"/>
      <c r="AG187" s="405"/>
      <c r="AH187" s="405"/>
      <c r="AI187" s="405"/>
      <c r="AJ187" s="411"/>
      <c r="AK187" s="42"/>
      <c r="AL187" s="311">
        <f>ROUND(SUM(BK187:DF187)*(1+$BF$87),0)</f>
        <v>0</v>
      </c>
      <c r="AM187" s="311"/>
      <c r="AN187" s="311"/>
      <c r="AO187" s="311"/>
      <c r="AP187" s="43"/>
      <c r="AQ187" s="128"/>
      <c r="AR187" s="308" t="str">
        <f>VLOOKUP(G187,PL!$B$9:$BH$818,52,FALSE)</f>
        <v>-</v>
      </c>
      <c r="AS187" s="309"/>
      <c r="AT187" s="309"/>
      <c r="AU187" s="309"/>
      <c r="AV187" s="309"/>
      <c r="AW187" s="309"/>
      <c r="AX187" s="309"/>
      <c r="AY187" s="309"/>
      <c r="AZ187" s="309"/>
      <c r="BA187" s="309"/>
      <c r="BB187" s="309"/>
      <c r="BC187" s="309"/>
      <c r="BD187" s="309"/>
      <c r="BE187" s="309"/>
      <c r="BF187" s="309"/>
      <c r="BG187" s="309"/>
      <c r="BH187" s="124"/>
      <c r="BI187" s="41"/>
      <c r="BK187" s="412">
        <f>BK175+BK167-IF(MID($G$143,8,2)="PF",BK147,0)</f>
        <v>0</v>
      </c>
      <c r="BL187" s="413"/>
      <c r="BM187" s="414"/>
      <c r="BN187" s="412">
        <f t="shared" ref="BN187" si="38">BN175+BN167-IF(MID($G$143,8,2)="PF",BN147,0)</f>
        <v>0</v>
      </c>
      <c r="BO187" s="413"/>
      <c r="BP187" s="414"/>
      <c r="BQ187" s="412">
        <f t="shared" ref="BQ187" si="39">BQ175+BQ167-IF(MID($G$143,8,2)="PF",BQ147,0)</f>
        <v>0</v>
      </c>
      <c r="BR187" s="413"/>
      <c r="BS187" s="414"/>
      <c r="BT187" s="412">
        <f t="shared" ref="BT187" si="40">BT175+BT167-IF(MID($G$143,8,2)="PF",BT147,0)</f>
        <v>0</v>
      </c>
      <c r="BU187" s="413"/>
      <c r="BV187" s="414"/>
      <c r="BW187" s="412">
        <f t="shared" ref="BW187" si="41">BW175+BW167-IF(MID($G$143,8,2)="PF",BW147,0)</f>
        <v>0</v>
      </c>
      <c r="BX187" s="413"/>
      <c r="BY187" s="414"/>
      <c r="BZ187" s="412">
        <f t="shared" ref="BZ187" si="42">BZ175+BZ167-IF(MID($G$143,8,2)="PF",BZ147,0)</f>
        <v>0</v>
      </c>
      <c r="CA187" s="413"/>
      <c r="CB187" s="414"/>
      <c r="CC187" s="412">
        <f t="shared" ref="CC187" si="43">CC175+CC167-IF(MID($G$143,8,2)="PF",CC147,0)</f>
        <v>0</v>
      </c>
      <c r="CD187" s="413"/>
      <c r="CE187" s="414"/>
      <c r="CF187" s="412">
        <f t="shared" ref="CF187" si="44">CF175+CF167-IF(MID($G$143,8,2)="PF",CF147,0)</f>
        <v>0</v>
      </c>
      <c r="CG187" s="413"/>
      <c r="CH187" s="414"/>
      <c r="CI187" s="412">
        <f t="shared" ref="CI187" si="45">CI175+CI167-IF(MID($G$143,8,2)="PF",CI147,0)</f>
        <v>0</v>
      </c>
      <c r="CJ187" s="413"/>
      <c r="CK187" s="414"/>
      <c r="CL187" s="412">
        <f t="shared" ref="CL187" si="46">CL175+CL167-IF(MID($G$143,8,2)="PF",CL147,0)</f>
        <v>0</v>
      </c>
      <c r="CM187" s="413"/>
      <c r="CN187" s="414"/>
      <c r="CO187" s="412">
        <f t="shared" ref="CO187" si="47">CO175+CO167-IF(MID($G$143,8,2)="PF",CO147,0)</f>
        <v>0</v>
      </c>
      <c r="CP187" s="413"/>
      <c r="CQ187" s="414"/>
      <c r="CR187" s="412">
        <f t="shared" ref="CR187" si="48">CR175+CR167-IF(MID($G$143,8,2)="PF",CR147,0)</f>
        <v>0</v>
      </c>
      <c r="CS187" s="413"/>
      <c r="CT187" s="414"/>
      <c r="CU187" s="412">
        <f t="shared" ref="CU187" si="49">CU175+CU167-IF(MID($G$143,8,2)="PF",CU147,0)</f>
        <v>0</v>
      </c>
      <c r="CV187" s="413"/>
      <c r="CW187" s="414"/>
      <c r="CX187" s="412">
        <f t="shared" ref="CX187" si="50">CX175+CX167-IF(MID($G$143,8,2)="PF",CX147,0)</f>
        <v>0</v>
      </c>
      <c r="CY187" s="413"/>
      <c r="CZ187" s="414"/>
      <c r="DA187" s="412">
        <f t="shared" ref="DA187" si="51">DA175+DA167-IF(MID($G$143,8,2)="PF",DA147,0)</f>
        <v>0</v>
      </c>
      <c r="DB187" s="413"/>
      <c r="DC187" s="414"/>
      <c r="DD187" s="412">
        <f t="shared" ref="DD187" si="52">DD175+DD167-IF(MID($G$143,8,2)="PF",DD147,0)</f>
        <v>0</v>
      </c>
      <c r="DE187" s="413"/>
      <c r="DF187" s="414"/>
      <c r="DH187" s="311"/>
      <c r="DI187" s="311"/>
      <c r="DJ187" s="311"/>
      <c r="DK187" s="311"/>
      <c r="DL187" s="321"/>
      <c r="DM187" s="321"/>
      <c r="DN187" s="321"/>
      <c r="DO187" s="321"/>
      <c r="DP187" s="321"/>
      <c r="DQ187" s="321"/>
      <c r="DR187" s="321"/>
      <c r="DS187" s="321"/>
    </row>
    <row r="188" spans="1:123" ht="7.4" customHeight="1" x14ac:dyDescent="0.5">
      <c r="A188" s="42"/>
      <c r="B188" s="42"/>
      <c r="C188" s="311"/>
      <c r="D188" s="311"/>
      <c r="E188" s="41"/>
      <c r="F188" s="42"/>
      <c r="G188" s="319"/>
      <c r="H188" s="319"/>
      <c r="I188" s="319"/>
      <c r="J188" s="319"/>
      <c r="K188" s="319"/>
      <c r="L188" s="319"/>
      <c r="M188" s="319"/>
      <c r="N188" s="319"/>
      <c r="O188" s="319"/>
      <c r="P188" s="319"/>
      <c r="Q188" s="319"/>
      <c r="R188" s="320"/>
      <c r="S188" s="42"/>
      <c r="T188" s="405"/>
      <c r="U188" s="405"/>
      <c r="V188" s="405"/>
      <c r="W188" s="405"/>
      <c r="X188" s="405"/>
      <c r="Y188" s="405"/>
      <c r="Z188" s="405"/>
      <c r="AA188" s="405"/>
      <c r="AB188" s="405"/>
      <c r="AC188" s="405"/>
      <c r="AD188" s="405"/>
      <c r="AE188" s="405"/>
      <c r="AF188" s="405"/>
      <c r="AG188" s="405"/>
      <c r="AH188" s="405"/>
      <c r="AI188" s="405"/>
      <c r="AJ188" s="411"/>
      <c r="AK188" s="42"/>
      <c r="AL188" s="311"/>
      <c r="AM188" s="311"/>
      <c r="AN188" s="311"/>
      <c r="AO188" s="311"/>
      <c r="AP188" s="43"/>
      <c r="AQ188" s="128"/>
      <c r="AR188" s="309"/>
      <c r="AS188" s="309"/>
      <c r="AT188" s="309"/>
      <c r="AU188" s="309"/>
      <c r="AV188" s="309"/>
      <c r="AW188" s="309"/>
      <c r="AX188" s="309"/>
      <c r="AY188" s="309"/>
      <c r="AZ188" s="309"/>
      <c r="BA188" s="309"/>
      <c r="BB188" s="309"/>
      <c r="BC188" s="309"/>
      <c r="BD188" s="309"/>
      <c r="BE188" s="309"/>
      <c r="BF188" s="309"/>
      <c r="BG188" s="309"/>
      <c r="BH188" s="124"/>
      <c r="BI188" s="41"/>
      <c r="BK188" s="412"/>
      <c r="BL188" s="413"/>
      <c r="BM188" s="414"/>
      <c r="BN188" s="412"/>
      <c r="BO188" s="413"/>
      <c r="BP188" s="414"/>
      <c r="BQ188" s="412"/>
      <c r="BR188" s="413"/>
      <c r="BS188" s="414"/>
      <c r="BT188" s="412"/>
      <c r="BU188" s="413"/>
      <c r="BV188" s="414"/>
      <c r="BW188" s="412"/>
      <c r="BX188" s="413"/>
      <c r="BY188" s="414"/>
      <c r="BZ188" s="412"/>
      <c r="CA188" s="413"/>
      <c r="CB188" s="414"/>
      <c r="CC188" s="412"/>
      <c r="CD188" s="413"/>
      <c r="CE188" s="414"/>
      <c r="CF188" s="412"/>
      <c r="CG188" s="413"/>
      <c r="CH188" s="414"/>
      <c r="CI188" s="412"/>
      <c r="CJ188" s="413"/>
      <c r="CK188" s="414"/>
      <c r="CL188" s="412"/>
      <c r="CM188" s="413"/>
      <c r="CN188" s="414"/>
      <c r="CO188" s="412"/>
      <c r="CP188" s="413"/>
      <c r="CQ188" s="414"/>
      <c r="CR188" s="412"/>
      <c r="CS188" s="413"/>
      <c r="CT188" s="414"/>
      <c r="CU188" s="412"/>
      <c r="CV188" s="413"/>
      <c r="CW188" s="414"/>
      <c r="CX188" s="412"/>
      <c r="CY188" s="413"/>
      <c r="CZ188" s="414"/>
      <c r="DA188" s="412"/>
      <c r="DB188" s="413"/>
      <c r="DC188" s="414"/>
      <c r="DD188" s="412"/>
      <c r="DE188" s="413"/>
      <c r="DF188" s="414"/>
      <c r="DH188" s="311"/>
      <c r="DI188" s="311"/>
      <c r="DJ188" s="311"/>
      <c r="DK188" s="311"/>
      <c r="DL188" s="321"/>
      <c r="DM188" s="321"/>
      <c r="DN188" s="321"/>
      <c r="DO188" s="321"/>
      <c r="DP188" s="321"/>
      <c r="DQ188" s="321"/>
      <c r="DR188" s="321"/>
      <c r="DS188" s="321"/>
    </row>
    <row r="189" spans="1:123" ht="7.4" customHeight="1" x14ac:dyDescent="0.5">
      <c r="A189" s="42"/>
      <c r="B189" s="42"/>
      <c r="C189" s="333"/>
      <c r="D189" s="333"/>
      <c r="E189" s="41"/>
      <c r="F189" s="42"/>
      <c r="G189" s="56"/>
      <c r="H189" s="56"/>
      <c r="I189" s="56"/>
      <c r="J189" s="56"/>
      <c r="K189" s="56"/>
      <c r="L189" s="56"/>
      <c r="M189" s="56"/>
      <c r="N189" s="56"/>
      <c r="O189" s="56"/>
      <c r="P189" s="56"/>
      <c r="Q189" s="56"/>
      <c r="R189" s="126"/>
      <c r="S189" s="42"/>
      <c r="T189" s="116" t="str">
        <f>VLOOKUP(G187,PL!$B$9:$BH$1265,33,FALSE)</f>
        <v>.</v>
      </c>
      <c r="AJ189" s="41"/>
      <c r="AK189" s="42"/>
      <c r="AL189" s="311"/>
      <c r="AM189" s="311"/>
      <c r="AN189" s="311"/>
      <c r="AO189" s="311"/>
      <c r="AP189" s="43"/>
      <c r="AQ189" s="42"/>
      <c r="AR189" s="131"/>
      <c r="AS189" s="131"/>
      <c r="AT189" s="131"/>
      <c r="AU189" s="131"/>
      <c r="AV189" s="131"/>
      <c r="AW189" s="131"/>
      <c r="AX189" s="105"/>
      <c r="AZ189" s="131"/>
      <c r="BA189" s="131"/>
      <c r="BB189" s="131"/>
      <c r="BC189" s="131"/>
      <c r="BD189" s="131"/>
      <c r="BE189" s="131"/>
      <c r="BF189" s="131"/>
      <c r="BG189" s="131"/>
      <c r="BH189" s="124"/>
      <c r="BI189" s="41"/>
      <c r="BK189" s="194"/>
      <c r="BL189" s="123"/>
      <c r="BM189" s="195"/>
      <c r="BN189" s="194"/>
      <c r="BO189" s="123"/>
      <c r="BP189" s="195"/>
      <c r="BQ189" s="194"/>
      <c r="BR189" s="123"/>
      <c r="BS189" s="195"/>
      <c r="BT189" s="194"/>
      <c r="BU189" s="123"/>
      <c r="BV189" s="195"/>
      <c r="BW189" s="194"/>
      <c r="BX189" s="123"/>
      <c r="BY189" s="195"/>
      <c r="BZ189" s="194"/>
      <c r="CA189" s="123"/>
      <c r="CB189" s="195"/>
      <c r="CC189" s="194"/>
      <c r="CD189" s="123"/>
      <c r="CE189" s="195"/>
      <c r="CF189" s="194"/>
      <c r="CG189" s="123"/>
      <c r="CH189" s="195"/>
      <c r="CI189" s="194"/>
      <c r="CJ189" s="123"/>
      <c r="CK189" s="195"/>
      <c r="CL189" s="194"/>
      <c r="CM189" s="123"/>
      <c r="CN189" s="195"/>
      <c r="CO189" s="194"/>
      <c r="CP189" s="123"/>
      <c r="CQ189" s="195"/>
      <c r="CR189" s="194"/>
      <c r="CS189" s="123"/>
      <c r="CT189" s="195"/>
      <c r="CU189" s="194"/>
      <c r="CV189" s="123"/>
      <c r="CW189" s="195"/>
      <c r="CX189" s="194"/>
      <c r="CY189" s="123"/>
      <c r="CZ189" s="195"/>
      <c r="DA189" s="194"/>
      <c r="DB189" s="123"/>
      <c r="DC189" s="195"/>
      <c r="DD189" s="194"/>
      <c r="DE189" s="123"/>
      <c r="DF189" s="195"/>
      <c r="DH189" s="311"/>
      <c r="DI189" s="311"/>
      <c r="DJ189" s="311"/>
      <c r="DK189" s="311"/>
      <c r="DL189" s="321"/>
      <c r="DM189" s="321"/>
      <c r="DN189" s="321"/>
      <c r="DO189" s="321"/>
      <c r="DP189" s="321"/>
      <c r="DQ189" s="321"/>
      <c r="DR189" s="321"/>
      <c r="DS189" s="321"/>
    </row>
    <row r="190" spans="1:123" ht="7.4" customHeight="1" x14ac:dyDescent="0.5">
      <c r="A190" s="42"/>
      <c r="B190" s="42"/>
      <c r="C190" s="333"/>
      <c r="D190" s="333"/>
      <c r="E190" s="41"/>
      <c r="F190" s="42"/>
      <c r="G190" s="56"/>
      <c r="H190" s="56"/>
      <c r="I190" s="56"/>
      <c r="J190" s="56"/>
      <c r="K190" s="56"/>
      <c r="L190" s="56"/>
      <c r="M190" s="56"/>
      <c r="N190" s="56"/>
      <c r="O190" s="56"/>
      <c r="P190" s="56"/>
      <c r="Q190" s="56"/>
      <c r="R190" s="126"/>
      <c r="S190" s="42"/>
      <c r="AJ190" s="41"/>
      <c r="AK190" s="42"/>
      <c r="AL190" s="311"/>
      <c r="AM190" s="311"/>
      <c r="AN190" s="311"/>
      <c r="AO190" s="311"/>
      <c r="AP190" s="43"/>
      <c r="AQ190" s="42"/>
      <c r="AR190" s="131"/>
      <c r="AS190" s="131"/>
      <c r="AT190" s="131"/>
      <c r="AU190" s="131"/>
      <c r="AV190" s="131"/>
      <c r="AW190" s="131"/>
      <c r="AX190" s="105"/>
      <c r="AZ190" s="131"/>
      <c r="BA190" s="131"/>
      <c r="BB190" s="131"/>
      <c r="BC190" s="131"/>
      <c r="BD190" s="131"/>
      <c r="BE190" s="131"/>
      <c r="BF190" s="131"/>
      <c r="BG190" s="131"/>
      <c r="BH190" s="124"/>
      <c r="BI190" s="41"/>
      <c r="BK190" s="194"/>
      <c r="BL190" s="123"/>
      <c r="BM190" s="195"/>
      <c r="BN190" s="194"/>
      <c r="BO190" s="123"/>
      <c r="BP190" s="195"/>
      <c r="BQ190" s="194"/>
      <c r="BR190" s="123"/>
      <c r="BS190" s="195"/>
      <c r="BT190" s="194"/>
      <c r="BU190" s="123"/>
      <c r="BV190" s="195"/>
      <c r="BW190" s="194"/>
      <c r="BX190" s="123"/>
      <c r="BY190" s="195"/>
      <c r="BZ190" s="194"/>
      <c r="CA190" s="123"/>
      <c r="CB190" s="195"/>
      <c r="CC190" s="194"/>
      <c r="CD190" s="123"/>
      <c r="CE190" s="195"/>
      <c r="CF190" s="194"/>
      <c r="CG190" s="123"/>
      <c r="CH190" s="195"/>
      <c r="CI190" s="194"/>
      <c r="CJ190" s="123"/>
      <c r="CK190" s="195"/>
      <c r="CL190" s="194"/>
      <c r="CM190" s="123"/>
      <c r="CN190" s="195"/>
      <c r="CO190" s="194"/>
      <c r="CP190" s="123"/>
      <c r="CQ190" s="195"/>
      <c r="CR190" s="194"/>
      <c r="CS190" s="123"/>
      <c r="CT190" s="195"/>
      <c r="CU190" s="194"/>
      <c r="CV190" s="123"/>
      <c r="CW190" s="195"/>
      <c r="CX190" s="194"/>
      <c r="CY190" s="123"/>
      <c r="CZ190" s="195"/>
      <c r="DA190" s="194"/>
      <c r="DB190" s="123"/>
      <c r="DC190" s="195"/>
      <c r="DD190" s="194"/>
      <c r="DE190" s="123"/>
      <c r="DF190" s="195"/>
      <c r="DH190" s="311"/>
      <c r="DI190" s="311"/>
      <c r="DJ190" s="311"/>
      <c r="DK190" s="311"/>
      <c r="DL190" s="321"/>
      <c r="DM190" s="321"/>
      <c r="DN190" s="321"/>
      <c r="DO190" s="321"/>
      <c r="DP190" s="321"/>
      <c r="DQ190" s="321"/>
      <c r="DR190" s="321"/>
      <c r="DS190" s="321"/>
    </row>
    <row r="191" spans="1:123" ht="7.4" customHeight="1" x14ac:dyDescent="0.5">
      <c r="A191" s="42"/>
      <c r="B191" s="42"/>
      <c r="C191" s="311">
        <f>C187+1</f>
        <v>19</v>
      </c>
      <c r="D191" s="311"/>
      <c r="E191" s="41"/>
      <c r="F191" s="42"/>
      <c r="G191" s="319" t="str">
        <f>IF(AL191=0,"N/A","AXE_NST_8_PP")</f>
        <v>N/A</v>
      </c>
      <c r="H191" s="319"/>
      <c r="I191" s="319"/>
      <c r="J191" s="319"/>
      <c r="K191" s="319"/>
      <c r="L191" s="319"/>
      <c r="M191" s="319"/>
      <c r="N191" s="319"/>
      <c r="O191" s="319"/>
      <c r="P191" s="319"/>
      <c r="Q191" s="319"/>
      <c r="R191" s="320"/>
      <c r="S191" s="42"/>
      <c r="T191" s="405" t="str">
        <f>VLOOKUP(G191,PL!$B$9:$BH$1265,14,FALSE)</f>
        <v>No Item</v>
      </c>
      <c r="U191" s="405"/>
      <c r="V191" s="405"/>
      <c r="W191" s="405"/>
      <c r="X191" s="405"/>
      <c r="Y191" s="405"/>
      <c r="Z191" s="405"/>
      <c r="AA191" s="405"/>
      <c r="AB191" s="405"/>
      <c r="AC191" s="405"/>
      <c r="AD191" s="405"/>
      <c r="AE191" s="405"/>
      <c r="AF191" s="405"/>
      <c r="AG191" s="405"/>
      <c r="AH191" s="405"/>
      <c r="AI191" s="405"/>
      <c r="AJ191" s="411"/>
      <c r="AK191" s="42"/>
      <c r="AL191" s="311">
        <f>ROUND(SUM(BK191:DF191)*(1+$BF$87),0)</f>
        <v>0</v>
      </c>
      <c r="AM191" s="311"/>
      <c r="AN191" s="311"/>
      <c r="AO191" s="311"/>
      <c r="AP191" s="43"/>
      <c r="AQ191" s="128"/>
      <c r="AR191" s="308" t="str">
        <f>VLOOKUP(G191,PL!$B$9:$BH$818,52,FALSE)</f>
        <v>-</v>
      </c>
      <c r="AS191" s="309"/>
      <c r="AT191" s="309"/>
      <c r="AU191" s="309"/>
      <c r="AV191" s="309"/>
      <c r="AW191" s="309"/>
      <c r="AX191" s="309"/>
      <c r="AY191" s="309"/>
      <c r="AZ191" s="309"/>
      <c r="BA191" s="309"/>
      <c r="BB191" s="309"/>
      <c r="BC191" s="309"/>
      <c r="BD191" s="309"/>
      <c r="BE191" s="309"/>
      <c r="BF191" s="309"/>
      <c r="BG191" s="309"/>
      <c r="BH191" s="124"/>
      <c r="BI191" s="41"/>
      <c r="BK191" s="412">
        <f>BK187</f>
        <v>0</v>
      </c>
      <c r="BL191" s="413"/>
      <c r="BM191" s="414"/>
      <c r="BN191" s="412">
        <f>BN187</f>
        <v>0</v>
      </c>
      <c r="BO191" s="413"/>
      <c r="BP191" s="414"/>
      <c r="BQ191" s="412">
        <f>BQ187</f>
        <v>0</v>
      </c>
      <c r="BR191" s="413"/>
      <c r="BS191" s="414"/>
      <c r="BT191" s="412">
        <f>BT187</f>
        <v>0</v>
      </c>
      <c r="BU191" s="413"/>
      <c r="BV191" s="414"/>
      <c r="BW191" s="412">
        <f>BW187</f>
        <v>0</v>
      </c>
      <c r="BX191" s="413"/>
      <c r="BY191" s="414"/>
      <c r="BZ191" s="412">
        <f>BZ187</f>
        <v>0</v>
      </c>
      <c r="CA191" s="413"/>
      <c r="CB191" s="414"/>
      <c r="CC191" s="412">
        <f>CC187</f>
        <v>0</v>
      </c>
      <c r="CD191" s="413"/>
      <c r="CE191" s="414"/>
      <c r="CF191" s="412">
        <f>CF187</f>
        <v>0</v>
      </c>
      <c r="CG191" s="413"/>
      <c r="CH191" s="414"/>
      <c r="CI191" s="412">
        <f>CI187</f>
        <v>0</v>
      </c>
      <c r="CJ191" s="413"/>
      <c r="CK191" s="414"/>
      <c r="CL191" s="412">
        <f>CL187</f>
        <v>0</v>
      </c>
      <c r="CM191" s="413"/>
      <c r="CN191" s="414"/>
      <c r="CO191" s="412">
        <f>CO187</f>
        <v>0</v>
      </c>
      <c r="CP191" s="413"/>
      <c r="CQ191" s="414"/>
      <c r="CR191" s="412">
        <f>CR187</f>
        <v>0</v>
      </c>
      <c r="CS191" s="413"/>
      <c r="CT191" s="414"/>
      <c r="CU191" s="412">
        <f>CU187</f>
        <v>0</v>
      </c>
      <c r="CV191" s="413"/>
      <c r="CW191" s="414"/>
      <c r="CX191" s="412">
        <f>CX187</f>
        <v>0</v>
      </c>
      <c r="CY191" s="413"/>
      <c r="CZ191" s="414"/>
      <c r="DA191" s="412">
        <f>DA187</f>
        <v>0</v>
      </c>
      <c r="DB191" s="413"/>
      <c r="DC191" s="414"/>
      <c r="DD191" s="412">
        <f>DD187</f>
        <v>0</v>
      </c>
      <c r="DE191" s="413"/>
      <c r="DF191" s="414"/>
      <c r="DH191" s="311"/>
      <c r="DI191" s="311"/>
      <c r="DJ191" s="311"/>
      <c r="DK191" s="311"/>
      <c r="DL191" s="321"/>
      <c r="DM191" s="321"/>
      <c r="DN191" s="321"/>
      <c r="DO191" s="321"/>
      <c r="DP191" s="321"/>
      <c r="DQ191" s="321"/>
      <c r="DR191" s="321"/>
      <c r="DS191" s="321"/>
    </row>
    <row r="192" spans="1:123" ht="7.4" customHeight="1" x14ac:dyDescent="0.5">
      <c r="A192" s="42"/>
      <c r="B192" s="42"/>
      <c r="C192" s="311"/>
      <c r="D192" s="311"/>
      <c r="E192" s="41"/>
      <c r="F192" s="42"/>
      <c r="G192" s="319"/>
      <c r="H192" s="319"/>
      <c r="I192" s="319"/>
      <c r="J192" s="319"/>
      <c r="K192" s="319"/>
      <c r="L192" s="319"/>
      <c r="M192" s="319"/>
      <c r="N192" s="319"/>
      <c r="O192" s="319"/>
      <c r="P192" s="319"/>
      <c r="Q192" s="319"/>
      <c r="R192" s="320"/>
      <c r="S192" s="42"/>
      <c r="T192" s="405"/>
      <c r="U192" s="405"/>
      <c r="V192" s="405"/>
      <c r="W192" s="405"/>
      <c r="X192" s="405"/>
      <c r="Y192" s="405"/>
      <c r="Z192" s="405"/>
      <c r="AA192" s="405"/>
      <c r="AB192" s="405"/>
      <c r="AC192" s="405"/>
      <c r="AD192" s="405"/>
      <c r="AE192" s="405"/>
      <c r="AF192" s="405"/>
      <c r="AG192" s="405"/>
      <c r="AH192" s="405"/>
      <c r="AI192" s="405"/>
      <c r="AJ192" s="411"/>
      <c r="AK192" s="42"/>
      <c r="AL192" s="311"/>
      <c r="AM192" s="311"/>
      <c r="AN192" s="311"/>
      <c r="AO192" s="311"/>
      <c r="AP192" s="43"/>
      <c r="AQ192" s="128"/>
      <c r="AR192" s="309"/>
      <c r="AS192" s="309"/>
      <c r="AT192" s="309"/>
      <c r="AU192" s="309"/>
      <c r="AV192" s="309"/>
      <c r="AW192" s="309"/>
      <c r="AX192" s="309"/>
      <c r="AY192" s="309"/>
      <c r="AZ192" s="309"/>
      <c r="BA192" s="309"/>
      <c r="BB192" s="309"/>
      <c r="BC192" s="309"/>
      <c r="BD192" s="309"/>
      <c r="BE192" s="309"/>
      <c r="BF192" s="309"/>
      <c r="BG192" s="309"/>
      <c r="BH192" s="124"/>
      <c r="BI192" s="41"/>
      <c r="BK192" s="412"/>
      <c r="BL192" s="413"/>
      <c r="BM192" s="414"/>
      <c r="BN192" s="412"/>
      <c r="BO192" s="413"/>
      <c r="BP192" s="414"/>
      <c r="BQ192" s="412"/>
      <c r="BR192" s="413"/>
      <c r="BS192" s="414"/>
      <c r="BT192" s="412"/>
      <c r="BU192" s="413"/>
      <c r="BV192" s="414"/>
      <c r="BW192" s="412"/>
      <c r="BX192" s="413"/>
      <c r="BY192" s="414"/>
      <c r="BZ192" s="412"/>
      <c r="CA192" s="413"/>
      <c r="CB192" s="414"/>
      <c r="CC192" s="412"/>
      <c r="CD192" s="413"/>
      <c r="CE192" s="414"/>
      <c r="CF192" s="412"/>
      <c r="CG192" s="413"/>
      <c r="CH192" s="414"/>
      <c r="CI192" s="412"/>
      <c r="CJ192" s="413"/>
      <c r="CK192" s="414"/>
      <c r="CL192" s="412"/>
      <c r="CM192" s="413"/>
      <c r="CN192" s="414"/>
      <c r="CO192" s="412"/>
      <c r="CP192" s="413"/>
      <c r="CQ192" s="414"/>
      <c r="CR192" s="412"/>
      <c r="CS192" s="413"/>
      <c r="CT192" s="414"/>
      <c r="CU192" s="412"/>
      <c r="CV192" s="413"/>
      <c r="CW192" s="414"/>
      <c r="CX192" s="412"/>
      <c r="CY192" s="413"/>
      <c r="CZ192" s="414"/>
      <c r="DA192" s="412"/>
      <c r="DB192" s="413"/>
      <c r="DC192" s="414"/>
      <c r="DD192" s="412"/>
      <c r="DE192" s="413"/>
      <c r="DF192" s="414"/>
      <c r="DH192" s="311"/>
      <c r="DI192" s="311"/>
      <c r="DJ192" s="311"/>
      <c r="DK192" s="311"/>
      <c r="DL192" s="321"/>
      <c r="DM192" s="321"/>
      <c r="DN192" s="321"/>
      <c r="DO192" s="321"/>
      <c r="DP192" s="321"/>
      <c r="DQ192" s="321"/>
      <c r="DR192" s="321"/>
      <c r="DS192" s="321"/>
    </row>
    <row r="193" spans="1:123" ht="7.4" customHeight="1" x14ac:dyDescent="0.5">
      <c r="A193" s="42"/>
      <c r="B193" s="42"/>
      <c r="C193" s="333"/>
      <c r="D193" s="333"/>
      <c r="E193" s="41"/>
      <c r="F193" s="42"/>
      <c r="G193" s="56"/>
      <c r="H193" s="56"/>
      <c r="I193" s="56"/>
      <c r="J193" s="56"/>
      <c r="K193" s="56"/>
      <c r="L193" s="56"/>
      <c r="M193" s="56"/>
      <c r="N193" s="56"/>
      <c r="O193" s="56"/>
      <c r="P193" s="56"/>
      <c r="Q193" s="56"/>
      <c r="R193" s="126"/>
      <c r="S193" s="42"/>
      <c r="T193" s="116" t="str">
        <f>VLOOKUP(G191,PL!$B$9:$BH$1265,33,FALSE)</f>
        <v>.</v>
      </c>
      <c r="AJ193" s="41"/>
      <c r="AK193" s="42"/>
      <c r="AL193" s="311"/>
      <c r="AM193" s="311"/>
      <c r="AN193" s="311"/>
      <c r="AO193" s="311"/>
      <c r="AP193" s="43"/>
      <c r="AQ193" s="42"/>
      <c r="AR193" s="131"/>
      <c r="AS193" s="131"/>
      <c r="AT193" s="131"/>
      <c r="AU193" s="131"/>
      <c r="AV193" s="131"/>
      <c r="AW193" s="131"/>
      <c r="AX193" s="105"/>
      <c r="AZ193" s="131"/>
      <c r="BA193" s="131"/>
      <c r="BB193" s="131"/>
      <c r="BC193" s="131"/>
      <c r="BD193" s="131"/>
      <c r="BE193" s="131"/>
      <c r="BF193" s="131"/>
      <c r="BG193" s="131"/>
      <c r="BH193" s="124"/>
      <c r="BI193" s="41"/>
      <c r="BK193" s="194"/>
      <c r="BL193" s="123"/>
      <c r="BM193" s="195"/>
      <c r="BN193" s="194"/>
      <c r="BO193" s="123"/>
      <c r="BP193" s="195"/>
      <c r="BQ193" s="194"/>
      <c r="BR193" s="123"/>
      <c r="BS193" s="195"/>
      <c r="BT193" s="194"/>
      <c r="BU193" s="123"/>
      <c r="BV193" s="195"/>
      <c r="BW193" s="194"/>
      <c r="BX193" s="123"/>
      <c r="BY193" s="195"/>
      <c r="BZ193" s="194"/>
      <c r="CA193" s="123"/>
      <c r="CB193" s="195"/>
      <c r="CC193" s="194"/>
      <c r="CD193" s="123"/>
      <c r="CE193" s="195"/>
      <c r="CF193" s="194"/>
      <c r="CG193" s="123"/>
      <c r="CH193" s="195"/>
      <c r="CI193" s="194"/>
      <c r="CJ193" s="123"/>
      <c r="CK193" s="195"/>
      <c r="CL193" s="194"/>
      <c r="CM193" s="123"/>
      <c r="CN193" s="195"/>
      <c r="CO193" s="194"/>
      <c r="CP193" s="123"/>
      <c r="CQ193" s="195"/>
      <c r="CR193" s="194"/>
      <c r="CS193" s="123"/>
      <c r="CT193" s="195"/>
      <c r="CU193" s="194"/>
      <c r="CV193" s="123"/>
      <c r="CW193" s="195"/>
      <c r="CX193" s="194"/>
      <c r="CY193" s="123"/>
      <c r="CZ193" s="195"/>
      <c r="DA193" s="194"/>
      <c r="DB193" s="123"/>
      <c r="DC193" s="195"/>
      <c r="DD193" s="194"/>
      <c r="DE193" s="123"/>
      <c r="DF193" s="195"/>
      <c r="DH193" s="311"/>
      <c r="DI193" s="311"/>
      <c r="DJ193" s="311"/>
      <c r="DK193" s="311"/>
      <c r="DL193" s="321"/>
      <c r="DM193" s="321"/>
      <c r="DN193" s="321"/>
      <c r="DO193" s="321"/>
      <c r="DP193" s="321"/>
      <c r="DQ193" s="321"/>
      <c r="DR193" s="321"/>
      <c r="DS193" s="321"/>
    </row>
    <row r="194" spans="1:123" ht="7.4" customHeight="1" x14ac:dyDescent="0.5">
      <c r="A194" s="42"/>
      <c r="B194" s="42"/>
      <c r="C194" s="55"/>
      <c r="D194" s="55"/>
      <c r="E194" s="41"/>
      <c r="F194" s="42"/>
      <c r="G194" s="56"/>
      <c r="H194" s="56"/>
      <c r="I194" s="56"/>
      <c r="J194" s="56"/>
      <c r="K194" s="56"/>
      <c r="L194" s="56"/>
      <c r="M194" s="56"/>
      <c r="N194" s="56"/>
      <c r="O194" s="56"/>
      <c r="P194" s="56"/>
      <c r="Q194" s="56"/>
      <c r="R194" s="126"/>
      <c r="S194" s="42"/>
      <c r="AJ194" s="41"/>
      <c r="AK194" s="42"/>
      <c r="AL194" s="311"/>
      <c r="AM194" s="311"/>
      <c r="AN194" s="311"/>
      <c r="AO194" s="311"/>
      <c r="AP194" s="43"/>
      <c r="AQ194" s="42"/>
      <c r="AR194" s="131"/>
      <c r="AS194" s="131"/>
      <c r="AT194" s="131"/>
      <c r="AU194" s="131"/>
      <c r="AV194" s="131"/>
      <c r="AW194" s="131"/>
      <c r="AX194" s="105"/>
      <c r="AZ194" s="131"/>
      <c r="BA194" s="131"/>
      <c r="BB194" s="131"/>
      <c r="BC194" s="131"/>
      <c r="BD194" s="131"/>
      <c r="BE194" s="131"/>
      <c r="BF194" s="131"/>
      <c r="BG194" s="131"/>
      <c r="BH194" s="124"/>
      <c r="BI194" s="41"/>
      <c r="BK194" s="194"/>
      <c r="BL194" s="123"/>
      <c r="BM194" s="195"/>
      <c r="BN194" s="194"/>
      <c r="BO194" s="123"/>
      <c r="BP194" s="195"/>
      <c r="BQ194" s="194"/>
      <c r="BR194" s="123"/>
      <c r="BS194" s="195"/>
      <c r="BT194" s="194"/>
      <c r="BU194" s="123"/>
      <c r="BV194" s="195"/>
      <c r="BW194" s="194"/>
      <c r="BX194" s="123"/>
      <c r="BY194" s="195"/>
      <c r="BZ194" s="194"/>
      <c r="CA194" s="123"/>
      <c r="CB194" s="195"/>
      <c r="CC194" s="194"/>
      <c r="CD194" s="123"/>
      <c r="CE194" s="195"/>
      <c r="CF194" s="194"/>
      <c r="CG194" s="123"/>
      <c r="CH194" s="195"/>
      <c r="CI194" s="194"/>
      <c r="CJ194" s="123"/>
      <c r="CK194" s="195"/>
      <c r="CL194" s="194"/>
      <c r="CM194" s="123"/>
      <c r="CN194" s="195"/>
      <c r="CO194" s="194"/>
      <c r="CP194" s="123"/>
      <c r="CQ194" s="195"/>
      <c r="CR194" s="194"/>
      <c r="CS194" s="123"/>
      <c r="CT194" s="195"/>
      <c r="CU194" s="194"/>
      <c r="CV194" s="123"/>
      <c r="CW194" s="195"/>
      <c r="CX194" s="194"/>
      <c r="CY194" s="123"/>
      <c r="CZ194" s="195"/>
      <c r="DA194" s="194"/>
      <c r="DB194" s="123"/>
      <c r="DC194" s="195"/>
      <c r="DD194" s="194"/>
      <c r="DE194" s="123"/>
      <c r="DF194" s="195"/>
      <c r="DH194" s="311"/>
      <c r="DI194" s="311"/>
      <c r="DJ194" s="311"/>
      <c r="DK194" s="311"/>
      <c r="DL194" s="321"/>
      <c r="DM194" s="321"/>
      <c r="DN194" s="321"/>
      <c r="DO194" s="321"/>
      <c r="DP194" s="321"/>
      <c r="DQ194" s="321"/>
      <c r="DR194" s="321"/>
      <c r="DS194" s="321"/>
    </row>
    <row r="195" spans="1:123" ht="7.4" customHeight="1" x14ac:dyDescent="0.5">
      <c r="A195" s="42"/>
      <c r="B195" s="42"/>
      <c r="C195" s="311">
        <f>C191+1</f>
        <v>20</v>
      </c>
      <c r="D195" s="311"/>
      <c r="E195" s="41"/>
      <c r="F195" s="42"/>
      <c r="G195" s="319" t="str">
        <f>IF(AL195=0,"N/A","AXE_NE_8_SS")</f>
        <v>N/A</v>
      </c>
      <c r="H195" s="319"/>
      <c r="I195" s="319"/>
      <c r="J195" s="319"/>
      <c r="K195" s="319"/>
      <c r="L195" s="319"/>
      <c r="M195" s="319"/>
      <c r="N195" s="319"/>
      <c r="O195" s="319"/>
      <c r="P195" s="319"/>
      <c r="Q195" s="319"/>
      <c r="R195" s="320"/>
      <c r="S195" s="42"/>
      <c r="T195" s="405" t="str">
        <f>VLOOKUP(G195,PL!$B$9:$BH$1265,14,FALSE)</f>
        <v>No Item</v>
      </c>
      <c r="U195" s="405"/>
      <c r="V195" s="405"/>
      <c r="W195" s="405"/>
      <c r="X195" s="405"/>
      <c r="Y195" s="405"/>
      <c r="Z195" s="405"/>
      <c r="AA195" s="405"/>
      <c r="AB195" s="405"/>
      <c r="AC195" s="405"/>
      <c r="AD195" s="405"/>
      <c r="AE195" s="405"/>
      <c r="AF195" s="405"/>
      <c r="AG195" s="405"/>
      <c r="AH195" s="405"/>
      <c r="AI195" s="405"/>
      <c r="AJ195" s="411"/>
      <c r="AK195" s="42"/>
      <c r="AL195" s="311">
        <f t="shared" ref="AL195" si="53">ROUND(SUM(BK195:DF195)*(1+$BF$87),0)</f>
        <v>0</v>
      </c>
      <c r="AM195" s="311"/>
      <c r="AN195" s="311"/>
      <c r="AO195" s="311"/>
      <c r="AP195" s="43"/>
      <c r="AQ195" s="128"/>
      <c r="AR195" s="308" t="str">
        <f>VLOOKUP(G195,PL!$B$9:$BH$818,52,FALSE)</f>
        <v>-</v>
      </c>
      <c r="AS195" s="309"/>
      <c r="AT195" s="309"/>
      <c r="AU195" s="309"/>
      <c r="AV195" s="309"/>
      <c r="AW195" s="309"/>
      <c r="AX195" s="309"/>
      <c r="AY195" s="309"/>
      <c r="AZ195" s="309"/>
      <c r="BA195" s="309"/>
      <c r="BB195" s="309"/>
      <c r="BC195" s="309"/>
      <c r="BD195" s="309"/>
      <c r="BE195" s="309"/>
      <c r="BF195" s="309"/>
      <c r="BG195" s="309"/>
      <c r="BH195" s="124"/>
      <c r="BI195" s="41"/>
      <c r="BK195" s="412">
        <f>IF($N$93="Angles",0,BK151*2)</f>
        <v>0</v>
      </c>
      <c r="BL195" s="413"/>
      <c r="BM195" s="414"/>
      <c r="BN195" s="412">
        <f>IF($N$93="Angles",0,BN151*2)</f>
        <v>0</v>
      </c>
      <c r="BO195" s="413"/>
      <c r="BP195" s="414"/>
      <c r="BQ195" s="412">
        <f>IF($N$93="Angles",0,BQ151*2)</f>
        <v>0</v>
      </c>
      <c r="BR195" s="413"/>
      <c r="BS195" s="414"/>
      <c r="BT195" s="412">
        <f>IF($N$93="Angles",0,BT151*2)</f>
        <v>0</v>
      </c>
      <c r="BU195" s="413"/>
      <c r="BV195" s="414"/>
      <c r="BW195" s="412">
        <f>IF($N$93="Angles",0,BW151*2)</f>
        <v>0</v>
      </c>
      <c r="BX195" s="413"/>
      <c r="BY195" s="414"/>
      <c r="BZ195" s="412">
        <f>IF($N$93="Angles",0,BZ151*2)</f>
        <v>0</v>
      </c>
      <c r="CA195" s="413"/>
      <c r="CB195" s="414"/>
      <c r="CC195" s="412">
        <f>IF($N$93="Angles",0,CC151*2)</f>
        <v>0</v>
      </c>
      <c r="CD195" s="413"/>
      <c r="CE195" s="414"/>
      <c r="CF195" s="412">
        <f>IF($N$93="Angles",0,CF151*2)</f>
        <v>0</v>
      </c>
      <c r="CG195" s="413"/>
      <c r="CH195" s="414"/>
      <c r="CI195" s="412">
        <f>IF($N$93="Angles",0,CI151*2)</f>
        <v>0</v>
      </c>
      <c r="CJ195" s="413"/>
      <c r="CK195" s="414"/>
      <c r="CL195" s="412">
        <f>IF($N$93="Angles",0,CL151*2)</f>
        <v>0</v>
      </c>
      <c r="CM195" s="413"/>
      <c r="CN195" s="414"/>
      <c r="CO195" s="412">
        <f>IF($N$93="Angles",0,CO151*2)</f>
        <v>0</v>
      </c>
      <c r="CP195" s="413"/>
      <c r="CQ195" s="414"/>
      <c r="CR195" s="412">
        <f>IF($N$93="Angles",0,CR151*2)</f>
        <v>0</v>
      </c>
      <c r="CS195" s="413"/>
      <c r="CT195" s="414"/>
      <c r="CU195" s="412">
        <f>IF($N$93="Angles",0,CU151*2)</f>
        <v>0</v>
      </c>
      <c r="CV195" s="413"/>
      <c r="CW195" s="414"/>
      <c r="CX195" s="412">
        <f>IF($N$93="Angles",0,CX151*2)</f>
        <v>0</v>
      </c>
      <c r="CY195" s="413"/>
      <c r="CZ195" s="414"/>
      <c r="DA195" s="412">
        <f>IF($N$93="Angles",0,DA151*2)</f>
        <v>0</v>
      </c>
      <c r="DB195" s="413"/>
      <c r="DC195" s="414"/>
      <c r="DD195" s="412">
        <f>IF($N$93="Angles",0,DD151*2)</f>
        <v>0</v>
      </c>
      <c r="DE195" s="413"/>
      <c r="DF195" s="414"/>
      <c r="DH195" s="311"/>
      <c r="DI195" s="311"/>
      <c r="DJ195" s="311"/>
      <c r="DK195" s="311"/>
      <c r="DL195" s="321"/>
      <c r="DM195" s="321"/>
      <c r="DN195" s="321"/>
      <c r="DO195" s="321"/>
      <c r="DP195" s="321"/>
      <c r="DQ195" s="321"/>
      <c r="DR195" s="321"/>
      <c r="DS195" s="321"/>
    </row>
    <row r="196" spans="1:123" ht="7.4" customHeight="1" x14ac:dyDescent="0.5">
      <c r="A196" s="42"/>
      <c r="B196" s="42"/>
      <c r="C196" s="311"/>
      <c r="D196" s="311"/>
      <c r="E196" s="41"/>
      <c r="F196" s="42"/>
      <c r="G196" s="319"/>
      <c r="H196" s="319"/>
      <c r="I196" s="319"/>
      <c r="J196" s="319"/>
      <c r="K196" s="319"/>
      <c r="L196" s="319"/>
      <c r="M196" s="319"/>
      <c r="N196" s="319"/>
      <c r="O196" s="319"/>
      <c r="P196" s="319"/>
      <c r="Q196" s="319"/>
      <c r="R196" s="320"/>
      <c r="S196" s="42"/>
      <c r="T196" s="405"/>
      <c r="U196" s="405"/>
      <c r="V196" s="405"/>
      <c r="W196" s="405"/>
      <c r="X196" s="405"/>
      <c r="Y196" s="405"/>
      <c r="Z196" s="405"/>
      <c r="AA196" s="405"/>
      <c r="AB196" s="405"/>
      <c r="AC196" s="405"/>
      <c r="AD196" s="405"/>
      <c r="AE196" s="405"/>
      <c r="AF196" s="405"/>
      <c r="AG196" s="405"/>
      <c r="AH196" s="405"/>
      <c r="AI196" s="405"/>
      <c r="AJ196" s="411"/>
      <c r="AK196" s="42"/>
      <c r="AL196" s="311"/>
      <c r="AM196" s="311"/>
      <c r="AN196" s="311"/>
      <c r="AO196" s="311"/>
      <c r="AP196" s="43"/>
      <c r="AQ196" s="128"/>
      <c r="AR196" s="309"/>
      <c r="AS196" s="309"/>
      <c r="AT196" s="309"/>
      <c r="AU196" s="309"/>
      <c r="AV196" s="309"/>
      <c r="AW196" s="309"/>
      <c r="AX196" s="309"/>
      <c r="AY196" s="309"/>
      <c r="AZ196" s="309"/>
      <c r="BA196" s="309"/>
      <c r="BB196" s="309"/>
      <c r="BC196" s="309"/>
      <c r="BD196" s="309"/>
      <c r="BE196" s="309"/>
      <c r="BF196" s="309"/>
      <c r="BG196" s="309"/>
      <c r="BH196" s="124"/>
      <c r="BI196" s="41"/>
      <c r="BK196" s="412"/>
      <c r="BL196" s="413"/>
      <c r="BM196" s="414"/>
      <c r="BN196" s="412"/>
      <c r="BO196" s="413"/>
      <c r="BP196" s="414"/>
      <c r="BQ196" s="412"/>
      <c r="BR196" s="413"/>
      <c r="BS196" s="414"/>
      <c r="BT196" s="412"/>
      <c r="BU196" s="413"/>
      <c r="BV196" s="414"/>
      <c r="BW196" s="412"/>
      <c r="BX196" s="413"/>
      <c r="BY196" s="414"/>
      <c r="BZ196" s="412"/>
      <c r="CA196" s="413"/>
      <c r="CB196" s="414"/>
      <c r="CC196" s="412"/>
      <c r="CD196" s="413"/>
      <c r="CE196" s="414"/>
      <c r="CF196" s="412"/>
      <c r="CG196" s="413"/>
      <c r="CH196" s="414"/>
      <c r="CI196" s="412"/>
      <c r="CJ196" s="413"/>
      <c r="CK196" s="414"/>
      <c r="CL196" s="412"/>
      <c r="CM196" s="413"/>
      <c r="CN196" s="414"/>
      <c r="CO196" s="412"/>
      <c r="CP196" s="413"/>
      <c r="CQ196" s="414"/>
      <c r="CR196" s="412"/>
      <c r="CS196" s="413"/>
      <c r="CT196" s="414"/>
      <c r="CU196" s="412"/>
      <c r="CV196" s="413"/>
      <c r="CW196" s="414"/>
      <c r="CX196" s="412"/>
      <c r="CY196" s="413"/>
      <c r="CZ196" s="414"/>
      <c r="DA196" s="412"/>
      <c r="DB196" s="413"/>
      <c r="DC196" s="414"/>
      <c r="DD196" s="412"/>
      <c r="DE196" s="413"/>
      <c r="DF196" s="414"/>
      <c r="DH196" s="311"/>
      <c r="DI196" s="311"/>
      <c r="DJ196" s="311"/>
      <c r="DK196" s="311"/>
      <c r="DL196" s="321"/>
      <c r="DM196" s="321"/>
      <c r="DN196" s="321"/>
      <c r="DO196" s="321"/>
      <c r="DP196" s="321"/>
      <c r="DQ196" s="321"/>
      <c r="DR196" s="321"/>
      <c r="DS196" s="321"/>
    </row>
    <row r="197" spans="1:123" ht="7.4" customHeight="1" x14ac:dyDescent="0.5">
      <c r="A197" s="42"/>
      <c r="B197" s="42"/>
      <c r="C197" s="311"/>
      <c r="D197" s="311"/>
      <c r="E197" s="41"/>
      <c r="F197" s="42"/>
      <c r="G197" s="120"/>
      <c r="H197" s="56"/>
      <c r="I197" s="56"/>
      <c r="J197" s="56"/>
      <c r="K197" s="56"/>
      <c r="L197" s="56"/>
      <c r="M197" s="56"/>
      <c r="N197" s="56"/>
      <c r="O197" s="56"/>
      <c r="P197" s="56"/>
      <c r="Q197" s="56"/>
      <c r="R197" s="126"/>
      <c r="S197" s="42"/>
      <c r="T197" s="116" t="str">
        <f>VLOOKUP(G195,PL!$B$9:$BH$1265,33,FALSE)</f>
        <v>.</v>
      </c>
      <c r="AJ197" s="41"/>
      <c r="AK197" s="42"/>
      <c r="AL197" s="311"/>
      <c r="AM197" s="311"/>
      <c r="AN197" s="311"/>
      <c r="AO197" s="311"/>
      <c r="AP197" s="43"/>
      <c r="AQ197" s="42"/>
      <c r="AR197" s="131"/>
      <c r="AS197" s="131"/>
      <c r="AT197" s="131"/>
      <c r="AU197" s="131"/>
      <c r="AV197" s="131"/>
      <c r="AW197" s="131"/>
      <c r="AX197" s="105"/>
      <c r="AZ197" s="131"/>
      <c r="BA197" s="131"/>
      <c r="BB197" s="131"/>
      <c r="BC197" s="131"/>
      <c r="BD197" s="131"/>
      <c r="BE197" s="131"/>
      <c r="BF197" s="131"/>
      <c r="BG197" s="131"/>
      <c r="BH197" s="124"/>
      <c r="BI197" s="41"/>
      <c r="BK197" s="194"/>
      <c r="BL197" s="123"/>
      <c r="BM197" s="195"/>
      <c r="BN197" s="194"/>
      <c r="BO197" s="123"/>
      <c r="BP197" s="195"/>
      <c r="BQ197" s="194"/>
      <c r="BR197" s="123"/>
      <c r="BS197" s="195"/>
      <c r="BT197" s="194"/>
      <c r="BU197" s="123"/>
      <c r="BV197" s="195"/>
      <c r="BW197" s="194"/>
      <c r="BX197" s="123"/>
      <c r="BY197" s="195"/>
      <c r="BZ197" s="194"/>
      <c r="CA197" s="123"/>
      <c r="CB197" s="195"/>
      <c r="CC197" s="194"/>
      <c r="CD197" s="123"/>
      <c r="CE197" s="195"/>
      <c r="CF197" s="194"/>
      <c r="CG197" s="123"/>
      <c r="CH197" s="195"/>
      <c r="CI197" s="194"/>
      <c r="CJ197" s="123"/>
      <c r="CK197" s="195"/>
      <c r="CL197" s="194"/>
      <c r="CM197" s="123"/>
      <c r="CN197" s="195"/>
      <c r="CO197" s="194"/>
      <c r="CP197" s="123"/>
      <c r="CQ197" s="195"/>
      <c r="CR197" s="194"/>
      <c r="CS197" s="123"/>
      <c r="CT197" s="195"/>
      <c r="CU197" s="194"/>
      <c r="CV197" s="123"/>
      <c r="CW197" s="195"/>
      <c r="CX197" s="194"/>
      <c r="CY197" s="123"/>
      <c r="CZ197" s="195"/>
      <c r="DA197" s="194"/>
      <c r="DB197" s="123"/>
      <c r="DC197" s="195"/>
      <c r="DD197" s="194"/>
      <c r="DE197" s="123"/>
      <c r="DF197" s="195"/>
      <c r="DH197" s="311"/>
      <c r="DI197" s="311"/>
      <c r="DJ197" s="311"/>
      <c r="DK197" s="311"/>
      <c r="DL197" s="321"/>
      <c r="DM197" s="321"/>
      <c r="DN197" s="321"/>
      <c r="DO197" s="321"/>
      <c r="DP197" s="321"/>
      <c r="DQ197" s="321"/>
      <c r="DR197" s="321"/>
      <c r="DS197" s="321"/>
    </row>
    <row r="198" spans="1:123" ht="7.4" customHeight="1" x14ac:dyDescent="0.5">
      <c r="A198" s="42"/>
      <c r="B198" s="42"/>
      <c r="C198" s="333"/>
      <c r="D198" s="333"/>
      <c r="E198" s="41"/>
      <c r="F198" s="42"/>
      <c r="R198" s="41"/>
      <c r="S198" s="42"/>
      <c r="AJ198" s="41"/>
      <c r="AK198" s="42"/>
      <c r="AL198" s="311"/>
      <c r="AM198" s="311"/>
      <c r="AN198" s="311"/>
      <c r="AO198" s="311"/>
      <c r="AP198" s="43"/>
      <c r="AQ198" s="42"/>
      <c r="AR198" s="131"/>
      <c r="AS198" s="131"/>
      <c r="AT198" s="131"/>
      <c r="AU198" s="131"/>
      <c r="AV198" s="131"/>
      <c r="AW198" s="131"/>
      <c r="AX198" s="105"/>
      <c r="AZ198" s="131"/>
      <c r="BA198" s="131"/>
      <c r="BB198" s="131"/>
      <c r="BC198" s="131"/>
      <c r="BD198" s="131"/>
      <c r="BE198" s="131"/>
      <c r="BF198" s="131"/>
      <c r="BG198" s="131"/>
      <c r="BH198" s="124"/>
      <c r="BI198" s="41"/>
      <c r="BK198" s="194"/>
      <c r="BL198" s="123"/>
      <c r="BM198" s="195"/>
      <c r="BN198" s="194"/>
      <c r="BO198" s="123"/>
      <c r="BP198" s="195"/>
      <c r="BQ198" s="194"/>
      <c r="BR198" s="123"/>
      <c r="BS198" s="195"/>
      <c r="BT198" s="194"/>
      <c r="BU198" s="123"/>
      <c r="BV198" s="195"/>
      <c r="BW198" s="194"/>
      <c r="BX198" s="123"/>
      <c r="BY198" s="195"/>
      <c r="BZ198" s="194"/>
      <c r="CA198" s="123"/>
      <c r="CB198" s="195"/>
      <c r="CC198" s="194"/>
      <c r="CD198" s="123"/>
      <c r="CE198" s="195"/>
      <c r="CF198" s="194"/>
      <c r="CG198" s="123"/>
      <c r="CH198" s="195"/>
      <c r="CI198" s="194"/>
      <c r="CJ198" s="123"/>
      <c r="CK198" s="195"/>
      <c r="CL198" s="194"/>
      <c r="CM198" s="123"/>
      <c r="CN198" s="195"/>
      <c r="CO198" s="194"/>
      <c r="CP198" s="123"/>
      <c r="CQ198" s="195"/>
      <c r="CR198" s="194"/>
      <c r="CS198" s="123"/>
      <c r="CT198" s="195"/>
      <c r="CU198" s="194"/>
      <c r="CV198" s="123"/>
      <c r="CW198" s="195"/>
      <c r="CX198" s="194"/>
      <c r="CY198" s="123"/>
      <c r="CZ198" s="195"/>
      <c r="DA198" s="194"/>
      <c r="DB198" s="123"/>
      <c r="DC198" s="195"/>
      <c r="DD198" s="194"/>
      <c r="DE198" s="123"/>
      <c r="DF198" s="195"/>
      <c r="DH198" s="311"/>
      <c r="DI198" s="311"/>
      <c r="DJ198" s="311"/>
      <c r="DK198" s="311"/>
      <c r="DL198" s="321"/>
      <c r="DM198" s="321"/>
      <c r="DN198" s="321"/>
      <c r="DO198" s="321"/>
      <c r="DP198" s="321"/>
      <c r="DQ198" s="321"/>
      <c r="DR198" s="321"/>
      <c r="DS198" s="321"/>
    </row>
    <row r="199" spans="1:123" ht="7.4" customHeight="1" x14ac:dyDescent="0.5">
      <c r="A199" s="42"/>
      <c r="B199" s="42"/>
      <c r="C199" s="311">
        <f>C195+1</f>
        <v>21</v>
      </c>
      <c r="D199" s="311"/>
      <c r="E199" s="41"/>
      <c r="F199" s="42"/>
      <c r="G199" s="319" t="str">
        <f>IF(AL199=0,"N/A","AXE_RW_C_5_SS")</f>
        <v>N/A</v>
      </c>
      <c r="H199" s="319"/>
      <c r="I199" s="319"/>
      <c r="J199" s="319"/>
      <c r="K199" s="319"/>
      <c r="L199" s="319"/>
      <c r="M199" s="319"/>
      <c r="N199" s="319"/>
      <c r="O199" s="319"/>
      <c r="P199" s="319"/>
      <c r="Q199" s="319"/>
      <c r="R199" s="320"/>
      <c r="S199" s="42"/>
      <c r="T199" s="405" t="str">
        <f>VLOOKUP(G199,PL!$B$9:$BH$1265,14,FALSE)</f>
        <v>No Item</v>
      </c>
      <c r="U199" s="405"/>
      <c r="V199" s="405"/>
      <c r="W199" s="405"/>
      <c r="X199" s="405"/>
      <c r="Y199" s="405"/>
      <c r="Z199" s="405"/>
      <c r="AA199" s="405"/>
      <c r="AB199" s="405"/>
      <c r="AC199" s="405"/>
      <c r="AD199" s="405"/>
      <c r="AE199" s="405"/>
      <c r="AF199" s="405"/>
      <c r="AG199" s="405"/>
      <c r="AH199" s="405"/>
      <c r="AI199" s="405"/>
      <c r="AJ199" s="411"/>
      <c r="AK199" s="42"/>
      <c r="AL199" s="311">
        <f t="shared" ref="AL199" si="54">ROUND(SUM(BK199:DF199)*(1+$BF$87),0)</f>
        <v>0</v>
      </c>
      <c r="AM199" s="311"/>
      <c r="AN199" s="311"/>
      <c r="AO199" s="311"/>
      <c r="AP199" s="43"/>
      <c r="AQ199" s="128"/>
      <c r="AR199" s="308" t="str">
        <f>VLOOKUP(G199,PL!$B$9:$BH$818,52,FALSE)</f>
        <v>-</v>
      </c>
      <c r="AS199" s="309"/>
      <c r="AT199" s="309"/>
      <c r="AU199" s="309"/>
      <c r="AV199" s="309"/>
      <c r="AW199" s="309"/>
      <c r="AX199" s="309"/>
      <c r="AY199" s="309"/>
      <c r="AZ199" s="309"/>
      <c r="BA199" s="309"/>
      <c r="BB199" s="309"/>
      <c r="BC199" s="309"/>
      <c r="BD199" s="309"/>
      <c r="BE199" s="309"/>
      <c r="BF199" s="309"/>
      <c r="BG199" s="309"/>
      <c r="BH199" s="124"/>
      <c r="BI199" s="41"/>
      <c r="BJ199" s="49"/>
      <c r="BK199" s="412">
        <f>BK203*4</f>
        <v>0</v>
      </c>
      <c r="BL199" s="413"/>
      <c r="BM199" s="414"/>
      <c r="BN199" s="412">
        <f t="shared" ref="BN199" si="55">BN203*4</f>
        <v>0</v>
      </c>
      <c r="BO199" s="413"/>
      <c r="BP199" s="414"/>
      <c r="BQ199" s="412">
        <f t="shared" ref="BQ199" si="56">BQ203*4</f>
        <v>0</v>
      </c>
      <c r="BR199" s="413"/>
      <c r="BS199" s="414"/>
      <c r="BT199" s="412">
        <f t="shared" ref="BT199" si="57">BT203*4</f>
        <v>0</v>
      </c>
      <c r="BU199" s="413"/>
      <c r="BV199" s="414"/>
      <c r="BW199" s="412">
        <f t="shared" ref="BW199" si="58">BW203*4</f>
        <v>0</v>
      </c>
      <c r="BX199" s="413"/>
      <c r="BY199" s="414"/>
      <c r="BZ199" s="412">
        <f t="shared" ref="BZ199" si="59">BZ203*4</f>
        <v>0</v>
      </c>
      <c r="CA199" s="413"/>
      <c r="CB199" s="414"/>
      <c r="CC199" s="412">
        <f t="shared" ref="CC199" si="60">CC203*4</f>
        <v>0</v>
      </c>
      <c r="CD199" s="413"/>
      <c r="CE199" s="414"/>
      <c r="CF199" s="412">
        <f t="shared" ref="CF199" si="61">CF203*4</f>
        <v>0</v>
      </c>
      <c r="CG199" s="413"/>
      <c r="CH199" s="414"/>
      <c r="CI199" s="412">
        <f t="shared" ref="CI199" si="62">CI203*4</f>
        <v>0</v>
      </c>
      <c r="CJ199" s="413"/>
      <c r="CK199" s="414"/>
      <c r="CL199" s="412">
        <f t="shared" ref="CL199" si="63">CL203*4</f>
        <v>0</v>
      </c>
      <c r="CM199" s="413"/>
      <c r="CN199" s="414"/>
      <c r="CO199" s="412">
        <f t="shared" ref="CO199" si="64">CO203*4</f>
        <v>0</v>
      </c>
      <c r="CP199" s="413"/>
      <c r="CQ199" s="414"/>
      <c r="CR199" s="412">
        <f t="shared" ref="CR199" si="65">CR203*4</f>
        <v>0</v>
      </c>
      <c r="CS199" s="413"/>
      <c r="CT199" s="414"/>
      <c r="CU199" s="412">
        <f t="shared" ref="CU199" si="66">CU203*4</f>
        <v>0</v>
      </c>
      <c r="CV199" s="413"/>
      <c r="CW199" s="414"/>
      <c r="CX199" s="412">
        <f t="shared" ref="CX199" si="67">CX203*4</f>
        <v>0</v>
      </c>
      <c r="CY199" s="413"/>
      <c r="CZ199" s="414"/>
      <c r="DA199" s="412">
        <f t="shared" ref="DA199" si="68">DA203*4</f>
        <v>0</v>
      </c>
      <c r="DB199" s="413"/>
      <c r="DC199" s="414"/>
      <c r="DD199" s="412">
        <f t="shared" ref="DD199" si="69">DD203*4</f>
        <v>0</v>
      </c>
      <c r="DE199" s="413"/>
      <c r="DF199" s="414"/>
      <c r="DH199" s="311"/>
      <c r="DI199" s="311"/>
      <c r="DJ199" s="311"/>
      <c r="DK199" s="311"/>
      <c r="DL199" s="321"/>
      <c r="DM199" s="321"/>
      <c r="DN199" s="321"/>
      <c r="DO199" s="321"/>
      <c r="DP199" s="321"/>
      <c r="DQ199" s="321"/>
      <c r="DR199" s="321"/>
      <c r="DS199" s="321"/>
    </row>
    <row r="200" spans="1:123" ht="7.4" customHeight="1" x14ac:dyDescent="0.5">
      <c r="A200" s="42"/>
      <c r="B200" s="42"/>
      <c r="C200" s="311"/>
      <c r="D200" s="311"/>
      <c r="E200" s="41"/>
      <c r="F200" s="42"/>
      <c r="G200" s="319"/>
      <c r="H200" s="319"/>
      <c r="I200" s="319"/>
      <c r="J200" s="319"/>
      <c r="K200" s="319"/>
      <c r="L200" s="319"/>
      <c r="M200" s="319"/>
      <c r="N200" s="319"/>
      <c r="O200" s="319"/>
      <c r="P200" s="319"/>
      <c r="Q200" s="319"/>
      <c r="R200" s="320"/>
      <c r="S200" s="42"/>
      <c r="T200" s="405"/>
      <c r="U200" s="405"/>
      <c r="V200" s="405"/>
      <c r="W200" s="405"/>
      <c r="X200" s="405"/>
      <c r="Y200" s="405"/>
      <c r="Z200" s="405"/>
      <c r="AA200" s="405"/>
      <c r="AB200" s="405"/>
      <c r="AC200" s="405"/>
      <c r="AD200" s="405"/>
      <c r="AE200" s="405"/>
      <c r="AF200" s="405"/>
      <c r="AG200" s="405"/>
      <c r="AH200" s="405"/>
      <c r="AI200" s="405"/>
      <c r="AJ200" s="411"/>
      <c r="AK200" s="42"/>
      <c r="AL200" s="311"/>
      <c r="AM200" s="311"/>
      <c r="AN200" s="311"/>
      <c r="AO200" s="311"/>
      <c r="AP200" s="43"/>
      <c r="AQ200" s="128"/>
      <c r="AR200" s="309"/>
      <c r="AS200" s="309"/>
      <c r="AT200" s="309"/>
      <c r="AU200" s="309"/>
      <c r="AV200" s="309"/>
      <c r="AW200" s="309"/>
      <c r="AX200" s="309"/>
      <c r="AY200" s="309"/>
      <c r="AZ200" s="309"/>
      <c r="BA200" s="309"/>
      <c r="BB200" s="309"/>
      <c r="BC200" s="309"/>
      <c r="BD200" s="309"/>
      <c r="BE200" s="309"/>
      <c r="BF200" s="309"/>
      <c r="BG200" s="309"/>
      <c r="BH200" s="124"/>
      <c r="BI200" s="41"/>
      <c r="BJ200" s="49"/>
      <c r="BK200" s="412"/>
      <c r="BL200" s="413"/>
      <c r="BM200" s="414"/>
      <c r="BN200" s="412"/>
      <c r="BO200" s="413"/>
      <c r="BP200" s="414"/>
      <c r="BQ200" s="412"/>
      <c r="BR200" s="413"/>
      <c r="BS200" s="414"/>
      <c r="BT200" s="412"/>
      <c r="BU200" s="413"/>
      <c r="BV200" s="414"/>
      <c r="BW200" s="412"/>
      <c r="BX200" s="413"/>
      <c r="BY200" s="414"/>
      <c r="BZ200" s="412"/>
      <c r="CA200" s="413"/>
      <c r="CB200" s="414"/>
      <c r="CC200" s="412"/>
      <c r="CD200" s="413"/>
      <c r="CE200" s="414"/>
      <c r="CF200" s="412"/>
      <c r="CG200" s="413"/>
      <c r="CH200" s="414"/>
      <c r="CI200" s="412"/>
      <c r="CJ200" s="413"/>
      <c r="CK200" s="414"/>
      <c r="CL200" s="412"/>
      <c r="CM200" s="413"/>
      <c r="CN200" s="414"/>
      <c r="CO200" s="412"/>
      <c r="CP200" s="413"/>
      <c r="CQ200" s="414"/>
      <c r="CR200" s="412"/>
      <c r="CS200" s="413"/>
      <c r="CT200" s="414"/>
      <c r="CU200" s="412"/>
      <c r="CV200" s="413"/>
      <c r="CW200" s="414"/>
      <c r="CX200" s="412"/>
      <c r="CY200" s="413"/>
      <c r="CZ200" s="414"/>
      <c r="DA200" s="412"/>
      <c r="DB200" s="413"/>
      <c r="DC200" s="414"/>
      <c r="DD200" s="412"/>
      <c r="DE200" s="413"/>
      <c r="DF200" s="414"/>
      <c r="DH200" s="311"/>
      <c r="DI200" s="311"/>
      <c r="DJ200" s="311"/>
      <c r="DK200" s="311"/>
      <c r="DL200" s="321"/>
      <c r="DM200" s="321"/>
      <c r="DN200" s="321"/>
      <c r="DO200" s="321"/>
      <c r="DP200" s="321"/>
      <c r="DQ200" s="321"/>
      <c r="DR200" s="321"/>
      <c r="DS200" s="321"/>
    </row>
    <row r="201" spans="1:123" ht="7.4" customHeight="1" x14ac:dyDescent="0.5">
      <c r="A201" s="42"/>
      <c r="B201" s="42"/>
      <c r="C201" s="55"/>
      <c r="D201" s="55"/>
      <c r="E201" s="41"/>
      <c r="F201" s="42"/>
      <c r="G201" s="120"/>
      <c r="H201" s="56"/>
      <c r="I201" s="56"/>
      <c r="J201" s="56"/>
      <c r="K201" s="56"/>
      <c r="L201" s="56"/>
      <c r="M201" s="56"/>
      <c r="N201" s="56"/>
      <c r="O201" s="56"/>
      <c r="P201" s="56"/>
      <c r="Q201" s="56"/>
      <c r="R201" s="126"/>
      <c r="S201" s="42"/>
      <c r="T201" s="116" t="str">
        <f>VLOOKUP(G199,PL!$B$9:$BH$1265,33,FALSE)</f>
        <v>.</v>
      </c>
      <c r="AJ201" s="44"/>
      <c r="AK201" s="42"/>
      <c r="AL201" s="311"/>
      <c r="AM201" s="311"/>
      <c r="AN201" s="311"/>
      <c r="AO201" s="311"/>
      <c r="AP201" s="43"/>
      <c r="AQ201" s="42"/>
      <c r="AR201" s="131"/>
      <c r="AS201" s="131"/>
      <c r="AT201" s="131"/>
      <c r="AU201" s="131"/>
      <c r="AV201" s="131"/>
      <c r="AW201" s="131"/>
      <c r="AX201" s="105"/>
      <c r="AZ201" s="131"/>
      <c r="BA201" s="131"/>
      <c r="BB201" s="131"/>
      <c r="BC201" s="131"/>
      <c r="BD201" s="131"/>
      <c r="BE201" s="131"/>
      <c r="BF201" s="131"/>
      <c r="BG201" s="131"/>
      <c r="BH201" s="124"/>
      <c r="BI201" s="41"/>
      <c r="BK201" s="194"/>
      <c r="BL201" s="123"/>
      <c r="BM201" s="195"/>
      <c r="BN201" s="194"/>
      <c r="BO201" s="123"/>
      <c r="BP201" s="195"/>
      <c r="BQ201" s="194"/>
      <c r="BR201" s="123"/>
      <c r="BS201" s="195"/>
      <c r="BT201" s="194"/>
      <c r="BU201" s="123"/>
      <c r="BV201" s="195"/>
      <c r="BW201" s="194"/>
      <c r="BX201" s="123"/>
      <c r="BY201" s="195"/>
      <c r="BZ201" s="194"/>
      <c r="CA201" s="123"/>
      <c r="CB201" s="195"/>
      <c r="CC201" s="194"/>
      <c r="CD201" s="123"/>
      <c r="CE201" s="195"/>
      <c r="CF201" s="194"/>
      <c r="CG201" s="123"/>
      <c r="CH201" s="195"/>
      <c r="CI201" s="194"/>
      <c r="CJ201" s="123"/>
      <c r="CK201" s="195"/>
      <c r="CL201" s="194"/>
      <c r="CM201" s="123"/>
      <c r="CN201" s="195"/>
      <c r="CO201" s="194"/>
      <c r="CP201" s="123"/>
      <c r="CQ201" s="195"/>
      <c r="CR201" s="194"/>
      <c r="CS201" s="123"/>
      <c r="CT201" s="195"/>
      <c r="CU201" s="194"/>
      <c r="CV201" s="123"/>
      <c r="CW201" s="195"/>
      <c r="CX201" s="194"/>
      <c r="CY201" s="123"/>
      <c r="CZ201" s="195"/>
      <c r="DA201" s="194"/>
      <c r="DB201" s="123"/>
      <c r="DC201" s="195"/>
      <c r="DD201" s="194"/>
      <c r="DE201" s="123"/>
      <c r="DF201" s="195"/>
      <c r="DH201" s="311"/>
      <c r="DI201" s="311"/>
      <c r="DJ201" s="311"/>
      <c r="DK201" s="311"/>
      <c r="DL201" s="321"/>
      <c r="DM201" s="321"/>
      <c r="DN201" s="321"/>
      <c r="DO201" s="321"/>
      <c r="DP201" s="321"/>
      <c r="DQ201" s="321"/>
      <c r="DR201" s="321"/>
      <c r="DS201" s="321"/>
    </row>
    <row r="202" spans="1:123" ht="7.4" customHeight="1" x14ac:dyDescent="0.5">
      <c r="A202" s="42"/>
      <c r="B202" s="42"/>
      <c r="C202" s="43"/>
      <c r="D202" s="43"/>
      <c r="E202" s="41"/>
      <c r="F202" s="42"/>
      <c r="G202" s="120"/>
      <c r="H202" s="56"/>
      <c r="I202" s="56"/>
      <c r="J202" s="56"/>
      <c r="K202" s="56"/>
      <c r="L202" s="56"/>
      <c r="M202" s="56"/>
      <c r="N202" s="56"/>
      <c r="O202" s="56"/>
      <c r="P202" s="56"/>
      <c r="Q202" s="56"/>
      <c r="R202" s="126"/>
      <c r="S202" s="42"/>
      <c r="AJ202" s="41"/>
      <c r="AK202" s="42"/>
      <c r="AL202" s="311"/>
      <c r="AM202" s="311"/>
      <c r="AN202" s="311"/>
      <c r="AO202" s="311"/>
      <c r="AP202" s="43"/>
      <c r="AQ202" s="42"/>
      <c r="AR202" s="131"/>
      <c r="AS202" s="131"/>
      <c r="AT202" s="131"/>
      <c r="AU202" s="131"/>
      <c r="AV202" s="131"/>
      <c r="AW202" s="131"/>
      <c r="AX202" s="105"/>
      <c r="AZ202" s="131"/>
      <c r="BA202" s="131"/>
      <c r="BB202" s="131"/>
      <c r="BC202" s="131"/>
      <c r="BD202" s="131"/>
      <c r="BE202" s="131"/>
      <c r="BF202" s="131"/>
      <c r="BG202" s="131"/>
      <c r="BH202" s="124"/>
      <c r="BI202" s="41"/>
      <c r="BK202" s="194"/>
      <c r="BL202" s="123"/>
      <c r="BM202" s="195"/>
      <c r="BN202" s="194"/>
      <c r="BO202" s="123"/>
      <c r="BP202" s="195"/>
      <c r="BQ202" s="194"/>
      <c r="BR202" s="123"/>
      <c r="BS202" s="195"/>
      <c r="BT202" s="194"/>
      <c r="BU202" s="123"/>
      <c r="BV202" s="195"/>
      <c r="BW202" s="194"/>
      <c r="BX202" s="123"/>
      <c r="BY202" s="195"/>
      <c r="BZ202" s="194"/>
      <c r="CA202" s="123"/>
      <c r="CB202" s="195"/>
      <c r="CC202" s="194"/>
      <c r="CD202" s="123"/>
      <c r="CE202" s="195"/>
      <c r="CF202" s="194"/>
      <c r="CG202" s="123"/>
      <c r="CH202" s="195"/>
      <c r="CI202" s="194"/>
      <c r="CJ202" s="123"/>
      <c r="CK202" s="195"/>
      <c r="CL202" s="194"/>
      <c r="CM202" s="123"/>
      <c r="CN202" s="195"/>
      <c r="CO202" s="194"/>
      <c r="CP202" s="123"/>
      <c r="CQ202" s="195"/>
      <c r="CR202" s="194"/>
      <c r="CS202" s="123"/>
      <c r="CT202" s="195"/>
      <c r="CU202" s="194"/>
      <c r="CV202" s="123"/>
      <c r="CW202" s="195"/>
      <c r="CX202" s="194"/>
      <c r="CY202" s="123"/>
      <c r="CZ202" s="195"/>
      <c r="DA202" s="194"/>
      <c r="DB202" s="123"/>
      <c r="DC202" s="195"/>
      <c r="DD202" s="194"/>
      <c r="DE202" s="123"/>
      <c r="DF202" s="195"/>
      <c r="DH202" s="311"/>
      <c r="DI202" s="311"/>
      <c r="DJ202" s="311"/>
      <c r="DK202" s="311"/>
      <c r="DL202" s="321"/>
      <c r="DM202" s="321"/>
      <c r="DN202" s="321"/>
      <c r="DO202" s="321"/>
      <c r="DP202" s="321"/>
      <c r="DQ202" s="321"/>
      <c r="DR202" s="321"/>
      <c r="DS202" s="321"/>
    </row>
    <row r="203" spans="1:123" ht="7.4" customHeight="1" x14ac:dyDescent="0.5">
      <c r="A203" s="42"/>
      <c r="B203" s="42"/>
      <c r="C203" s="311">
        <f>C199+1</f>
        <v>22</v>
      </c>
      <c r="D203" s="311"/>
      <c r="E203" s="41"/>
      <c r="F203" s="42"/>
      <c r="G203" s="319" t="str">
        <f>IF(AL203=0,"N/A","AXE_RW_B_6_SS")</f>
        <v>N/A</v>
      </c>
      <c r="H203" s="319"/>
      <c r="I203" s="319"/>
      <c r="J203" s="319"/>
      <c r="K203" s="319"/>
      <c r="L203" s="319"/>
      <c r="M203" s="319"/>
      <c r="N203" s="319"/>
      <c r="O203" s="319"/>
      <c r="P203" s="319"/>
      <c r="Q203" s="319"/>
      <c r="R203" s="320"/>
      <c r="S203" s="42"/>
      <c r="T203" s="405" t="str">
        <f>VLOOKUP(G203,PL!$B$9:$BH$1265,14,FALSE)</f>
        <v>No Item</v>
      </c>
      <c r="U203" s="405"/>
      <c r="V203" s="405"/>
      <c r="W203" s="405"/>
      <c r="X203" s="405"/>
      <c r="Y203" s="405"/>
      <c r="Z203" s="405"/>
      <c r="AA203" s="405"/>
      <c r="AB203" s="405"/>
      <c r="AC203" s="405"/>
      <c r="AD203" s="405"/>
      <c r="AE203" s="405"/>
      <c r="AF203" s="405"/>
      <c r="AG203" s="405"/>
      <c r="AH203" s="405"/>
      <c r="AI203" s="405"/>
      <c r="AJ203" s="411"/>
      <c r="AK203" s="42"/>
      <c r="AL203" s="311">
        <f t="shared" ref="AL203" si="70">ROUND(SUM(BK203:DF203)*(1+$BF$87),0)</f>
        <v>0</v>
      </c>
      <c r="AM203" s="311"/>
      <c r="AN203" s="311"/>
      <c r="AO203" s="311"/>
      <c r="AP203" s="43"/>
      <c r="AQ203" s="128"/>
      <c r="AR203" s="308" t="str">
        <f>VLOOKUP(G203,PL!$B$9:$BH$818,52,FALSE)</f>
        <v>-</v>
      </c>
      <c r="AS203" s="309"/>
      <c r="AT203" s="309"/>
      <c r="AU203" s="309"/>
      <c r="AV203" s="309"/>
      <c r="AW203" s="309"/>
      <c r="AX203" s="309"/>
      <c r="AY203" s="309"/>
      <c r="AZ203" s="309"/>
      <c r="BA203" s="309"/>
      <c r="BB203" s="309"/>
      <c r="BC203" s="309"/>
      <c r="BD203" s="309"/>
      <c r="BE203" s="309"/>
      <c r="BF203" s="309"/>
      <c r="BG203" s="309"/>
      <c r="BH203" s="124"/>
      <c r="BI203" s="41"/>
      <c r="BJ203" s="49"/>
      <c r="BK203" s="412">
        <f>IF($N$93="Cables",BK151,0)</f>
        <v>0</v>
      </c>
      <c r="BL203" s="413"/>
      <c r="BM203" s="414"/>
      <c r="BN203" s="412">
        <f>IF($N$93="Cables",BN151,0)</f>
        <v>0</v>
      </c>
      <c r="BO203" s="413"/>
      <c r="BP203" s="414"/>
      <c r="BQ203" s="412">
        <f>IF($N$93="Cables",BQ151,0)</f>
        <v>0</v>
      </c>
      <c r="BR203" s="413"/>
      <c r="BS203" s="414"/>
      <c r="BT203" s="412">
        <f>IF($N$93="Cables",BT151,0)</f>
        <v>0</v>
      </c>
      <c r="BU203" s="413"/>
      <c r="BV203" s="414"/>
      <c r="BW203" s="412">
        <f>IF($N$93="Cables",BW151,0)</f>
        <v>0</v>
      </c>
      <c r="BX203" s="413"/>
      <c r="BY203" s="414"/>
      <c r="BZ203" s="412">
        <f>IF($N$93="Cables",BZ151,0)</f>
        <v>0</v>
      </c>
      <c r="CA203" s="413"/>
      <c r="CB203" s="414"/>
      <c r="CC203" s="412">
        <f>IF($N$93="Cables",CC151,0)</f>
        <v>0</v>
      </c>
      <c r="CD203" s="413"/>
      <c r="CE203" s="414"/>
      <c r="CF203" s="412">
        <f>IF($N$93="Cables",CF151,0)</f>
        <v>0</v>
      </c>
      <c r="CG203" s="413"/>
      <c r="CH203" s="414"/>
      <c r="CI203" s="412">
        <f>IF($N$93="Cables",CI151,0)</f>
        <v>0</v>
      </c>
      <c r="CJ203" s="413"/>
      <c r="CK203" s="414"/>
      <c r="CL203" s="412">
        <f>IF($N$93="Cables",CL151,0)</f>
        <v>0</v>
      </c>
      <c r="CM203" s="413"/>
      <c r="CN203" s="414"/>
      <c r="CO203" s="412">
        <f>IF($N$93="Cables",CO151,0)</f>
        <v>0</v>
      </c>
      <c r="CP203" s="413"/>
      <c r="CQ203" s="414"/>
      <c r="CR203" s="412">
        <f>IF($N$93="Cables",CR151,0)</f>
        <v>0</v>
      </c>
      <c r="CS203" s="413"/>
      <c r="CT203" s="414"/>
      <c r="CU203" s="412">
        <f>IF($N$93="Cables",CU151,0)</f>
        <v>0</v>
      </c>
      <c r="CV203" s="413"/>
      <c r="CW203" s="414"/>
      <c r="CX203" s="412">
        <f>IF($N$93="Cables",CX151,0)</f>
        <v>0</v>
      </c>
      <c r="CY203" s="413"/>
      <c r="CZ203" s="414"/>
      <c r="DA203" s="412">
        <f>IF($N$93="Cables",DA151,0)</f>
        <v>0</v>
      </c>
      <c r="DB203" s="413"/>
      <c r="DC203" s="414"/>
      <c r="DD203" s="412">
        <f>IF($N$93="Cables",DD151,0)</f>
        <v>0</v>
      </c>
      <c r="DE203" s="413"/>
      <c r="DF203" s="414"/>
      <c r="DH203" s="311"/>
      <c r="DI203" s="311"/>
      <c r="DJ203" s="311"/>
      <c r="DK203" s="311"/>
      <c r="DL203" s="321"/>
      <c r="DM203" s="321"/>
      <c r="DN203" s="321"/>
      <c r="DO203" s="321"/>
      <c r="DP203" s="321"/>
      <c r="DQ203" s="321"/>
      <c r="DR203" s="321"/>
      <c r="DS203" s="321"/>
    </row>
    <row r="204" spans="1:123" ht="7.4" customHeight="1" x14ac:dyDescent="0.5">
      <c r="A204" s="42"/>
      <c r="B204" s="42"/>
      <c r="C204" s="311"/>
      <c r="D204" s="311"/>
      <c r="E204" s="41"/>
      <c r="F204" s="42"/>
      <c r="G204" s="319"/>
      <c r="H204" s="319"/>
      <c r="I204" s="319"/>
      <c r="J204" s="319"/>
      <c r="K204" s="319"/>
      <c r="L204" s="319"/>
      <c r="M204" s="319"/>
      <c r="N204" s="319"/>
      <c r="O204" s="319"/>
      <c r="P204" s="319"/>
      <c r="Q204" s="319"/>
      <c r="R204" s="320"/>
      <c r="S204" s="42"/>
      <c r="T204" s="405"/>
      <c r="U204" s="405"/>
      <c r="V204" s="405"/>
      <c r="W204" s="405"/>
      <c r="X204" s="405"/>
      <c r="Y204" s="405"/>
      <c r="Z204" s="405"/>
      <c r="AA204" s="405"/>
      <c r="AB204" s="405"/>
      <c r="AC204" s="405"/>
      <c r="AD204" s="405"/>
      <c r="AE204" s="405"/>
      <c r="AF204" s="405"/>
      <c r="AG204" s="405"/>
      <c r="AH204" s="405"/>
      <c r="AI204" s="405"/>
      <c r="AJ204" s="411"/>
      <c r="AK204" s="42"/>
      <c r="AL204" s="311"/>
      <c r="AM204" s="311"/>
      <c r="AN204" s="311"/>
      <c r="AO204" s="311"/>
      <c r="AP204" s="43"/>
      <c r="AQ204" s="128"/>
      <c r="AR204" s="309"/>
      <c r="AS204" s="309"/>
      <c r="AT204" s="309"/>
      <c r="AU204" s="309"/>
      <c r="AV204" s="309"/>
      <c r="AW204" s="309"/>
      <c r="AX204" s="309"/>
      <c r="AY204" s="309"/>
      <c r="AZ204" s="309"/>
      <c r="BA204" s="309"/>
      <c r="BB204" s="309"/>
      <c r="BC204" s="309"/>
      <c r="BD204" s="309"/>
      <c r="BE204" s="309"/>
      <c r="BF204" s="309"/>
      <c r="BG204" s="309"/>
      <c r="BH204" s="124"/>
      <c r="BI204" s="41"/>
      <c r="BJ204" s="49"/>
      <c r="BK204" s="412"/>
      <c r="BL204" s="413"/>
      <c r="BM204" s="414"/>
      <c r="BN204" s="412"/>
      <c r="BO204" s="413"/>
      <c r="BP204" s="414"/>
      <c r="BQ204" s="412"/>
      <c r="BR204" s="413"/>
      <c r="BS204" s="414"/>
      <c r="BT204" s="412"/>
      <c r="BU204" s="413"/>
      <c r="BV204" s="414"/>
      <c r="BW204" s="412"/>
      <c r="BX204" s="413"/>
      <c r="BY204" s="414"/>
      <c r="BZ204" s="412"/>
      <c r="CA204" s="413"/>
      <c r="CB204" s="414"/>
      <c r="CC204" s="412"/>
      <c r="CD204" s="413"/>
      <c r="CE204" s="414"/>
      <c r="CF204" s="412"/>
      <c r="CG204" s="413"/>
      <c r="CH204" s="414"/>
      <c r="CI204" s="412"/>
      <c r="CJ204" s="413"/>
      <c r="CK204" s="414"/>
      <c r="CL204" s="412"/>
      <c r="CM204" s="413"/>
      <c r="CN204" s="414"/>
      <c r="CO204" s="412"/>
      <c r="CP204" s="413"/>
      <c r="CQ204" s="414"/>
      <c r="CR204" s="412"/>
      <c r="CS204" s="413"/>
      <c r="CT204" s="414"/>
      <c r="CU204" s="412"/>
      <c r="CV204" s="413"/>
      <c r="CW204" s="414"/>
      <c r="CX204" s="412"/>
      <c r="CY204" s="413"/>
      <c r="CZ204" s="414"/>
      <c r="DA204" s="412"/>
      <c r="DB204" s="413"/>
      <c r="DC204" s="414"/>
      <c r="DD204" s="412"/>
      <c r="DE204" s="413"/>
      <c r="DF204" s="414"/>
      <c r="DH204" s="311"/>
      <c r="DI204" s="311"/>
      <c r="DJ204" s="311"/>
      <c r="DK204" s="311"/>
      <c r="DL204" s="321"/>
      <c r="DM204" s="321"/>
      <c r="DN204" s="321"/>
      <c r="DO204" s="321"/>
      <c r="DP204" s="321"/>
      <c r="DQ204" s="321"/>
      <c r="DR204" s="321"/>
      <c r="DS204" s="321"/>
    </row>
    <row r="205" spans="1:123" ht="7.4" customHeight="1" x14ac:dyDescent="0.5">
      <c r="A205" s="42"/>
      <c r="B205" s="42"/>
      <c r="C205" s="55"/>
      <c r="D205" s="55"/>
      <c r="E205" s="41"/>
      <c r="F205" s="42"/>
      <c r="G205" s="120"/>
      <c r="H205" s="56"/>
      <c r="I205" s="56"/>
      <c r="J205" s="56"/>
      <c r="K205" s="56"/>
      <c r="L205" s="56"/>
      <c r="M205" s="56"/>
      <c r="N205" s="56"/>
      <c r="O205" s="56"/>
      <c r="P205" s="56"/>
      <c r="Q205" s="56"/>
      <c r="R205" s="126"/>
      <c r="S205" s="42"/>
      <c r="T205" s="116" t="str">
        <f>VLOOKUP(G203,PL!$B$9:$BH$1265,33,FALSE)</f>
        <v>.</v>
      </c>
      <c r="AJ205" s="44"/>
      <c r="AK205" s="42"/>
      <c r="AL205" s="311"/>
      <c r="AM205" s="311"/>
      <c r="AN205" s="311"/>
      <c r="AO205" s="311"/>
      <c r="AP205" s="43"/>
      <c r="AQ205" s="42"/>
      <c r="AR205" s="131"/>
      <c r="AS205" s="131"/>
      <c r="AT205" s="131"/>
      <c r="AU205" s="131"/>
      <c r="AV205" s="131"/>
      <c r="AW205" s="131"/>
      <c r="AX205" s="105"/>
      <c r="AZ205" s="131"/>
      <c r="BA205" s="131"/>
      <c r="BB205" s="131"/>
      <c r="BC205" s="131"/>
      <c r="BD205" s="131"/>
      <c r="BE205" s="131"/>
      <c r="BF205" s="131"/>
      <c r="BG205" s="131"/>
      <c r="BH205" s="124"/>
      <c r="BI205" s="41"/>
      <c r="BK205" s="194"/>
      <c r="BL205" s="123"/>
      <c r="BM205" s="195"/>
      <c r="BN205" s="194"/>
      <c r="BO205" s="123"/>
      <c r="BP205" s="195"/>
      <c r="BQ205" s="194"/>
      <c r="BR205" s="123"/>
      <c r="BS205" s="195"/>
      <c r="BT205" s="194"/>
      <c r="BU205" s="123"/>
      <c r="BV205" s="195"/>
      <c r="BW205" s="194"/>
      <c r="BX205" s="123"/>
      <c r="BY205" s="195"/>
      <c r="BZ205" s="194"/>
      <c r="CA205" s="123"/>
      <c r="CB205" s="195"/>
      <c r="CC205" s="194"/>
      <c r="CD205" s="123"/>
      <c r="CE205" s="195"/>
      <c r="CF205" s="194"/>
      <c r="CG205" s="123"/>
      <c r="CH205" s="195"/>
      <c r="CI205" s="194"/>
      <c r="CJ205" s="123"/>
      <c r="CK205" s="195"/>
      <c r="CL205" s="194"/>
      <c r="CM205" s="123"/>
      <c r="CN205" s="195"/>
      <c r="CO205" s="194"/>
      <c r="CP205" s="123"/>
      <c r="CQ205" s="195"/>
      <c r="CR205" s="194"/>
      <c r="CS205" s="123"/>
      <c r="CT205" s="195"/>
      <c r="CU205" s="194"/>
      <c r="CV205" s="123"/>
      <c r="CW205" s="195"/>
      <c r="CX205" s="194"/>
      <c r="CY205" s="123"/>
      <c r="CZ205" s="195"/>
      <c r="DA205" s="194"/>
      <c r="DB205" s="123"/>
      <c r="DC205" s="195"/>
      <c r="DD205" s="194"/>
      <c r="DE205" s="123"/>
      <c r="DF205" s="195"/>
      <c r="DH205" s="311"/>
      <c r="DI205" s="311"/>
      <c r="DJ205" s="311"/>
      <c r="DK205" s="311"/>
      <c r="DL205" s="321"/>
      <c r="DM205" s="321"/>
      <c r="DN205" s="321"/>
      <c r="DO205" s="321"/>
      <c r="DP205" s="321"/>
      <c r="DQ205" s="321"/>
      <c r="DR205" s="321"/>
      <c r="DS205" s="321"/>
    </row>
    <row r="206" spans="1:123" ht="7.4" customHeight="1" x14ac:dyDescent="0.5">
      <c r="A206" s="42"/>
      <c r="B206" s="42"/>
      <c r="C206" s="55"/>
      <c r="D206" s="55"/>
      <c r="E206" s="41"/>
      <c r="F206" s="42"/>
      <c r="G206" s="120"/>
      <c r="H206" s="56"/>
      <c r="I206" s="56"/>
      <c r="J206" s="56"/>
      <c r="K206" s="56"/>
      <c r="L206" s="56"/>
      <c r="M206" s="56"/>
      <c r="N206" s="56"/>
      <c r="O206" s="56"/>
      <c r="P206" s="56"/>
      <c r="Q206" s="56"/>
      <c r="R206" s="126"/>
      <c r="S206" s="42"/>
      <c r="AJ206" s="41"/>
      <c r="AK206" s="42"/>
      <c r="AL206" s="311"/>
      <c r="AM206" s="311"/>
      <c r="AN206" s="311"/>
      <c r="AO206" s="311"/>
      <c r="AP206" s="43"/>
      <c r="AQ206" s="42"/>
      <c r="AR206" s="131"/>
      <c r="AS206" s="131"/>
      <c r="AT206" s="131"/>
      <c r="AU206" s="131"/>
      <c r="AV206" s="131"/>
      <c r="AW206" s="131"/>
      <c r="AX206" s="105"/>
      <c r="AZ206" s="131"/>
      <c r="BA206" s="131"/>
      <c r="BB206" s="131"/>
      <c r="BC206" s="131"/>
      <c r="BD206" s="131"/>
      <c r="BE206" s="131"/>
      <c r="BF206" s="131"/>
      <c r="BG206" s="131"/>
      <c r="BH206" s="124"/>
      <c r="BI206" s="124"/>
      <c r="BK206" s="194"/>
      <c r="BL206" s="123"/>
      <c r="BM206" s="195"/>
      <c r="BN206" s="194"/>
      <c r="BO206" s="123"/>
      <c r="BP206" s="195"/>
      <c r="BQ206" s="194"/>
      <c r="BR206" s="123"/>
      <c r="BS206" s="195"/>
      <c r="BT206" s="194"/>
      <c r="BU206" s="123"/>
      <c r="BV206" s="195"/>
      <c r="BW206" s="194"/>
      <c r="BX206" s="123"/>
      <c r="BY206" s="195"/>
      <c r="BZ206" s="194"/>
      <c r="CA206" s="123"/>
      <c r="CB206" s="195"/>
      <c r="CC206" s="194"/>
      <c r="CD206" s="123"/>
      <c r="CE206" s="195"/>
      <c r="CF206" s="194"/>
      <c r="CG206" s="123"/>
      <c r="CH206" s="195"/>
      <c r="CI206" s="194"/>
      <c r="CJ206" s="123"/>
      <c r="CK206" s="195"/>
      <c r="CL206" s="194"/>
      <c r="CM206" s="123"/>
      <c r="CN206" s="195"/>
      <c r="CO206" s="194"/>
      <c r="CP206" s="123"/>
      <c r="CQ206" s="195"/>
      <c r="CR206" s="194"/>
      <c r="CS206" s="123"/>
      <c r="CT206" s="195"/>
      <c r="CU206" s="194"/>
      <c r="CV206" s="123"/>
      <c r="CW206" s="195"/>
      <c r="CX206" s="194"/>
      <c r="CY206" s="123"/>
      <c r="CZ206" s="195"/>
      <c r="DA206" s="194"/>
      <c r="DB206" s="123"/>
      <c r="DC206" s="195"/>
      <c r="DD206" s="194"/>
      <c r="DE206" s="123"/>
      <c r="DF206" s="195"/>
      <c r="DH206" s="311"/>
      <c r="DI206" s="311"/>
      <c r="DJ206" s="311"/>
      <c r="DK206" s="311"/>
      <c r="DL206" s="321"/>
      <c r="DM206" s="321"/>
      <c r="DN206" s="321"/>
      <c r="DO206" s="321"/>
      <c r="DP206" s="321"/>
      <c r="DQ206" s="321"/>
      <c r="DR206" s="321"/>
      <c r="DS206" s="321"/>
    </row>
    <row r="207" spans="1:123" ht="7.4" customHeight="1" x14ac:dyDescent="0.5">
      <c r="A207" s="42"/>
      <c r="B207" s="42"/>
      <c r="C207" s="311">
        <f>C203+1</f>
        <v>23</v>
      </c>
      <c r="D207" s="311"/>
      <c r="E207" s="41"/>
      <c r="F207" s="42"/>
      <c r="G207" s="319" t="str">
        <f>IF(AL207=0,"N/A","AXE_ST_6.3_22_SC")</f>
        <v>AXE_ST_6.3_22_SC</v>
      </c>
      <c r="H207" s="319"/>
      <c r="I207" s="319"/>
      <c r="J207" s="319"/>
      <c r="K207" s="319"/>
      <c r="L207" s="319"/>
      <c r="M207" s="319"/>
      <c r="N207" s="319"/>
      <c r="O207" s="319"/>
      <c r="P207" s="319"/>
      <c r="Q207" s="319"/>
      <c r="R207" s="320"/>
      <c r="S207" s="42"/>
      <c r="T207" s="405" t="str">
        <f>VLOOKUP(G207,PL!$B$9:$BH$1265,14,FALSE)</f>
        <v>Self Drilling Tek Screw</v>
      </c>
      <c r="U207" s="405"/>
      <c r="V207" s="405"/>
      <c r="W207" s="405"/>
      <c r="X207" s="405"/>
      <c r="Y207" s="405"/>
      <c r="Z207" s="405"/>
      <c r="AA207" s="405"/>
      <c r="AB207" s="405"/>
      <c r="AC207" s="405"/>
      <c r="AD207" s="405"/>
      <c r="AE207" s="405"/>
      <c r="AF207" s="405"/>
      <c r="AG207" s="405"/>
      <c r="AH207" s="405"/>
      <c r="AI207" s="405"/>
      <c r="AJ207" s="411"/>
      <c r="AK207" s="42"/>
      <c r="AL207" s="311">
        <f>ROUND(SUM(BK207:DF207)*(1+$BF$87),0)</f>
        <v>1830</v>
      </c>
      <c r="AM207" s="311"/>
      <c r="AN207" s="311"/>
      <c r="AO207" s="311"/>
      <c r="AP207" s="43"/>
      <c r="AQ207" s="128"/>
      <c r="AR207" s="308" t="str">
        <f>VLOOKUP(G207,PL!$B$9:$BH$818,52,FALSE)</f>
        <v>SOL-5952</v>
      </c>
      <c r="AS207" s="309"/>
      <c r="AT207" s="309"/>
      <c r="AU207" s="309"/>
      <c r="AV207" s="309"/>
      <c r="AW207" s="309"/>
      <c r="AX207" s="309"/>
      <c r="AY207" s="309"/>
      <c r="AZ207" s="309"/>
      <c r="BA207" s="309"/>
      <c r="BB207" s="309"/>
      <c r="BC207" s="309"/>
      <c r="BD207" s="309"/>
      <c r="BE207" s="309"/>
      <c r="BF207" s="309"/>
      <c r="BG207" s="309"/>
      <c r="BH207" s="124"/>
      <c r="BI207" s="41"/>
      <c r="BK207" s="412">
        <f>IF(OR(MID($G$143,8,2)="IB",MID($G$143,8,2)="RS",MID($G$143,8,2)="CO"),BK143*4,IF(MID($G$143,8,2)="RF",BK143*2,0))+BK127*2</f>
        <v>1760</v>
      </c>
      <c r="BL207" s="413"/>
      <c r="BM207" s="414"/>
      <c r="BN207" s="412">
        <f>IF(OR(MID($G$143,8,2)="IB",MID($G$143,8,2)="RS",MID($G$143,8,2)="CO"),BN143*4,IF(MID($G$143,8,2)="RF",BN143*2,0))+BN127*2</f>
        <v>0</v>
      </c>
      <c r="BO207" s="413"/>
      <c r="BP207" s="414"/>
      <c r="BQ207" s="412">
        <f>IF(OR(MID($G$143,8,2)="IB",MID($G$143,8,2)="RS",MID($G$143,8,2)="CO"),BQ143*4,IF(MID($G$143,8,2)="RF",BQ143*2,0))+BQ127*2</f>
        <v>0</v>
      </c>
      <c r="BR207" s="413"/>
      <c r="BS207" s="414"/>
      <c r="BT207" s="412">
        <f>IF(OR(MID($G$143,8,2)="IB",MID($G$143,8,2)="RS",MID($G$143,8,2)="CO"),BT143*4,IF(MID($G$143,8,2)="RF",BT143*2,0))+BT127*2</f>
        <v>0</v>
      </c>
      <c r="BU207" s="413"/>
      <c r="BV207" s="414"/>
      <c r="BW207" s="412">
        <f>IF(OR(MID($G$143,8,2)="IB",MID($G$143,8,2)="RS",MID($G$143,8,2)="CO"),BW143*4,IF(MID($G$143,8,2)="RF",BW143*2,0))+BW127*2</f>
        <v>0</v>
      </c>
      <c r="BX207" s="413"/>
      <c r="BY207" s="414"/>
      <c r="BZ207" s="412">
        <f>IF(OR(MID($G$143,8,2)="IB",MID($G$143,8,2)="RS",MID($G$143,8,2)="CO"),BZ143*4,IF(MID($G$143,8,2)="RF",BZ143*2,0))+BZ127*2</f>
        <v>0</v>
      </c>
      <c r="CA207" s="413"/>
      <c r="CB207" s="414"/>
      <c r="CC207" s="412">
        <f>IF(OR(MID($G$143,8,2)="IB",MID($G$143,8,2)="RS",MID($G$143,8,2)="CO"),CC143*4,IF(MID($G$143,8,2)="RF",CC143*2,0))+CC127*2</f>
        <v>0</v>
      </c>
      <c r="CD207" s="413"/>
      <c r="CE207" s="414"/>
      <c r="CF207" s="412">
        <f>IF(OR(MID($G$143,8,2)="IB",MID($G$143,8,2)="RS",MID($G$143,8,2)="CO"),CF143*4,IF(MID($G$143,8,2)="RF",CF143*2,0))+CF127*2</f>
        <v>0</v>
      </c>
      <c r="CG207" s="413"/>
      <c r="CH207" s="414"/>
      <c r="CI207" s="412">
        <f>IF(OR(MID($G$143,8,2)="IB",MID($G$143,8,2)="RS",MID($G$143,8,2)="CO"),CI143*4,IF(MID($G$143,8,2)="RF",CI143*2,0))+CI127*2</f>
        <v>0</v>
      </c>
      <c r="CJ207" s="413"/>
      <c r="CK207" s="414"/>
      <c r="CL207" s="412">
        <f>IF(OR(MID($G$143,8,2)="IB",MID($G$143,8,2)="RS",MID($G$143,8,2)="CO"),CL143*4,IF(MID($G$143,8,2)="RF",CL143*2,0))+CL127*2</f>
        <v>0</v>
      </c>
      <c r="CM207" s="413"/>
      <c r="CN207" s="414"/>
      <c r="CO207" s="412">
        <f>IF(OR(MID($G$143,8,2)="IB",MID($G$143,8,2)="RS",MID($G$143,8,2)="CO"),CO143*4,IF(MID($G$143,8,2)="RF",CO143*2,0))+CO127*2</f>
        <v>0</v>
      </c>
      <c r="CP207" s="413"/>
      <c r="CQ207" s="414"/>
      <c r="CR207" s="412">
        <f>IF(OR(MID($G$143,8,2)="IB",MID($G$143,8,2)="RS",MID($G$143,8,2)="CO"),CR143*4,IF(MID($G$143,8,2)="RF",CR143*2,0))+CR127*2</f>
        <v>0</v>
      </c>
      <c r="CS207" s="413"/>
      <c r="CT207" s="414"/>
      <c r="CU207" s="412">
        <f>IF(OR(MID($G$143,8,2)="IB",MID($G$143,8,2)="RS",MID($G$143,8,2)="CO"),CU143*4,IF(MID($G$143,8,2)="RF",CU143*2,0))+CU127*2</f>
        <v>0</v>
      </c>
      <c r="CV207" s="413"/>
      <c r="CW207" s="414"/>
      <c r="CX207" s="412">
        <f>IF(OR(MID($G$143,8,2)="IB",MID($G$143,8,2)="RS",MID($G$143,8,2)="CO"),CX143*4,IF(MID($G$143,8,2)="RF",CX143*2,0))+CX127*2</f>
        <v>0</v>
      </c>
      <c r="CY207" s="413"/>
      <c r="CZ207" s="414"/>
      <c r="DA207" s="412">
        <f>IF(OR(MID($G$143,8,2)="IB",MID($G$143,8,2)="RS",MID($G$143,8,2)="CO"),DA143*4,IF(MID($G$143,8,2)="RF",DA143*2,0))+DA127*2</f>
        <v>0</v>
      </c>
      <c r="DB207" s="413"/>
      <c r="DC207" s="414"/>
      <c r="DD207" s="412">
        <f>IF(OR(MID($G$143,8,2)="IB",MID($G$143,8,2)="RS",MID($G$143,8,2)="CO"),DD143*4,IF(MID($G$143,8,2)="RF",DD143*2,0))+DD127*2</f>
        <v>0</v>
      </c>
      <c r="DE207" s="413"/>
      <c r="DF207" s="414"/>
      <c r="DH207" s="311"/>
      <c r="DI207" s="311"/>
      <c r="DJ207" s="311"/>
      <c r="DK207" s="311"/>
      <c r="DL207" s="321"/>
      <c r="DM207" s="321"/>
      <c r="DN207" s="321"/>
      <c r="DO207" s="321"/>
      <c r="DP207" s="321"/>
      <c r="DQ207" s="321"/>
      <c r="DR207" s="321"/>
      <c r="DS207" s="321"/>
    </row>
    <row r="208" spans="1:123" ht="7.4" customHeight="1" x14ac:dyDescent="0.5">
      <c r="A208" s="42"/>
      <c r="B208" s="42"/>
      <c r="C208" s="311"/>
      <c r="D208" s="311"/>
      <c r="E208" s="41"/>
      <c r="F208" s="42"/>
      <c r="G208" s="319"/>
      <c r="H208" s="319"/>
      <c r="I208" s="319"/>
      <c r="J208" s="319"/>
      <c r="K208" s="319"/>
      <c r="L208" s="319"/>
      <c r="M208" s="319"/>
      <c r="N208" s="319"/>
      <c r="O208" s="319"/>
      <c r="P208" s="319"/>
      <c r="Q208" s="319"/>
      <c r="R208" s="320"/>
      <c r="S208" s="42"/>
      <c r="T208" s="405"/>
      <c r="U208" s="405"/>
      <c r="V208" s="405"/>
      <c r="W208" s="405"/>
      <c r="X208" s="405"/>
      <c r="Y208" s="405"/>
      <c r="Z208" s="405"/>
      <c r="AA208" s="405"/>
      <c r="AB208" s="405"/>
      <c r="AC208" s="405"/>
      <c r="AD208" s="405"/>
      <c r="AE208" s="405"/>
      <c r="AF208" s="405"/>
      <c r="AG208" s="405"/>
      <c r="AH208" s="405"/>
      <c r="AI208" s="405"/>
      <c r="AJ208" s="411"/>
      <c r="AK208" s="42"/>
      <c r="AL208" s="311"/>
      <c r="AM208" s="311"/>
      <c r="AN208" s="311"/>
      <c r="AO208" s="311"/>
      <c r="AP208" s="43"/>
      <c r="AQ208" s="128"/>
      <c r="AR208" s="309"/>
      <c r="AS208" s="309"/>
      <c r="AT208" s="309"/>
      <c r="AU208" s="309"/>
      <c r="AV208" s="309"/>
      <c r="AW208" s="309"/>
      <c r="AX208" s="309"/>
      <c r="AY208" s="309"/>
      <c r="AZ208" s="309"/>
      <c r="BA208" s="309"/>
      <c r="BB208" s="309"/>
      <c r="BC208" s="309"/>
      <c r="BD208" s="309"/>
      <c r="BE208" s="309"/>
      <c r="BF208" s="309"/>
      <c r="BG208" s="309"/>
      <c r="BH208" s="124"/>
      <c r="BI208" s="41"/>
      <c r="BK208" s="412"/>
      <c r="BL208" s="413"/>
      <c r="BM208" s="414"/>
      <c r="BN208" s="412"/>
      <c r="BO208" s="413"/>
      <c r="BP208" s="414"/>
      <c r="BQ208" s="412"/>
      <c r="BR208" s="413"/>
      <c r="BS208" s="414"/>
      <c r="BT208" s="412"/>
      <c r="BU208" s="413"/>
      <c r="BV208" s="414"/>
      <c r="BW208" s="412"/>
      <c r="BX208" s="413"/>
      <c r="BY208" s="414"/>
      <c r="BZ208" s="412"/>
      <c r="CA208" s="413"/>
      <c r="CB208" s="414"/>
      <c r="CC208" s="412"/>
      <c r="CD208" s="413"/>
      <c r="CE208" s="414"/>
      <c r="CF208" s="412"/>
      <c r="CG208" s="413"/>
      <c r="CH208" s="414"/>
      <c r="CI208" s="412"/>
      <c r="CJ208" s="413"/>
      <c r="CK208" s="414"/>
      <c r="CL208" s="412"/>
      <c r="CM208" s="413"/>
      <c r="CN208" s="414"/>
      <c r="CO208" s="412"/>
      <c r="CP208" s="413"/>
      <c r="CQ208" s="414"/>
      <c r="CR208" s="412"/>
      <c r="CS208" s="413"/>
      <c r="CT208" s="414"/>
      <c r="CU208" s="412"/>
      <c r="CV208" s="413"/>
      <c r="CW208" s="414"/>
      <c r="CX208" s="412"/>
      <c r="CY208" s="413"/>
      <c r="CZ208" s="414"/>
      <c r="DA208" s="412"/>
      <c r="DB208" s="413"/>
      <c r="DC208" s="414"/>
      <c r="DD208" s="412"/>
      <c r="DE208" s="413"/>
      <c r="DF208" s="414"/>
      <c r="DH208" s="311"/>
      <c r="DI208" s="311"/>
      <c r="DJ208" s="311"/>
      <c r="DK208" s="311"/>
      <c r="DL208" s="321"/>
      <c r="DM208" s="321"/>
      <c r="DN208" s="321"/>
      <c r="DO208" s="321"/>
      <c r="DP208" s="321"/>
      <c r="DQ208" s="321"/>
      <c r="DR208" s="321"/>
      <c r="DS208" s="321"/>
    </row>
    <row r="209" spans="1:123" ht="7.4" customHeight="1" x14ac:dyDescent="0.5">
      <c r="A209" s="42"/>
      <c r="B209" s="42"/>
      <c r="C209" s="55"/>
      <c r="D209" s="55"/>
      <c r="E209" s="41"/>
      <c r="F209" s="42"/>
      <c r="G209" s="56"/>
      <c r="H209" s="56"/>
      <c r="I209" s="56"/>
      <c r="J209" s="56"/>
      <c r="K209" s="56"/>
      <c r="L209" s="56"/>
      <c r="M209" s="56"/>
      <c r="N209" s="56"/>
      <c r="O209" s="56"/>
      <c r="P209" s="56"/>
      <c r="Q209" s="56"/>
      <c r="R209" s="126"/>
      <c r="S209" s="42"/>
      <c r="T209" s="116" t="str">
        <f>VLOOKUP(G207,PL!$B$9:$BH$1265,33,FALSE)</f>
        <v>Class4 Coated Steel, M6.3x22</v>
      </c>
      <c r="AJ209" s="41"/>
      <c r="AK209" s="42"/>
      <c r="AL209" s="311"/>
      <c r="AM209" s="311"/>
      <c r="AN209" s="311"/>
      <c r="AO209" s="311"/>
      <c r="AP209" s="43"/>
      <c r="AQ209" s="42"/>
      <c r="AR209" s="131"/>
      <c r="AS209" s="131"/>
      <c r="AT209" s="131"/>
      <c r="AU209" s="131"/>
      <c r="AV209" s="131"/>
      <c r="AW209" s="131"/>
      <c r="AX209" s="105"/>
      <c r="AZ209" s="131"/>
      <c r="BA209" s="131"/>
      <c r="BB209" s="131"/>
      <c r="BC209" s="131"/>
      <c r="BD209" s="131"/>
      <c r="BE209" s="131"/>
      <c r="BF209" s="131"/>
      <c r="BG209" s="131"/>
      <c r="BH209" s="124"/>
      <c r="BI209" s="41"/>
      <c r="BK209" s="194"/>
      <c r="BL209" s="123"/>
      <c r="BM209" s="195"/>
      <c r="BN209" s="194"/>
      <c r="BO209" s="123"/>
      <c r="BP209" s="195"/>
      <c r="BQ209" s="194"/>
      <c r="BR209" s="123"/>
      <c r="BS209" s="195"/>
      <c r="BT209" s="194"/>
      <c r="BU209" s="123"/>
      <c r="BV209" s="195"/>
      <c r="BW209" s="194"/>
      <c r="BX209" s="123"/>
      <c r="BY209" s="195"/>
      <c r="BZ209" s="194"/>
      <c r="CA209" s="123"/>
      <c r="CB209" s="195"/>
      <c r="CC209" s="194"/>
      <c r="CD209" s="123"/>
      <c r="CE209" s="195"/>
      <c r="CF209" s="194"/>
      <c r="CG209" s="123"/>
      <c r="CH209" s="195"/>
      <c r="CI209" s="194"/>
      <c r="CJ209" s="123"/>
      <c r="CK209" s="195"/>
      <c r="CL209" s="194"/>
      <c r="CM209" s="123"/>
      <c r="CN209" s="195"/>
      <c r="CO209" s="194"/>
      <c r="CP209" s="123"/>
      <c r="CQ209" s="195"/>
      <c r="CR209" s="194"/>
      <c r="CS209" s="123"/>
      <c r="CT209" s="195"/>
      <c r="CU209" s="194"/>
      <c r="CV209" s="123"/>
      <c r="CW209" s="195"/>
      <c r="CX209" s="194"/>
      <c r="CY209" s="123"/>
      <c r="CZ209" s="195"/>
      <c r="DA209" s="194"/>
      <c r="DB209" s="123"/>
      <c r="DC209" s="195"/>
      <c r="DD209" s="194"/>
      <c r="DE209" s="123"/>
      <c r="DF209" s="195"/>
      <c r="DH209" s="311"/>
      <c r="DI209" s="311"/>
      <c r="DJ209" s="311"/>
      <c r="DK209" s="311"/>
      <c r="DL209" s="321"/>
      <c r="DM209" s="321"/>
      <c r="DN209" s="321"/>
      <c r="DO209" s="321"/>
      <c r="DP209" s="321"/>
      <c r="DQ209" s="321"/>
      <c r="DR209" s="321"/>
      <c r="DS209" s="321"/>
    </row>
    <row r="210" spans="1:123" ht="7.4" customHeight="1" x14ac:dyDescent="0.5">
      <c r="A210" s="42"/>
      <c r="B210" s="42"/>
      <c r="C210" s="55"/>
      <c r="D210" s="55"/>
      <c r="E210" s="41"/>
      <c r="F210" s="42"/>
      <c r="G210" s="56"/>
      <c r="H210" s="56"/>
      <c r="I210" s="56"/>
      <c r="J210" s="56"/>
      <c r="K210" s="56"/>
      <c r="L210" s="56"/>
      <c r="M210" s="56"/>
      <c r="N210" s="56"/>
      <c r="O210" s="56"/>
      <c r="P210" s="56"/>
      <c r="Q210" s="56"/>
      <c r="R210" s="126"/>
      <c r="S210" s="42"/>
      <c r="AJ210" s="41"/>
      <c r="AK210" s="42"/>
      <c r="AL210" s="311"/>
      <c r="AM210" s="311"/>
      <c r="AN210" s="311"/>
      <c r="AO210" s="311"/>
      <c r="AP210" s="43"/>
      <c r="AQ210" s="42"/>
      <c r="AR210" s="131"/>
      <c r="AS210" s="131"/>
      <c r="AT210" s="131"/>
      <c r="AU210" s="131"/>
      <c r="AV210" s="131"/>
      <c r="AW210" s="131"/>
      <c r="AX210" s="105"/>
      <c r="AZ210" s="131"/>
      <c r="BA210" s="131"/>
      <c r="BB210" s="131"/>
      <c r="BC210" s="131"/>
      <c r="BD210" s="131"/>
      <c r="BE210" s="131"/>
      <c r="BF210" s="131"/>
      <c r="BG210" s="131"/>
      <c r="BH210" s="124"/>
      <c r="BI210" s="41"/>
      <c r="BK210" s="194"/>
      <c r="BL210" s="123"/>
      <c r="BM210" s="195"/>
      <c r="BN210" s="194"/>
      <c r="BO210" s="123"/>
      <c r="BP210" s="195"/>
      <c r="BQ210" s="194"/>
      <c r="BR210" s="123"/>
      <c r="BS210" s="195"/>
      <c r="BT210" s="194"/>
      <c r="BU210" s="123"/>
      <c r="BV210" s="195"/>
      <c r="BW210" s="194"/>
      <c r="BX210" s="123"/>
      <c r="BY210" s="195"/>
      <c r="BZ210" s="194"/>
      <c r="CA210" s="123"/>
      <c r="CB210" s="195"/>
      <c r="CC210" s="194"/>
      <c r="CD210" s="123"/>
      <c r="CE210" s="195"/>
      <c r="CF210" s="194"/>
      <c r="CG210" s="123"/>
      <c r="CH210" s="195"/>
      <c r="CI210" s="194"/>
      <c r="CJ210" s="123"/>
      <c r="CK210" s="195"/>
      <c r="CL210" s="194"/>
      <c r="CM210" s="123"/>
      <c r="CN210" s="195"/>
      <c r="CO210" s="194"/>
      <c r="CP210" s="123"/>
      <c r="CQ210" s="195"/>
      <c r="CR210" s="194"/>
      <c r="CS210" s="123"/>
      <c r="CT210" s="195"/>
      <c r="CU210" s="194"/>
      <c r="CV210" s="123"/>
      <c r="CW210" s="195"/>
      <c r="CX210" s="194"/>
      <c r="CY210" s="123"/>
      <c r="CZ210" s="195"/>
      <c r="DA210" s="194"/>
      <c r="DB210" s="123"/>
      <c r="DC210" s="195"/>
      <c r="DD210" s="194"/>
      <c r="DE210" s="123"/>
      <c r="DF210" s="195"/>
      <c r="DH210" s="311"/>
      <c r="DI210" s="311"/>
      <c r="DJ210" s="311"/>
      <c r="DK210" s="311"/>
      <c r="DL210" s="321"/>
      <c r="DM210" s="321"/>
      <c r="DN210" s="321"/>
      <c r="DO210" s="321"/>
      <c r="DP210" s="321"/>
      <c r="DQ210" s="321"/>
      <c r="DR210" s="321"/>
      <c r="DS210" s="321"/>
    </row>
    <row r="211" spans="1:123" ht="7.4" customHeight="1" x14ac:dyDescent="0.5">
      <c r="A211" s="42"/>
      <c r="B211" s="42"/>
      <c r="C211" s="311">
        <f>C207+1</f>
        <v>24</v>
      </c>
      <c r="D211" s="311"/>
      <c r="E211" s="41"/>
      <c r="F211" s="42"/>
      <c r="G211" s="319" t="str">
        <f>IF(AL211=0,"N/A","AXE_ST_5.5_85_SC")</f>
        <v>N/A</v>
      </c>
      <c r="H211" s="319"/>
      <c r="I211" s="319"/>
      <c r="J211" s="319"/>
      <c r="K211" s="319"/>
      <c r="L211" s="319"/>
      <c r="M211" s="319"/>
      <c r="N211" s="319"/>
      <c r="O211" s="319"/>
      <c r="P211" s="319"/>
      <c r="Q211" s="319"/>
      <c r="R211" s="320"/>
      <c r="S211" s="42"/>
      <c r="T211" s="405" t="str">
        <f>VLOOKUP(G211,PL!$B$9:$BH$1265,14,FALSE)</f>
        <v>No Item</v>
      </c>
      <c r="U211" s="405"/>
      <c r="V211" s="405"/>
      <c r="W211" s="405"/>
      <c r="X211" s="405"/>
      <c r="Y211" s="405"/>
      <c r="Z211" s="405"/>
      <c r="AA211" s="405"/>
      <c r="AB211" s="405"/>
      <c r="AC211" s="405"/>
      <c r="AD211" s="405"/>
      <c r="AE211" s="405"/>
      <c r="AF211" s="405"/>
      <c r="AG211" s="405"/>
      <c r="AH211" s="405"/>
      <c r="AI211" s="405"/>
      <c r="AJ211" s="411"/>
      <c r="AK211" s="42"/>
      <c r="AL211" s="311">
        <f>ROUND(SUM(BK211:DF211)*(1+$BF$87),0)</f>
        <v>0</v>
      </c>
      <c r="AM211" s="311"/>
      <c r="AN211" s="311"/>
      <c r="AO211" s="311"/>
      <c r="AP211" s="43"/>
      <c r="AQ211" s="128"/>
      <c r="AR211" s="308" t="str">
        <f>VLOOKUP(G211,PL!$B$9:$BH$818,52,FALSE)</f>
        <v>-</v>
      </c>
      <c r="AS211" s="309"/>
      <c r="AT211" s="309"/>
      <c r="AU211" s="309"/>
      <c r="AV211" s="309"/>
      <c r="AW211" s="309"/>
      <c r="AX211" s="309"/>
      <c r="AY211" s="309"/>
      <c r="AZ211" s="309"/>
      <c r="BA211" s="309"/>
      <c r="BB211" s="309"/>
      <c r="BC211" s="309"/>
      <c r="BD211" s="309"/>
      <c r="BE211" s="309"/>
      <c r="BF211" s="309"/>
      <c r="BG211" s="309"/>
      <c r="BH211" s="124"/>
      <c r="BI211" s="41"/>
      <c r="BK211" s="412">
        <f>IF(MID($G$143,8,1)="L",IF($AO$35="Flat Surface",0,BK143),0)</f>
        <v>0</v>
      </c>
      <c r="BL211" s="413"/>
      <c r="BM211" s="414"/>
      <c r="BN211" s="412">
        <f>IF(MID($G$143,8,1)="L",IF($AO$35="Flat Surface",0,BN143),0)</f>
        <v>0</v>
      </c>
      <c r="BO211" s="413"/>
      <c r="BP211" s="414"/>
      <c r="BQ211" s="412">
        <f>IF(MID($G$143,8,1)="L",IF($AO$35="Flat Surface",0,BQ143),0)</f>
        <v>0</v>
      </c>
      <c r="BR211" s="413"/>
      <c r="BS211" s="414"/>
      <c r="BT211" s="412">
        <f>IF(MID($G$143,8,1)="L",IF($AO$35="Flat Surface",0,BT143),0)</f>
        <v>0</v>
      </c>
      <c r="BU211" s="413"/>
      <c r="BV211" s="414"/>
      <c r="BW211" s="412">
        <f>IF(MID($G$143,8,1)="L",IF($AO$35="Flat Surface",0,BW143),0)</f>
        <v>0</v>
      </c>
      <c r="BX211" s="413"/>
      <c r="BY211" s="414"/>
      <c r="BZ211" s="412">
        <f>IF(MID($G$143,8,1)="L",IF($AO$35="Flat Surface",0,BZ143),0)</f>
        <v>0</v>
      </c>
      <c r="CA211" s="413"/>
      <c r="CB211" s="414"/>
      <c r="CC211" s="412">
        <f>IF(MID($G$143,8,1)="L",IF($AO$35="Flat Surface",0,CC143),0)</f>
        <v>0</v>
      </c>
      <c r="CD211" s="413"/>
      <c r="CE211" s="414"/>
      <c r="CF211" s="412">
        <f>IF(MID($G$143,8,1)="L",IF($AO$35="Flat Surface",0,CF143),0)</f>
        <v>0</v>
      </c>
      <c r="CG211" s="413"/>
      <c r="CH211" s="414"/>
      <c r="CI211" s="412">
        <f>IF(MID($G$143,8,1)="L",IF($AO$35="Flat Surface",0,CI143),0)</f>
        <v>0</v>
      </c>
      <c r="CJ211" s="413"/>
      <c r="CK211" s="414"/>
      <c r="CL211" s="412">
        <f>IF(MID($G$143,8,1)="L",IF($AO$35="Flat Surface",0,CL143),0)</f>
        <v>0</v>
      </c>
      <c r="CM211" s="413"/>
      <c r="CN211" s="414"/>
      <c r="CO211" s="412">
        <f>IF(MID($G$143,8,1)="L",IF($AO$35="Flat Surface",0,CO143),0)</f>
        <v>0</v>
      </c>
      <c r="CP211" s="413"/>
      <c r="CQ211" s="414"/>
      <c r="CR211" s="412">
        <f>IF(MID($G$143,8,1)="L",IF($AO$35="Flat Surface",0,CR143),0)</f>
        <v>0</v>
      </c>
      <c r="CS211" s="413"/>
      <c r="CT211" s="414"/>
      <c r="CU211" s="412">
        <f>IF(MID($G$143,8,1)="L",IF($AO$35="Flat Surface",0,CU143),0)</f>
        <v>0</v>
      </c>
      <c r="CV211" s="413"/>
      <c r="CW211" s="414"/>
      <c r="CX211" s="412">
        <f>IF(MID($G$143,8,1)="L",IF($AO$35="Flat Surface",0,CX143),0)</f>
        <v>0</v>
      </c>
      <c r="CY211" s="413"/>
      <c r="CZ211" s="414"/>
      <c r="DA211" s="412">
        <f>IF(MID($G$143,8,1)="L",IF($AO$35="Flat Surface",0,DA143),0)</f>
        <v>0</v>
      </c>
      <c r="DB211" s="413"/>
      <c r="DC211" s="414"/>
      <c r="DD211" s="412">
        <f>IF(MID($G$143,8,1)="L",IF($AO$35="Flat Surface",0,DD143),0)</f>
        <v>0</v>
      </c>
      <c r="DE211" s="413"/>
      <c r="DF211" s="414"/>
      <c r="DH211" s="311"/>
      <c r="DI211" s="311"/>
      <c r="DJ211" s="311"/>
      <c r="DK211" s="311"/>
      <c r="DL211" s="321"/>
      <c r="DM211" s="321"/>
      <c r="DN211" s="321"/>
      <c r="DO211" s="321"/>
      <c r="DP211" s="321"/>
      <c r="DQ211" s="321"/>
      <c r="DR211" s="321"/>
      <c r="DS211" s="321"/>
    </row>
    <row r="212" spans="1:123" ht="7.4" customHeight="1" x14ac:dyDescent="0.5">
      <c r="A212" s="42"/>
      <c r="B212" s="42"/>
      <c r="C212" s="311"/>
      <c r="D212" s="311"/>
      <c r="E212" s="41"/>
      <c r="F212" s="42"/>
      <c r="G212" s="319"/>
      <c r="H212" s="319"/>
      <c r="I212" s="319"/>
      <c r="J212" s="319"/>
      <c r="K212" s="319"/>
      <c r="L212" s="319"/>
      <c r="M212" s="319"/>
      <c r="N212" s="319"/>
      <c r="O212" s="319"/>
      <c r="P212" s="319"/>
      <c r="Q212" s="319"/>
      <c r="R212" s="320"/>
      <c r="S212" s="42"/>
      <c r="T212" s="405"/>
      <c r="U212" s="405"/>
      <c r="V212" s="405"/>
      <c r="W212" s="405"/>
      <c r="X212" s="405"/>
      <c r="Y212" s="405"/>
      <c r="Z212" s="405"/>
      <c r="AA212" s="405"/>
      <c r="AB212" s="405"/>
      <c r="AC212" s="405"/>
      <c r="AD212" s="405"/>
      <c r="AE212" s="405"/>
      <c r="AF212" s="405"/>
      <c r="AG212" s="405"/>
      <c r="AH212" s="405"/>
      <c r="AI212" s="405"/>
      <c r="AJ212" s="411"/>
      <c r="AK212" s="42"/>
      <c r="AL212" s="311"/>
      <c r="AM212" s="311"/>
      <c r="AN212" s="311"/>
      <c r="AO212" s="311"/>
      <c r="AP212" s="43"/>
      <c r="AQ212" s="128"/>
      <c r="AR212" s="309"/>
      <c r="AS212" s="309"/>
      <c r="AT212" s="309"/>
      <c r="AU212" s="309"/>
      <c r="AV212" s="309"/>
      <c r="AW212" s="309"/>
      <c r="AX212" s="309"/>
      <c r="AY212" s="309"/>
      <c r="AZ212" s="309"/>
      <c r="BA212" s="309"/>
      <c r="BB212" s="309"/>
      <c r="BC212" s="309"/>
      <c r="BD212" s="309"/>
      <c r="BE212" s="309"/>
      <c r="BF212" s="309"/>
      <c r="BG212" s="309"/>
      <c r="BH212" s="124"/>
      <c r="BI212" s="41"/>
      <c r="BK212" s="412"/>
      <c r="BL212" s="413"/>
      <c r="BM212" s="414"/>
      <c r="BN212" s="412"/>
      <c r="BO212" s="413"/>
      <c r="BP212" s="414"/>
      <c r="BQ212" s="412"/>
      <c r="BR212" s="413"/>
      <c r="BS212" s="414"/>
      <c r="BT212" s="412"/>
      <c r="BU212" s="413"/>
      <c r="BV212" s="414"/>
      <c r="BW212" s="412"/>
      <c r="BX212" s="413"/>
      <c r="BY212" s="414"/>
      <c r="BZ212" s="412"/>
      <c r="CA212" s="413"/>
      <c r="CB212" s="414"/>
      <c r="CC212" s="412"/>
      <c r="CD212" s="413"/>
      <c r="CE212" s="414"/>
      <c r="CF212" s="412"/>
      <c r="CG212" s="413"/>
      <c r="CH212" s="414"/>
      <c r="CI212" s="412"/>
      <c r="CJ212" s="413"/>
      <c r="CK212" s="414"/>
      <c r="CL212" s="412"/>
      <c r="CM212" s="413"/>
      <c r="CN212" s="414"/>
      <c r="CO212" s="412"/>
      <c r="CP212" s="413"/>
      <c r="CQ212" s="414"/>
      <c r="CR212" s="412"/>
      <c r="CS212" s="413"/>
      <c r="CT212" s="414"/>
      <c r="CU212" s="412"/>
      <c r="CV212" s="413"/>
      <c r="CW212" s="414"/>
      <c r="CX212" s="412"/>
      <c r="CY212" s="413"/>
      <c r="CZ212" s="414"/>
      <c r="DA212" s="412"/>
      <c r="DB212" s="413"/>
      <c r="DC212" s="414"/>
      <c r="DD212" s="412"/>
      <c r="DE212" s="413"/>
      <c r="DF212" s="414"/>
      <c r="DH212" s="311"/>
      <c r="DI212" s="311"/>
      <c r="DJ212" s="311"/>
      <c r="DK212" s="311"/>
      <c r="DL212" s="321"/>
      <c r="DM212" s="321"/>
      <c r="DN212" s="321"/>
      <c r="DO212" s="321"/>
      <c r="DP212" s="321"/>
      <c r="DQ212" s="321"/>
      <c r="DR212" s="321"/>
      <c r="DS212" s="321"/>
    </row>
    <row r="213" spans="1:123" ht="7.4" customHeight="1" x14ac:dyDescent="0.5">
      <c r="A213" s="42"/>
      <c r="B213" s="42"/>
      <c r="C213" s="55"/>
      <c r="D213" s="55"/>
      <c r="E213" s="41"/>
      <c r="F213" s="42"/>
      <c r="G213" s="56"/>
      <c r="H213" s="56"/>
      <c r="I213" s="56"/>
      <c r="J213" s="56"/>
      <c r="K213" s="56"/>
      <c r="L213" s="56"/>
      <c r="M213" s="56"/>
      <c r="N213" s="56"/>
      <c r="O213" s="56"/>
      <c r="P213" s="56"/>
      <c r="Q213" s="56"/>
      <c r="R213" s="126"/>
      <c r="S213" s="42"/>
      <c r="T213" s="116" t="str">
        <f>VLOOKUP(G211,PL!$B$9:$BH$1265,33,FALSE)</f>
        <v>.</v>
      </c>
      <c r="AJ213" s="41"/>
      <c r="AK213" s="42"/>
      <c r="AL213" s="311"/>
      <c r="AM213" s="311"/>
      <c r="AN213" s="311"/>
      <c r="AO213" s="311"/>
      <c r="AP213" s="43"/>
      <c r="AQ213" s="42"/>
      <c r="AR213" s="131"/>
      <c r="AS213" s="131"/>
      <c r="AT213" s="131"/>
      <c r="AU213" s="131"/>
      <c r="AV213" s="131"/>
      <c r="AW213" s="131"/>
      <c r="AX213" s="105"/>
      <c r="AZ213" s="131"/>
      <c r="BA213" s="131"/>
      <c r="BB213" s="131"/>
      <c r="BC213" s="131"/>
      <c r="BD213" s="131"/>
      <c r="BE213" s="131"/>
      <c r="BF213" s="131"/>
      <c r="BG213" s="131"/>
      <c r="BH213" s="124"/>
      <c r="BI213" s="41"/>
      <c r="BK213" s="194"/>
      <c r="BL213" s="123"/>
      <c r="BM213" s="195"/>
      <c r="BN213" s="194"/>
      <c r="BO213" s="123"/>
      <c r="BP213" s="195"/>
      <c r="BQ213" s="194"/>
      <c r="BR213" s="123"/>
      <c r="BS213" s="195"/>
      <c r="BT213" s="194"/>
      <c r="BU213" s="123"/>
      <c r="BV213" s="195"/>
      <c r="BW213" s="194"/>
      <c r="BX213" s="123"/>
      <c r="BY213" s="195"/>
      <c r="BZ213" s="194"/>
      <c r="CA213" s="123"/>
      <c r="CB213" s="195"/>
      <c r="CC213" s="194"/>
      <c r="CD213" s="123"/>
      <c r="CE213" s="195"/>
      <c r="CF213" s="194"/>
      <c r="CG213" s="123"/>
      <c r="CH213" s="195"/>
      <c r="CI213" s="194"/>
      <c r="CJ213" s="123"/>
      <c r="CK213" s="195"/>
      <c r="CL213" s="194"/>
      <c r="CM213" s="123"/>
      <c r="CN213" s="195"/>
      <c r="CO213" s="194"/>
      <c r="CP213" s="123"/>
      <c r="CQ213" s="195"/>
      <c r="CR213" s="194"/>
      <c r="CS213" s="123"/>
      <c r="CT213" s="195"/>
      <c r="CU213" s="194"/>
      <c r="CV213" s="123"/>
      <c r="CW213" s="195"/>
      <c r="CX213" s="194"/>
      <c r="CY213" s="123"/>
      <c r="CZ213" s="195"/>
      <c r="DA213" s="194"/>
      <c r="DB213" s="123"/>
      <c r="DC213" s="195"/>
      <c r="DD213" s="194"/>
      <c r="DE213" s="123"/>
      <c r="DF213" s="195"/>
      <c r="DH213" s="311"/>
      <c r="DI213" s="311"/>
      <c r="DJ213" s="311"/>
      <c r="DK213" s="311"/>
      <c r="DL213" s="321"/>
      <c r="DM213" s="321"/>
      <c r="DN213" s="321"/>
      <c r="DO213" s="321"/>
      <c r="DP213" s="321"/>
      <c r="DQ213" s="321"/>
      <c r="DR213" s="321"/>
      <c r="DS213" s="321"/>
    </row>
    <row r="214" spans="1:123" ht="7.4" customHeight="1" x14ac:dyDescent="0.5">
      <c r="A214" s="42"/>
      <c r="B214" s="42"/>
      <c r="C214" s="55"/>
      <c r="D214" s="55"/>
      <c r="E214" s="41"/>
      <c r="F214" s="42"/>
      <c r="G214" s="120"/>
      <c r="H214" s="56"/>
      <c r="I214" s="56"/>
      <c r="J214" s="56"/>
      <c r="K214" s="56"/>
      <c r="L214" s="56"/>
      <c r="M214" s="56"/>
      <c r="N214" s="56"/>
      <c r="O214" s="56"/>
      <c r="P214" s="56"/>
      <c r="Q214" s="56"/>
      <c r="R214" s="126"/>
      <c r="S214" s="42"/>
      <c r="AJ214" s="41"/>
      <c r="AK214" s="42"/>
      <c r="AL214" s="311"/>
      <c r="AM214" s="311"/>
      <c r="AN214" s="311"/>
      <c r="AO214" s="311"/>
      <c r="AP214" s="43"/>
      <c r="AQ214" s="42"/>
      <c r="AR214" s="131"/>
      <c r="AS214" s="131"/>
      <c r="AT214" s="131"/>
      <c r="AU214" s="131"/>
      <c r="AV214" s="131"/>
      <c r="AW214" s="131"/>
      <c r="AX214" s="105"/>
      <c r="AZ214" s="131"/>
      <c r="BA214" s="131"/>
      <c r="BB214" s="131"/>
      <c r="BC214" s="131"/>
      <c r="BD214" s="131"/>
      <c r="BE214" s="131"/>
      <c r="BF214" s="131"/>
      <c r="BG214" s="131"/>
      <c r="BH214" s="124"/>
      <c r="BI214" s="41"/>
      <c r="BK214" s="194"/>
      <c r="BL214" s="123"/>
      <c r="BM214" s="195"/>
      <c r="BN214" s="194"/>
      <c r="BO214" s="123"/>
      <c r="BP214" s="195"/>
      <c r="BQ214" s="194"/>
      <c r="BR214" s="123"/>
      <c r="BS214" s="195"/>
      <c r="BT214" s="194"/>
      <c r="BU214" s="123"/>
      <c r="BV214" s="195"/>
      <c r="BW214" s="194"/>
      <c r="BX214" s="123"/>
      <c r="BY214" s="195"/>
      <c r="BZ214" s="194"/>
      <c r="CA214" s="123"/>
      <c r="CB214" s="195"/>
      <c r="CC214" s="194"/>
      <c r="CD214" s="123"/>
      <c r="CE214" s="195"/>
      <c r="CF214" s="194"/>
      <c r="CG214" s="123"/>
      <c r="CH214" s="195"/>
      <c r="CI214" s="194"/>
      <c r="CJ214" s="123"/>
      <c r="CK214" s="195"/>
      <c r="CL214" s="194"/>
      <c r="CM214" s="123"/>
      <c r="CN214" s="195"/>
      <c r="CO214" s="194"/>
      <c r="CP214" s="123"/>
      <c r="CQ214" s="195"/>
      <c r="CR214" s="194"/>
      <c r="CS214" s="123"/>
      <c r="CT214" s="195"/>
      <c r="CU214" s="194"/>
      <c r="CV214" s="123"/>
      <c r="CW214" s="195"/>
      <c r="CX214" s="194"/>
      <c r="CY214" s="123"/>
      <c r="CZ214" s="195"/>
      <c r="DA214" s="194"/>
      <c r="DB214" s="123"/>
      <c r="DC214" s="195"/>
      <c r="DD214" s="194"/>
      <c r="DE214" s="123"/>
      <c r="DF214" s="195"/>
      <c r="DH214" s="311"/>
      <c r="DI214" s="311"/>
      <c r="DJ214" s="311"/>
      <c r="DK214" s="311"/>
      <c r="DL214" s="321"/>
      <c r="DM214" s="321"/>
      <c r="DN214" s="321"/>
      <c r="DO214" s="321"/>
      <c r="DP214" s="321"/>
      <c r="DQ214" s="321"/>
      <c r="DR214" s="321"/>
      <c r="DS214" s="321"/>
    </row>
    <row r="215" spans="1:123" ht="7.4" customHeight="1" x14ac:dyDescent="0.5">
      <c r="A215" s="42"/>
      <c r="B215" s="42"/>
      <c r="C215" s="311">
        <f>C211+1</f>
        <v>25</v>
      </c>
      <c r="D215" s="311"/>
      <c r="E215" s="41"/>
      <c r="F215" s="42"/>
      <c r="G215" s="319" t="str">
        <f>IF(AL215=0,"N/A","AXE_RW_G_TT")</f>
        <v>N/A</v>
      </c>
      <c r="H215" s="319"/>
      <c r="I215" s="319"/>
      <c r="J215" s="319"/>
      <c r="K215" s="319"/>
      <c r="L215" s="319"/>
      <c r="M215" s="319"/>
      <c r="N215" s="319"/>
      <c r="O215" s="319"/>
      <c r="P215" s="319"/>
      <c r="Q215" s="319"/>
      <c r="R215" s="320"/>
      <c r="S215" s="42"/>
      <c r="T215" s="316" t="str">
        <f>VLOOKUP(G215,PL!$B$9:$BH$1265,14,FALSE)</f>
        <v>No Item</v>
      </c>
      <c r="U215" s="316"/>
      <c r="V215" s="316"/>
      <c r="W215" s="316"/>
      <c r="X215" s="316"/>
      <c r="Y215" s="316"/>
      <c r="Z215" s="316"/>
      <c r="AA215" s="316"/>
      <c r="AB215" s="316"/>
      <c r="AC215" s="316"/>
      <c r="AD215" s="316"/>
      <c r="AE215" s="316"/>
      <c r="AF215" s="316"/>
      <c r="AG215" s="316"/>
      <c r="AH215" s="316"/>
      <c r="AI215" s="316"/>
      <c r="AJ215" s="317"/>
      <c r="AK215" s="42"/>
      <c r="AL215" s="311">
        <f>SUM(BK215:DF215)</f>
        <v>0</v>
      </c>
      <c r="AM215" s="311"/>
      <c r="AN215" s="311"/>
      <c r="AO215" s="311"/>
      <c r="AP215" s="43"/>
      <c r="AQ215" s="128"/>
      <c r="AR215" s="308" t="str">
        <f>VLOOKUP(G215,PL!$B$9:$BH$818,52,FALSE)</f>
        <v>-</v>
      </c>
      <c r="AS215" s="309"/>
      <c r="AT215" s="309"/>
      <c r="AU215" s="309"/>
      <c r="AV215" s="309"/>
      <c r="AW215" s="309"/>
      <c r="AX215" s="309"/>
      <c r="AY215" s="309"/>
      <c r="AZ215" s="309"/>
      <c r="BA215" s="309"/>
      <c r="BB215" s="309"/>
      <c r="BC215" s="309"/>
      <c r="BD215" s="309"/>
      <c r="BE215" s="309"/>
      <c r="BF215" s="309"/>
      <c r="BG215" s="309"/>
      <c r="BH215" s="124"/>
      <c r="BI215" s="124"/>
      <c r="BK215" s="412">
        <f>IF($N$93="Gripple",1,0)</f>
        <v>0</v>
      </c>
      <c r="BL215" s="413"/>
      <c r="BM215" s="414"/>
      <c r="BN215" s="412"/>
      <c r="BO215" s="413"/>
      <c r="BP215" s="414"/>
      <c r="BQ215" s="412"/>
      <c r="BR215" s="413"/>
      <c r="BS215" s="414"/>
      <c r="BT215" s="412"/>
      <c r="BU215" s="413"/>
      <c r="BV215" s="414"/>
      <c r="BW215" s="412"/>
      <c r="BX215" s="413"/>
      <c r="BY215" s="414"/>
      <c r="BZ215" s="412"/>
      <c r="CA215" s="413"/>
      <c r="CB215" s="414"/>
      <c r="CC215" s="412"/>
      <c r="CD215" s="413"/>
      <c r="CE215" s="414"/>
      <c r="CF215" s="412"/>
      <c r="CG215" s="413"/>
      <c r="CH215" s="414"/>
      <c r="CI215" s="412"/>
      <c r="CJ215" s="413"/>
      <c r="CK215" s="414"/>
      <c r="CL215" s="412"/>
      <c r="CM215" s="413"/>
      <c r="CN215" s="414"/>
      <c r="CO215" s="412"/>
      <c r="CP215" s="413"/>
      <c r="CQ215" s="414"/>
      <c r="CR215" s="412"/>
      <c r="CS215" s="413"/>
      <c r="CT215" s="414"/>
      <c r="CU215" s="412"/>
      <c r="CV215" s="413"/>
      <c r="CW215" s="414"/>
      <c r="CX215" s="412"/>
      <c r="CY215" s="413"/>
      <c r="CZ215" s="414"/>
      <c r="DA215" s="412"/>
      <c r="DB215" s="413"/>
      <c r="DC215" s="414"/>
      <c r="DD215" s="412"/>
      <c r="DE215" s="413"/>
      <c r="DF215" s="414"/>
      <c r="DH215" s="311"/>
      <c r="DI215" s="311"/>
      <c r="DJ215" s="311"/>
      <c r="DK215" s="311"/>
      <c r="DL215" s="321"/>
      <c r="DM215" s="321"/>
      <c r="DN215" s="321"/>
      <c r="DO215" s="321"/>
      <c r="DP215" s="321"/>
      <c r="DQ215" s="321"/>
      <c r="DR215" s="321"/>
      <c r="DS215" s="321"/>
    </row>
    <row r="216" spans="1:123" ht="7.4" customHeight="1" x14ac:dyDescent="0.5">
      <c r="A216" s="42"/>
      <c r="B216" s="42"/>
      <c r="C216" s="311"/>
      <c r="D216" s="311"/>
      <c r="E216" s="41"/>
      <c r="F216" s="42"/>
      <c r="G216" s="319"/>
      <c r="H216" s="319"/>
      <c r="I216" s="319"/>
      <c r="J216" s="319"/>
      <c r="K216" s="319"/>
      <c r="L216" s="319"/>
      <c r="M216" s="319"/>
      <c r="N216" s="319"/>
      <c r="O216" s="319"/>
      <c r="P216" s="319"/>
      <c r="Q216" s="319"/>
      <c r="R216" s="320"/>
      <c r="S216" s="42"/>
      <c r="T216" s="316"/>
      <c r="U216" s="316"/>
      <c r="V216" s="316"/>
      <c r="W216" s="316"/>
      <c r="X216" s="316"/>
      <c r="Y216" s="316"/>
      <c r="Z216" s="316"/>
      <c r="AA216" s="316"/>
      <c r="AB216" s="316"/>
      <c r="AC216" s="316"/>
      <c r="AD216" s="316"/>
      <c r="AE216" s="316"/>
      <c r="AF216" s="316"/>
      <c r="AG216" s="316"/>
      <c r="AH216" s="316"/>
      <c r="AI216" s="316"/>
      <c r="AJ216" s="317"/>
      <c r="AK216" s="42"/>
      <c r="AL216" s="311"/>
      <c r="AM216" s="311"/>
      <c r="AN216" s="311"/>
      <c r="AO216" s="311"/>
      <c r="AP216" s="43"/>
      <c r="AQ216" s="128"/>
      <c r="AR216" s="309"/>
      <c r="AS216" s="309"/>
      <c r="AT216" s="309"/>
      <c r="AU216" s="309"/>
      <c r="AV216" s="309"/>
      <c r="AW216" s="309"/>
      <c r="AX216" s="309"/>
      <c r="AY216" s="309"/>
      <c r="AZ216" s="309"/>
      <c r="BA216" s="309"/>
      <c r="BB216" s="309"/>
      <c r="BC216" s="309"/>
      <c r="BD216" s="309"/>
      <c r="BE216" s="309"/>
      <c r="BF216" s="309"/>
      <c r="BG216" s="309"/>
      <c r="BH216" s="124"/>
      <c r="BI216" s="124"/>
      <c r="BK216" s="412"/>
      <c r="BL216" s="413"/>
      <c r="BM216" s="414"/>
      <c r="BN216" s="412"/>
      <c r="BO216" s="413"/>
      <c r="BP216" s="414"/>
      <c r="BQ216" s="412"/>
      <c r="BR216" s="413"/>
      <c r="BS216" s="414"/>
      <c r="BT216" s="412"/>
      <c r="BU216" s="413"/>
      <c r="BV216" s="414"/>
      <c r="BW216" s="412"/>
      <c r="BX216" s="413"/>
      <c r="BY216" s="414"/>
      <c r="BZ216" s="412"/>
      <c r="CA216" s="413"/>
      <c r="CB216" s="414"/>
      <c r="CC216" s="412"/>
      <c r="CD216" s="413"/>
      <c r="CE216" s="414"/>
      <c r="CF216" s="412"/>
      <c r="CG216" s="413"/>
      <c r="CH216" s="414"/>
      <c r="CI216" s="412"/>
      <c r="CJ216" s="413"/>
      <c r="CK216" s="414"/>
      <c r="CL216" s="412"/>
      <c r="CM216" s="413"/>
      <c r="CN216" s="414"/>
      <c r="CO216" s="412"/>
      <c r="CP216" s="413"/>
      <c r="CQ216" s="414"/>
      <c r="CR216" s="412"/>
      <c r="CS216" s="413"/>
      <c r="CT216" s="414"/>
      <c r="CU216" s="412"/>
      <c r="CV216" s="413"/>
      <c r="CW216" s="414"/>
      <c r="CX216" s="412"/>
      <c r="CY216" s="413"/>
      <c r="CZ216" s="414"/>
      <c r="DA216" s="412"/>
      <c r="DB216" s="413"/>
      <c r="DC216" s="414"/>
      <c r="DD216" s="412"/>
      <c r="DE216" s="413"/>
      <c r="DF216" s="414"/>
      <c r="DH216" s="311"/>
      <c r="DI216" s="311"/>
      <c r="DJ216" s="311"/>
      <c r="DK216" s="311"/>
      <c r="DL216" s="321"/>
      <c r="DM216" s="321"/>
      <c r="DN216" s="321"/>
      <c r="DO216" s="321"/>
      <c r="DP216" s="321"/>
      <c r="DQ216" s="321"/>
      <c r="DR216" s="321"/>
      <c r="DS216" s="321"/>
    </row>
    <row r="217" spans="1:123" ht="7.4" customHeight="1" x14ac:dyDescent="0.5">
      <c r="A217" s="42"/>
      <c r="B217" s="42"/>
      <c r="C217" s="55"/>
      <c r="D217" s="55"/>
      <c r="E217" s="41"/>
      <c r="F217" s="42"/>
      <c r="G217" s="120"/>
      <c r="H217" s="56"/>
      <c r="I217" s="56"/>
      <c r="J217" s="56"/>
      <c r="K217" s="56"/>
      <c r="L217" s="56"/>
      <c r="M217" s="56"/>
      <c r="N217" s="56"/>
      <c r="O217" s="56"/>
      <c r="P217" s="56"/>
      <c r="Q217" s="56"/>
      <c r="R217" s="126"/>
      <c r="S217" s="42"/>
      <c r="T217" s="116" t="str">
        <f>VLOOKUP(G215,PL!$B$9:$BH$1265,33,FALSE)</f>
        <v>.</v>
      </c>
      <c r="AJ217" s="41"/>
      <c r="AK217" s="42"/>
      <c r="AL217" s="311"/>
      <c r="AM217" s="311"/>
      <c r="AN217" s="311"/>
      <c r="AO217" s="311"/>
      <c r="AP217" s="43"/>
      <c r="AQ217" s="42"/>
      <c r="AR217" s="131"/>
      <c r="AS217" s="131"/>
      <c r="AT217" s="131"/>
      <c r="AU217" s="131"/>
      <c r="AV217" s="131"/>
      <c r="AW217" s="131"/>
      <c r="AX217" s="105"/>
      <c r="AZ217" s="131"/>
      <c r="BA217" s="131"/>
      <c r="BB217" s="131"/>
      <c r="BC217" s="131"/>
      <c r="BD217" s="131"/>
      <c r="BE217" s="131"/>
      <c r="BF217" s="131"/>
      <c r="BG217" s="131"/>
      <c r="BH217" s="124"/>
      <c r="BI217" s="124"/>
      <c r="BK217" s="194"/>
      <c r="BL217" s="123"/>
      <c r="BM217" s="195"/>
      <c r="BN217" s="194"/>
      <c r="BO217" s="123"/>
      <c r="BP217" s="195"/>
      <c r="BQ217" s="194"/>
      <c r="BR217" s="123"/>
      <c r="BS217" s="195"/>
      <c r="BT217" s="194"/>
      <c r="BU217" s="123"/>
      <c r="BV217" s="195"/>
      <c r="BW217" s="194"/>
      <c r="BX217" s="123"/>
      <c r="BY217" s="195"/>
      <c r="BZ217" s="194"/>
      <c r="CA217" s="123"/>
      <c r="CB217" s="195"/>
      <c r="CC217" s="194"/>
      <c r="CD217" s="123"/>
      <c r="CE217" s="195"/>
      <c r="CF217" s="194"/>
      <c r="CG217" s="123"/>
      <c r="CH217" s="195"/>
      <c r="CI217" s="194"/>
      <c r="CJ217" s="123"/>
      <c r="CK217" s="195"/>
      <c r="CL217" s="194"/>
      <c r="CM217" s="123"/>
      <c r="CN217" s="195"/>
      <c r="CO217" s="194"/>
      <c r="CP217" s="123"/>
      <c r="CQ217" s="195"/>
      <c r="CR217" s="194"/>
      <c r="CS217" s="123"/>
      <c r="CT217" s="195"/>
      <c r="CU217" s="194"/>
      <c r="CV217" s="123"/>
      <c r="CW217" s="195"/>
      <c r="CX217" s="194"/>
      <c r="CY217" s="123"/>
      <c r="CZ217" s="195"/>
      <c r="DA217" s="194"/>
      <c r="DB217" s="123"/>
      <c r="DC217" s="195"/>
      <c r="DD217" s="194"/>
      <c r="DE217" s="123"/>
      <c r="DF217" s="195"/>
      <c r="DH217" s="311"/>
      <c r="DI217" s="311"/>
      <c r="DJ217" s="311"/>
      <c r="DK217" s="311"/>
      <c r="DL217" s="321"/>
      <c r="DM217" s="321"/>
      <c r="DN217" s="321"/>
      <c r="DO217" s="321"/>
      <c r="DP217" s="321"/>
      <c r="DQ217" s="321"/>
      <c r="DR217" s="321"/>
      <c r="DS217" s="321"/>
    </row>
    <row r="218" spans="1:123" ht="7.4" customHeight="1" x14ac:dyDescent="0.5">
      <c r="A218" s="42"/>
      <c r="B218" s="42"/>
      <c r="C218" s="55"/>
      <c r="D218" s="55"/>
      <c r="E218" s="41"/>
      <c r="F218" s="42"/>
      <c r="G218" s="56"/>
      <c r="H218" s="56"/>
      <c r="I218" s="56"/>
      <c r="J218" s="56"/>
      <c r="K218" s="56"/>
      <c r="L218" s="56"/>
      <c r="M218" s="56"/>
      <c r="N218" s="56"/>
      <c r="O218" s="56"/>
      <c r="P218" s="56"/>
      <c r="Q218" s="56"/>
      <c r="R218" s="126"/>
      <c r="S218" s="42"/>
      <c r="AJ218" s="41"/>
      <c r="AK218" s="42"/>
      <c r="AL218" s="311"/>
      <c r="AM218" s="311"/>
      <c r="AN218" s="311"/>
      <c r="AO218" s="311"/>
      <c r="AP218" s="43"/>
      <c r="AQ218" s="42"/>
      <c r="AR218" s="131"/>
      <c r="AS218" s="131"/>
      <c r="AT218" s="131"/>
      <c r="AU218" s="131"/>
      <c r="AV218" s="131"/>
      <c r="AW218" s="131"/>
      <c r="AX218" s="105"/>
      <c r="AZ218" s="131"/>
      <c r="BA218" s="131"/>
      <c r="BB218" s="131"/>
      <c r="BC218" s="131"/>
      <c r="BD218" s="131"/>
      <c r="BE218" s="131"/>
      <c r="BF218" s="131"/>
      <c r="BG218" s="131"/>
      <c r="BH218" s="124"/>
      <c r="BI218" s="41"/>
      <c r="BK218" s="194"/>
      <c r="BL218" s="123"/>
      <c r="BM218" s="195"/>
      <c r="BN218" s="194"/>
      <c r="BO218" s="123"/>
      <c r="BP218" s="195"/>
      <c r="BQ218" s="194"/>
      <c r="BR218" s="123"/>
      <c r="BS218" s="195"/>
      <c r="BT218" s="194"/>
      <c r="BU218" s="123"/>
      <c r="BV218" s="195"/>
      <c r="BW218" s="194"/>
      <c r="BX218" s="123"/>
      <c r="BY218" s="195"/>
      <c r="BZ218" s="194"/>
      <c r="CA218" s="123"/>
      <c r="CB218" s="195"/>
      <c r="CC218" s="194"/>
      <c r="CD218" s="123"/>
      <c r="CE218" s="195"/>
      <c r="CF218" s="194"/>
      <c r="CG218" s="123"/>
      <c r="CH218" s="195"/>
      <c r="CI218" s="194"/>
      <c r="CJ218" s="123"/>
      <c r="CK218" s="195"/>
      <c r="CL218" s="194"/>
      <c r="CM218" s="123"/>
      <c r="CN218" s="195"/>
      <c r="CO218" s="194"/>
      <c r="CP218" s="123"/>
      <c r="CQ218" s="195"/>
      <c r="CR218" s="194"/>
      <c r="CS218" s="123"/>
      <c r="CT218" s="195"/>
      <c r="CU218" s="194"/>
      <c r="CV218" s="123"/>
      <c r="CW218" s="195"/>
      <c r="CX218" s="194"/>
      <c r="CY218" s="123"/>
      <c r="CZ218" s="195"/>
      <c r="DA218" s="194"/>
      <c r="DB218" s="123"/>
      <c r="DC218" s="195"/>
      <c r="DD218" s="194"/>
      <c r="DE218" s="123"/>
      <c r="DF218" s="195"/>
      <c r="DH218" s="311"/>
      <c r="DI218" s="311"/>
      <c r="DJ218" s="311"/>
      <c r="DK218" s="311"/>
      <c r="DL218" s="321"/>
      <c r="DM218" s="321"/>
      <c r="DN218" s="321"/>
      <c r="DO218" s="321"/>
      <c r="DP218" s="321"/>
      <c r="DQ218" s="321"/>
      <c r="DR218" s="321"/>
      <c r="DS218" s="321"/>
    </row>
    <row r="219" spans="1:123" ht="7.4" customHeight="1" x14ac:dyDescent="0.5">
      <c r="A219" s="42"/>
      <c r="B219" s="42"/>
      <c r="C219" s="311">
        <f>C215+1</f>
        <v>26</v>
      </c>
      <c r="D219" s="311"/>
      <c r="E219" s="41"/>
      <c r="F219" s="42"/>
      <c r="G219" s="322" t="str">
        <f>IF(AL219=0,"N/A","Anti_Seize_S")</f>
        <v>N/A</v>
      </c>
      <c r="H219" s="322"/>
      <c r="I219" s="322"/>
      <c r="J219" s="322"/>
      <c r="K219" s="322"/>
      <c r="L219" s="322"/>
      <c r="M219" s="322"/>
      <c r="N219" s="322"/>
      <c r="O219" s="322"/>
      <c r="P219" s="322"/>
      <c r="Q219" s="322"/>
      <c r="R219" s="323"/>
      <c r="S219" s="42"/>
      <c r="T219" s="316" t="str">
        <f>VLOOKUP(G219,PL!$B$9:$BH$1265,14,FALSE)</f>
        <v>No Item</v>
      </c>
      <c r="U219" s="316"/>
      <c r="V219" s="316"/>
      <c r="W219" s="316"/>
      <c r="X219" s="316"/>
      <c r="Y219" s="316"/>
      <c r="Z219" s="316"/>
      <c r="AA219" s="316"/>
      <c r="AB219" s="316"/>
      <c r="AC219" s="316"/>
      <c r="AD219" s="316"/>
      <c r="AE219" s="316"/>
      <c r="AF219" s="316"/>
      <c r="AG219" s="316"/>
      <c r="AH219" s="316"/>
      <c r="AI219" s="316"/>
      <c r="AJ219" s="317"/>
      <c r="AK219" s="42"/>
      <c r="AL219" s="311">
        <f>SUM(BK219:DF219)</f>
        <v>0</v>
      </c>
      <c r="AM219" s="311"/>
      <c r="AN219" s="311"/>
      <c r="AO219" s="311"/>
      <c r="AP219" s="43"/>
      <c r="AQ219" s="111"/>
      <c r="AR219" s="308" t="str">
        <f>VLOOKUP(G219,PL!$B$9:$BH$818,52,FALSE)</f>
        <v>-</v>
      </c>
      <c r="AS219" s="309"/>
      <c r="AT219" s="309"/>
      <c r="AU219" s="309"/>
      <c r="AV219" s="309"/>
      <c r="AW219" s="309"/>
      <c r="AX219" s="309"/>
      <c r="AY219" s="309"/>
      <c r="AZ219" s="309"/>
      <c r="BA219" s="309"/>
      <c r="BB219" s="309"/>
      <c r="BC219" s="309"/>
      <c r="BD219" s="309"/>
      <c r="BE219" s="309"/>
      <c r="BF219" s="309"/>
      <c r="BG219" s="309"/>
      <c r="BH219" s="124"/>
      <c r="BI219" s="41"/>
      <c r="BK219" s="412">
        <f>IF($AI$85="Not Included",ROUNDUP((SUM(BK135:DF135)+SUM(BK139:DF139))/1000,0),0)</f>
        <v>0</v>
      </c>
      <c r="BL219" s="413"/>
      <c r="BM219" s="414"/>
      <c r="BN219" s="194"/>
      <c r="BO219" s="123"/>
      <c r="BP219" s="195"/>
      <c r="BQ219" s="194"/>
      <c r="BR219" s="123"/>
      <c r="BS219" s="195"/>
      <c r="BT219" s="194"/>
      <c r="BU219" s="123"/>
      <c r="BV219" s="195"/>
      <c r="BW219" s="194"/>
      <c r="BX219" s="123"/>
      <c r="BY219" s="195"/>
      <c r="BZ219" s="194"/>
      <c r="CA219" s="123"/>
      <c r="CB219" s="195"/>
      <c r="CC219" s="194"/>
      <c r="CD219" s="123"/>
      <c r="CE219" s="195"/>
      <c r="CF219" s="194"/>
      <c r="CG219" s="123"/>
      <c r="CH219" s="195"/>
      <c r="CI219" s="194"/>
      <c r="CJ219" s="123"/>
      <c r="CK219" s="195"/>
      <c r="CL219" s="194"/>
      <c r="CM219" s="123"/>
      <c r="CN219" s="195"/>
      <c r="CO219" s="194"/>
      <c r="CP219" s="123"/>
      <c r="CQ219" s="195"/>
      <c r="CR219" s="194"/>
      <c r="CS219" s="123"/>
      <c r="CT219" s="195"/>
      <c r="CU219" s="194"/>
      <c r="CV219" s="123"/>
      <c r="CW219" s="195"/>
      <c r="CX219" s="194"/>
      <c r="CY219" s="123"/>
      <c r="CZ219" s="195"/>
      <c r="DA219" s="194"/>
      <c r="DB219" s="123"/>
      <c r="DC219" s="195"/>
      <c r="DD219" s="194"/>
      <c r="DE219" s="123"/>
      <c r="DF219" s="195"/>
      <c r="DL219" s="105"/>
      <c r="DM219" s="105"/>
      <c r="DN219" s="105"/>
      <c r="DO219" s="105"/>
      <c r="DP219" s="105"/>
      <c r="DQ219" s="105"/>
      <c r="DR219" s="105"/>
      <c r="DS219" s="105"/>
    </row>
    <row r="220" spans="1:123" ht="7.4" customHeight="1" x14ac:dyDescent="0.5">
      <c r="A220" s="42"/>
      <c r="B220" s="42"/>
      <c r="C220" s="311"/>
      <c r="D220" s="311"/>
      <c r="E220" s="41"/>
      <c r="F220" s="42"/>
      <c r="G220" s="322"/>
      <c r="H220" s="322"/>
      <c r="I220" s="322"/>
      <c r="J220" s="322"/>
      <c r="K220" s="322"/>
      <c r="L220" s="322"/>
      <c r="M220" s="322"/>
      <c r="N220" s="322"/>
      <c r="O220" s="322"/>
      <c r="P220" s="322"/>
      <c r="Q220" s="322"/>
      <c r="R220" s="323"/>
      <c r="S220" s="42"/>
      <c r="T220" s="316"/>
      <c r="U220" s="316"/>
      <c r="V220" s="316"/>
      <c r="W220" s="316"/>
      <c r="X220" s="316"/>
      <c r="Y220" s="316"/>
      <c r="Z220" s="316"/>
      <c r="AA220" s="316"/>
      <c r="AB220" s="316"/>
      <c r="AC220" s="316"/>
      <c r="AD220" s="316"/>
      <c r="AE220" s="316"/>
      <c r="AF220" s="316"/>
      <c r="AG220" s="316"/>
      <c r="AH220" s="316"/>
      <c r="AI220" s="316"/>
      <c r="AJ220" s="317"/>
      <c r="AK220" s="42"/>
      <c r="AL220" s="311"/>
      <c r="AM220" s="311"/>
      <c r="AN220" s="311"/>
      <c r="AO220" s="311"/>
      <c r="AP220" s="43"/>
      <c r="AQ220" s="111"/>
      <c r="AR220" s="309"/>
      <c r="AS220" s="309"/>
      <c r="AT220" s="309"/>
      <c r="AU220" s="309"/>
      <c r="AV220" s="309"/>
      <c r="AW220" s="309"/>
      <c r="AX220" s="309"/>
      <c r="AY220" s="309"/>
      <c r="AZ220" s="309"/>
      <c r="BA220" s="309"/>
      <c r="BB220" s="309"/>
      <c r="BC220" s="309"/>
      <c r="BD220" s="309"/>
      <c r="BE220" s="309"/>
      <c r="BF220" s="309"/>
      <c r="BG220" s="309"/>
      <c r="BH220" s="124"/>
      <c r="BI220" s="41"/>
      <c r="BK220" s="412"/>
      <c r="BL220" s="413"/>
      <c r="BM220" s="414"/>
      <c r="BN220" s="194"/>
      <c r="BO220" s="123"/>
      <c r="BP220" s="195"/>
      <c r="BQ220" s="194"/>
      <c r="BR220" s="123"/>
      <c r="BS220" s="195"/>
      <c r="BT220" s="194"/>
      <c r="BU220" s="123"/>
      <c r="BV220" s="195"/>
      <c r="BW220" s="194"/>
      <c r="BX220" s="123"/>
      <c r="BY220" s="195"/>
      <c r="BZ220" s="194"/>
      <c r="CA220" s="123"/>
      <c r="CB220" s="195"/>
      <c r="CC220" s="194"/>
      <c r="CD220" s="123"/>
      <c r="CE220" s="195"/>
      <c r="CF220" s="194"/>
      <c r="CG220" s="123"/>
      <c r="CH220" s="195"/>
      <c r="CI220" s="194"/>
      <c r="CJ220" s="123"/>
      <c r="CK220" s="195"/>
      <c r="CL220" s="194"/>
      <c r="CM220" s="123"/>
      <c r="CN220" s="195"/>
      <c r="CO220" s="194"/>
      <c r="CP220" s="123"/>
      <c r="CQ220" s="195"/>
      <c r="CR220" s="194"/>
      <c r="CS220" s="123"/>
      <c r="CT220" s="195"/>
      <c r="CU220" s="194"/>
      <c r="CV220" s="123"/>
      <c r="CW220" s="195"/>
      <c r="CX220" s="194"/>
      <c r="CY220" s="123"/>
      <c r="CZ220" s="195"/>
      <c r="DA220" s="194"/>
      <c r="DB220" s="123"/>
      <c r="DC220" s="195"/>
      <c r="DD220" s="194"/>
      <c r="DE220" s="123"/>
      <c r="DF220" s="195"/>
      <c r="DL220" s="105"/>
      <c r="DM220" s="105"/>
      <c r="DN220" s="105"/>
      <c r="DO220" s="105"/>
      <c r="DP220" s="105"/>
      <c r="DQ220" s="105"/>
      <c r="DR220" s="105"/>
      <c r="DS220" s="105"/>
    </row>
    <row r="221" spans="1:123" ht="7.4" customHeight="1" x14ac:dyDescent="0.5">
      <c r="A221" s="42"/>
      <c r="B221" s="42"/>
      <c r="C221" s="75"/>
      <c r="D221" s="75"/>
      <c r="E221" s="41"/>
      <c r="F221" s="42"/>
      <c r="G221" s="56"/>
      <c r="H221" s="56"/>
      <c r="I221" s="56"/>
      <c r="J221" s="56"/>
      <c r="K221" s="56"/>
      <c r="L221" s="56"/>
      <c r="M221" s="56"/>
      <c r="N221" s="56"/>
      <c r="O221" s="56"/>
      <c r="P221" s="56"/>
      <c r="Q221" s="56"/>
      <c r="R221" s="126"/>
      <c r="S221" s="42"/>
      <c r="T221" s="116" t="str">
        <f>VLOOKUP(G219,PL!$B$9:$BH$1265,33,FALSE)</f>
        <v>.</v>
      </c>
      <c r="U221" s="49"/>
      <c r="V221" s="49"/>
      <c r="W221" s="49"/>
      <c r="X221" s="49"/>
      <c r="Y221" s="49"/>
      <c r="Z221" s="49"/>
      <c r="AA221" s="49"/>
      <c r="AB221" s="49"/>
      <c r="AC221" s="49"/>
      <c r="AD221" s="49"/>
      <c r="AE221" s="49"/>
      <c r="AF221" s="49"/>
      <c r="AG221" s="49"/>
      <c r="AH221" s="49"/>
      <c r="AI221" s="49"/>
      <c r="AJ221" s="110"/>
      <c r="AK221" s="42"/>
      <c r="AL221" s="127"/>
      <c r="AM221" s="127"/>
      <c r="AN221" s="127"/>
      <c r="AO221" s="127"/>
      <c r="AP221" s="43"/>
      <c r="AQ221" s="111"/>
      <c r="AR221" s="112"/>
      <c r="AS221" s="112"/>
      <c r="AT221" s="112"/>
      <c r="AU221" s="112"/>
      <c r="AV221" s="112"/>
      <c r="AW221" s="112"/>
      <c r="AX221" s="112"/>
      <c r="AY221" s="112"/>
      <c r="AZ221" s="112"/>
      <c r="BA221" s="112"/>
      <c r="BB221" s="112"/>
      <c r="BC221" s="112"/>
      <c r="BD221" s="112"/>
      <c r="BE221" s="112"/>
      <c r="BF221" s="112"/>
      <c r="BG221" s="112"/>
      <c r="BH221" s="124"/>
      <c r="BI221" s="41"/>
      <c r="BK221" s="194"/>
      <c r="BL221" s="123"/>
      <c r="BM221" s="195"/>
      <c r="BN221" s="194"/>
      <c r="BO221" s="123"/>
      <c r="BP221" s="195"/>
      <c r="BQ221" s="194"/>
      <c r="BR221" s="123"/>
      <c r="BS221" s="195"/>
      <c r="BT221" s="194"/>
      <c r="BU221" s="123"/>
      <c r="BV221" s="195"/>
      <c r="BW221" s="194"/>
      <c r="BX221" s="123"/>
      <c r="BY221" s="195"/>
      <c r="BZ221" s="194"/>
      <c r="CA221" s="123"/>
      <c r="CB221" s="195"/>
      <c r="CC221" s="194"/>
      <c r="CD221" s="123"/>
      <c r="CE221" s="195"/>
      <c r="CF221" s="194"/>
      <c r="CG221" s="123"/>
      <c r="CH221" s="195"/>
      <c r="CI221" s="194"/>
      <c r="CJ221" s="123"/>
      <c r="CK221" s="195"/>
      <c r="CL221" s="194"/>
      <c r="CM221" s="123"/>
      <c r="CN221" s="195"/>
      <c r="CO221" s="194"/>
      <c r="CP221" s="123"/>
      <c r="CQ221" s="195"/>
      <c r="CR221" s="194"/>
      <c r="CS221" s="123"/>
      <c r="CT221" s="195"/>
      <c r="CU221" s="194"/>
      <c r="CV221" s="123"/>
      <c r="CW221" s="195"/>
      <c r="CX221" s="194"/>
      <c r="CY221" s="123"/>
      <c r="CZ221" s="195"/>
      <c r="DA221" s="194"/>
      <c r="DB221" s="123"/>
      <c r="DC221" s="195"/>
      <c r="DD221" s="194"/>
      <c r="DE221" s="123"/>
      <c r="DF221" s="195"/>
      <c r="DL221" s="105"/>
      <c r="DM221" s="105"/>
      <c r="DN221" s="105"/>
      <c r="DO221" s="105"/>
      <c r="DP221" s="105"/>
      <c r="DQ221" s="105"/>
      <c r="DR221" s="105"/>
      <c r="DS221" s="105"/>
    </row>
    <row r="222" spans="1:123" ht="7.4" customHeight="1" x14ac:dyDescent="0.5">
      <c r="A222" s="42"/>
      <c r="B222" s="42"/>
      <c r="C222" s="55"/>
      <c r="D222" s="55"/>
      <c r="E222" s="41"/>
      <c r="F222" s="42"/>
      <c r="G222" s="56"/>
      <c r="H222" s="56"/>
      <c r="I222" s="56"/>
      <c r="J222" s="56"/>
      <c r="K222" s="56"/>
      <c r="L222" s="56"/>
      <c r="M222" s="56"/>
      <c r="N222" s="56"/>
      <c r="O222" s="56"/>
      <c r="P222" s="56"/>
      <c r="Q222" s="56"/>
      <c r="R222" s="126"/>
      <c r="S222" s="42"/>
      <c r="AJ222" s="41"/>
      <c r="AK222" s="42"/>
      <c r="AL222" s="75"/>
      <c r="AM222" s="75"/>
      <c r="AN222" s="75"/>
      <c r="AO222" s="75"/>
      <c r="AP222" s="43"/>
      <c r="AQ222" s="42"/>
      <c r="AR222" s="119"/>
      <c r="AS222" s="119"/>
      <c r="AT222" s="119"/>
      <c r="AU222" s="119"/>
      <c r="AV222" s="119"/>
      <c r="AW222" s="119"/>
      <c r="AX222" s="105"/>
      <c r="AZ222" s="119"/>
      <c r="BA222" s="119"/>
      <c r="BB222" s="119"/>
      <c r="BC222" s="119"/>
      <c r="BD222" s="119"/>
      <c r="BE222" s="119"/>
      <c r="BF222" s="119"/>
      <c r="BG222" s="119"/>
      <c r="BH222" s="124"/>
      <c r="BI222" s="41"/>
      <c r="BK222" s="194"/>
      <c r="BL222" s="123"/>
      <c r="BM222" s="195"/>
      <c r="BN222" s="194"/>
      <c r="BO222" s="123"/>
      <c r="BP222" s="195"/>
      <c r="BQ222" s="194"/>
      <c r="BR222" s="123"/>
      <c r="BS222" s="195"/>
      <c r="BT222" s="194"/>
      <c r="BU222" s="123"/>
      <c r="BV222" s="195"/>
      <c r="BW222" s="194"/>
      <c r="BX222" s="123"/>
      <c r="BY222" s="195"/>
      <c r="BZ222" s="194"/>
      <c r="CA222" s="123"/>
      <c r="CB222" s="195"/>
      <c r="CC222" s="194"/>
      <c r="CD222" s="123"/>
      <c r="CE222" s="195"/>
      <c r="CF222" s="194"/>
      <c r="CG222" s="123"/>
      <c r="CH222" s="195"/>
      <c r="CI222" s="194"/>
      <c r="CJ222" s="123"/>
      <c r="CK222" s="195"/>
      <c r="CL222" s="194"/>
      <c r="CM222" s="123"/>
      <c r="CN222" s="195"/>
      <c r="CO222" s="194"/>
      <c r="CP222" s="123"/>
      <c r="CQ222" s="195"/>
      <c r="CR222" s="194"/>
      <c r="CS222" s="123"/>
      <c r="CT222" s="195"/>
      <c r="CU222" s="194"/>
      <c r="CV222" s="123"/>
      <c r="CW222" s="195"/>
      <c r="CX222" s="194"/>
      <c r="CY222" s="123"/>
      <c r="CZ222" s="195"/>
      <c r="DA222" s="194"/>
      <c r="DB222" s="123"/>
      <c r="DC222" s="195"/>
      <c r="DD222" s="194"/>
      <c r="DE222" s="123"/>
      <c r="DF222" s="195"/>
      <c r="DL222" s="105"/>
      <c r="DM222" s="105"/>
      <c r="DN222" s="105"/>
      <c r="DO222" s="105"/>
      <c r="DP222" s="105"/>
      <c r="DQ222" s="105"/>
      <c r="DR222" s="105"/>
      <c r="DS222" s="105"/>
    </row>
    <row r="223" spans="1:123" ht="7.4" customHeight="1" x14ac:dyDescent="0.5">
      <c r="A223" s="42"/>
      <c r="B223" s="42"/>
      <c r="C223" s="311">
        <f>C219+1</f>
        <v>27</v>
      </c>
      <c r="D223" s="311"/>
      <c r="E223" s="41"/>
      <c r="F223" s="42"/>
      <c r="G223" s="314" t="s">
        <v>55</v>
      </c>
      <c r="H223" s="314"/>
      <c r="I223" s="314"/>
      <c r="J223" s="314"/>
      <c r="K223" s="314"/>
      <c r="L223" s="314"/>
      <c r="M223" s="314"/>
      <c r="N223" s="314"/>
      <c r="O223" s="314"/>
      <c r="P223" s="314"/>
      <c r="Q223" s="314"/>
      <c r="R223" s="315"/>
      <c r="S223" s="42"/>
      <c r="T223" s="316" t="str">
        <f>IF(AL223=1,"Transport estimate","Transport excluded")</f>
        <v>Transport excluded</v>
      </c>
      <c r="U223" s="316"/>
      <c r="V223" s="316"/>
      <c r="W223" s="316"/>
      <c r="X223" s="316"/>
      <c r="Y223" s="316"/>
      <c r="Z223" s="316"/>
      <c r="AA223" s="316"/>
      <c r="AB223" s="316"/>
      <c r="AC223" s="316"/>
      <c r="AD223" s="316"/>
      <c r="AE223" s="316"/>
      <c r="AF223" s="316"/>
      <c r="AG223" s="316"/>
      <c r="AH223" s="316"/>
      <c r="AI223" s="316"/>
      <c r="AJ223" s="317"/>
      <c r="AK223" s="42"/>
      <c r="AL223" s="318">
        <v>0</v>
      </c>
      <c r="AM223" s="318"/>
      <c r="AN223" s="318"/>
      <c r="AO223" s="318"/>
      <c r="AP223" s="43"/>
      <c r="AQ223" s="128"/>
      <c r="AR223" s="308" t="str">
        <f>VLOOKUP(G223,PL!$B$9:$BH$818,52,FALSE)</f>
        <v>-</v>
      </c>
      <c r="AS223" s="309"/>
      <c r="AT223" s="309"/>
      <c r="AU223" s="309"/>
      <c r="AV223" s="309"/>
      <c r="AW223" s="309"/>
      <c r="AX223" s="309"/>
      <c r="AY223" s="309"/>
      <c r="AZ223" s="309"/>
      <c r="BA223" s="309"/>
      <c r="BB223" s="309"/>
      <c r="BC223" s="309"/>
      <c r="BD223" s="309"/>
      <c r="BE223" s="309"/>
      <c r="BF223" s="309"/>
      <c r="BG223" s="309"/>
      <c r="BH223" s="124"/>
      <c r="BI223" s="41"/>
      <c r="BK223" s="194"/>
      <c r="BL223" s="123"/>
      <c r="BM223" s="195"/>
      <c r="BN223" s="194"/>
      <c r="BO223" s="123"/>
      <c r="BP223" s="195"/>
      <c r="BQ223" s="194"/>
      <c r="BR223" s="123"/>
      <c r="BS223" s="195"/>
      <c r="BT223" s="194"/>
      <c r="BU223" s="123"/>
      <c r="BV223" s="195"/>
      <c r="BW223" s="194"/>
      <c r="BX223" s="123"/>
      <c r="BY223" s="195"/>
      <c r="BZ223" s="194"/>
      <c r="CA223" s="123"/>
      <c r="CB223" s="195"/>
      <c r="CC223" s="194"/>
      <c r="CD223" s="123"/>
      <c r="CE223" s="195"/>
      <c r="CF223" s="194"/>
      <c r="CG223" s="123"/>
      <c r="CH223" s="195"/>
      <c r="CI223" s="194"/>
      <c r="CJ223" s="123"/>
      <c r="CK223" s="195"/>
      <c r="CL223" s="194"/>
      <c r="CM223" s="123"/>
      <c r="CN223" s="195"/>
      <c r="CO223" s="194"/>
      <c r="CP223" s="123"/>
      <c r="CQ223" s="195"/>
      <c r="CR223" s="194"/>
      <c r="CS223" s="123"/>
      <c r="CT223" s="195"/>
      <c r="CU223" s="194"/>
      <c r="CV223" s="123"/>
      <c r="CW223" s="195"/>
      <c r="CX223" s="194"/>
      <c r="CY223" s="123"/>
      <c r="CZ223" s="195"/>
      <c r="DA223" s="194"/>
      <c r="DB223" s="123"/>
      <c r="DC223" s="195"/>
      <c r="DD223" s="194"/>
      <c r="DE223" s="123"/>
      <c r="DF223" s="195"/>
      <c r="DH223" s="311"/>
      <c r="DI223" s="311"/>
      <c r="DJ223" s="311"/>
      <c r="DK223" s="311"/>
      <c r="DL223" s="321"/>
      <c r="DM223" s="321"/>
      <c r="DN223" s="321"/>
      <c r="DO223" s="321"/>
      <c r="DP223" s="321"/>
      <c r="DQ223" s="321"/>
      <c r="DR223" s="321"/>
      <c r="DS223" s="321"/>
    </row>
    <row r="224" spans="1:123" ht="7.4" customHeight="1" x14ac:dyDescent="0.5">
      <c r="A224" s="42"/>
      <c r="B224" s="42"/>
      <c r="C224" s="311"/>
      <c r="D224" s="311"/>
      <c r="E224" s="41"/>
      <c r="F224" s="42"/>
      <c r="G224" s="314"/>
      <c r="H224" s="314"/>
      <c r="I224" s="314"/>
      <c r="J224" s="314"/>
      <c r="K224" s="314"/>
      <c r="L224" s="314"/>
      <c r="M224" s="314"/>
      <c r="N224" s="314"/>
      <c r="O224" s="314"/>
      <c r="P224" s="314"/>
      <c r="Q224" s="314"/>
      <c r="R224" s="315"/>
      <c r="S224" s="42"/>
      <c r="T224" s="316"/>
      <c r="U224" s="316"/>
      <c r="V224" s="316"/>
      <c r="W224" s="316"/>
      <c r="X224" s="316"/>
      <c r="Y224" s="316"/>
      <c r="Z224" s="316"/>
      <c r="AA224" s="316"/>
      <c r="AB224" s="316"/>
      <c r="AC224" s="316"/>
      <c r="AD224" s="316"/>
      <c r="AE224" s="316"/>
      <c r="AF224" s="316"/>
      <c r="AG224" s="316"/>
      <c r="AH224" s="316"/>
      <c r="AI224" s="316"/>
      <c r="AJ224" s="317"/>
      <c r="AK224" s="42"/>
      <c r="AL224" s="318"/>
      <c r="AM224" s="318"/>
      <c r="AN224" s="318"/>
      <c r="AO224" s="318"/>
      <c r="AP224" s="43"/>
      <c r="AQ224" s="128"/>
      <c r="AR224" s="309"/>
      <c r="AS224" s="309"/>
      <c r="AT224" s="309"/>
      <c r="AU224" s="309"/>
      <c r="AV224" s="309"/>
      <c r="AW224" s="309"/>
      <c r="AX224" s="309"/>
      <c r="AY224" s="309"/>
      <c r="AZ224" s="309"/>
      <c r="BA224" s="309"/>
      <c r="BB224" s="309"/>
      <c r="BC224" s="309"/>
      <c r="BD224" s="309"/>
      <c r="BE224" s="309"/>
      <c r="BF224" s="309"/>
      <c r="BG224" s="309"/>
      <c r="BH224" s="124"/>
      <c r="BI224" s="41"/>
      <c r="BK224" s="194"/>
      <c r="BL224" s="123"/>
      <c r="BM224" s="195"/>
      <c r="BN224" s="194"/>
      <c r="BO224" s="123"/>
      <c r="BP224" s="195"/>
      <c r="BQ224" s="194"/>
      <c r="BR224" s="123"/>
      <c r="BS224" s="195"/>
      <c r="BT224" s="194"/>
      <c r="BU224" s="123"/>
      <c r="BV224" s="195"/>
      <c r="BW224" s="194"/>
      <c r="BX224" s="123"/>
      <c r="BY224" s="195"/>
      <c r="BZ224" s="194"/>
      <c r="CA224" s="123"/>
      <c r="CB224" s="195"/>
      <c r="CC224" s="194"/>
      <c r="CD224" s="123"/>
      <c r="CE224" s="195"/>
      <c r="CF224" s="194"/>
      <c r="CG224" s="123"/>
      <c r="CH224" s="195"/>
      <c r="CI224" s="194"/>
      <c r="CJ224" s="123"/>
      <c r="CK224" s="195"/>
      <c r="CL224" s="194"/>
      <c r="CM224" s="123"/>
      <c r="CN224" s="195"/>
      <c r="CO224" s="194"/>
      <c r="CP224" s="123"/>
      <c r="CQ224" s="195"/>
      <c r="CR224" s="194"/>
      <c r="CS224" s="123"/>
      <c r="CT224" s="195"/>
      <c r="CU224" s="194"/>
      <c r="CV224" s="123"/>
      <c r="CW224" s="195"/>
      <c r="CX224" s="194"/>
      <c r="CY224" s="123"/>
      <c r="CZ224" s="195"/>
      <c r="DA224" s="194"/>
      <c r="DB224" s="123"/>
      <c r="DC224" s="195"/>
      <c r="DD224" s="194"/>
      <c r="DE224" s="123"/>
      <c r="DF224" s="195"/>
      <c r="DL224" s="105"/>
      <c r="DM224" s="105"/>
      <c r="DN224" s="105"/>
      <c r="DO224" s="105"/>
      <c r="DP224" s="105"/>
      <c r="DQ224" s="105"/>
      <c r="DR224" s="105"/>
      <c r="DS224" s="105"/>
    </row>
    <row r="225" spans="1:123" ht="7.4" customHeight="1" x14ac:dyDescent="0.5">
      <c r="A225" s="42"/>
      <c r="B225" s="42"/>
      <c r="C225" s="75"/>
      <c r="D225" s="75"/>
      <c r="E225" s="41"/>
      <c r="F225" s="42"/>
      <c r="G225" s="56"/>
      <c r="H225" s="56"/>
      <c r="I225" s="56"/>
      <c r="J225" s="56"/>
      <c r="K225" s="56"/>
      <c r="L225" s="56"/>
      <c r="M225" s="56"/>
      <c r="N225" s="56"/>
      <c r="O225" s="56"/>
      <c r="P225" s="56"/>
      <c r="Q225" s="56"/>
      <c r="R225" s="126"/>
      <c r="S225" s="42"/>
      <c r="T225" s="49"/>
      <c r="U225" s="49"/>
      <c r="V225" s="49"/>
      <c r="W225" s="49"/>
      <c r="X225" s="49"/>
      <c r="Y225" s="49"/>
      <c r="Z225" s="49"/>
      <c r="AA225" s="49"/>
      <c r="AB225" s="49"/>
      <c r="AC225" s="49"/>
      <c r="AD225" s="49"/>
      <c r="AE225" s="49"/>
      <c r="AF225" s="49"/>
      <c r="AG225" s="49"/>
      <c r="AH225" s="49"/>
      <c r="AI225" s="49"/>
      <c r="AJ225" s="110"/>
      <c r="AK225" s="42"/>
      <c r="AL225" s="127"/>
      <c r="AM225" s="127"/>
      <c r="AN225" s="127"/>
      <c r="AO225" s="127"/>
      <c r="AP225" s="43"/>
      <c r="AQ225" s="128"/>
      <c r="AR225" s="129"/>
      <c r="AS225" s="129"/>
      <c r="AT225" s="129"/>
      <c r="AU225" s="129"/>
      <c r="AV225" s="129"/>
      <c r="AW225" s="129"/>
      <c r="AX225" s="105"/>
      <c r="AY225" s="130"/>
      <c r="AZ225" s="131"/>
      <c r="BA225" s="131"/>
      <c r="BB225" s="131"/>
      <c r="BC225" s="131"/>
      <c r="BD225" s="131"/>
      <c r="BE225" s="131"/>
      <c r="BF225" s="131"/>
      <c r="BG225" s="131"/>
      <c r="BH225" s="124"/>
      <c r="BI225" s="41"/>
      <c r="BK225" s="194"/>
      <c r="BL225" s="123"/>
      <c r="BM225" s="195"/>
      <c r="BN225" s="194"/>
      <c r="BO225" s="123"/>
      <c r="BP225" s="195"/>
      <c r="BQ225" s="194"/>
      <c r="BR225" s="123"/>
      <c r="BS225" s="195"/>
      <c r="BT225" s="194"/>
      <c r="BU225" s="123"/>
      <c r="BV225" s="195"/>
      <c r="BW225" s="194"/>
      <c r="BX225" s="123"/>
      <c r="BY225" s="195"/>
      <c r="BZ225" s="194"/>
      <c r="CA225" s="123"/>
      <c r="CB225" s="195"/>
      <c r="CC225" s="194"/>
      <c r="CD225" s="123"/>
      <c r="CE225" s="195"/>
      <c r="CF225" s="194"/>
      <c r="CG225" s="123"/>
      <c r="CH225" s="195"/>
      <c r="CI225" s="194"/>
      <c r="CJ225" s="123"/>
      <c r="CK225" s="195"/>
      <c r="CL225" s="194"/>
      <c r="CM225" s="123"/>
      <c r="CN225" s="195"/>
      <c r="CO225" s="194"/>
      <c r="CP225" s="123"/>
      <c r="CQ225" s="195"/>
      <c r="CR225" s="194"/>
      <c r="CS225" s="123"/>
      <c r="CT225" s="195"/>
      <c r="CU225" s="194"/>
      <c r="CV225" s="123"/>
      <c r="CW225" s="195"/>
      <c r="CX225" s="194"/>
      <c r="CY225" s="123"/>
      <c r="CZ225" s="195"/>
      <c r="DA225" s="194"/>
      <c r="DB225" s="123"/>
      <c r="DC225" s="195"/>
      <c r="DD225" s="194"/>
      <c r="DE225" s="123"/>
      <c r="DF225" s="195"/>
      <c r="DL225" s="105"/>
      <c r="DM225" s="105"/>
      <c r="DN225" s="105"/>
      <c r="DO225" s="105"/>
      <c r="DP225" s="105"/>
      <c r="DQ225" s="105"/>
      <c r="DR225" s="105"/>
      <c r="DS225" s="105"/>
    </row>
    <row r="226" spans="1:123" ht="7.4" customHeight="1" x14ac:dyDescent="0.5">
      <c r="A226" s="42"/>
      <c r="B226" s="50"/>
      <c r="C226" s="51"/>
      <c r="D226" s="51"/>
      <c r="E226" s="52"/>
      <c r="F226" s="50"/>
      <c r="G226" s="132"/>
      <c r="H226" s="132"/>
      <c r="I226" s="132"/>
      <c r="J226" s="132"/>
      <c r="K226" s="132"/>
      <c r="L226" s="132"/>
      <c r="M226" s="132"/>
      <c r="N226" s="132"/>
      <c r="O226" s="132"/>
      <c r="P226" s="132"/>
      <c r="Q226" s="132"/>
      <c r="R226" s="204"/>
      <c r="S226" s="50"/>
      <c r="T226" s="51"/>
      <c r="U226" s="51"/>
      <c r="V226" s="51"/>
      <c r="W226" s="51"/>
      <c r="X226" s="51"/>
      <c r="Y226" s="51"/>
      <c r="Z226" s="51"/>
      <c r="AA226" s="51"/>
      <c r="AB226" s="51"/>
      <c r="AC226" s="51"/>
      <c r="AD226" s="51"/>
      <c r="AE226" s="51"/>
      <c r="AF226" s="51"/>
      <c r="AG226" s="51"/>
      <c r="AH226" s="51"/>
      <c r="AI226" s="51"/>
      <c r="AJ226" s="52"/>
      <c r="AK226" s="50"/>
      <c r="AL226" s="355"/>
      <c r="AM226" s="355"/>
      <c r="AN226" s="355"/>
      <c r="AO226" s="355"/>
      <c r="AP226" s="84"/>
      <c r="AQ226" s="50"/>
      <c r="AR226" s="271"/>
      <c r="AS226" s="271"/>
      <c r="AT226" s="271"/>
      <c r="AU226" s="271"/>
      <c r="AV226" s="271"/>
      <c r="AW226" s="271"/>
      <c r="AX226" s="135"/>
      <c r="AY226" s="51"/>
      <c r="AZ226" s="271"/>
      <c r="BA226" s="271"/>
      <c r="BB226" s="271"/>
      <c r="BC226" s="271"/>
      <c r="BD226" s="271"/>
      <c r="BE226" s="271"/>
      <c r="BF226" s="271"/>
      <c r="BG226" s="271"/>
      <c r="BH226" s="158"/>
      <c r="BI226" s="41"/>
      <c r="BK226" s="205"/>
      <c r="BL226" s="206"/>
      <c r="BM226" s="207"/>
      <c r="BN226" s="205"/>
      <c r="BO226" s="206"/>
      <c r="BP226" s="207"/>
      <c r="BQ226" s="205"/>
      <c r="BR226" s="206"/>
      <c r="BS226" s="207"/>
      <c r="BT226" s="205"/>
      <c r="BU226" s="206"/>
      <c r="BV226" s="207"/>
      <c r="BW226" s="205"/>
      <c r="BX226" s="206"/>
      <c r="BY226" s="207"/>
      <c r="BZ226" s="205"/>
      <c r="CA226" s="206"/>
      <c r="CB226" s="207"/>
      <c r="CC226" s="205"/>
      <c r="CD226" s="206"/>
      <c r="CE226" s="207"/>
      <c r="CF226" s="205"/>
      <c r="CG226" s="206"/>
      <c r="CH226" s="207"/>
      <c r="CI226" s="205"/>
      <c r="CJ226" s="206"/>
      <c r="CK226" s="207"/>
      <c r="CL226" s="205"/>
      <c r="CM226" s="206"/>
      <c r="CN226" s="207"/>
      <c r="CO226" s="205"/>
      <c r="CP226" s="206"/>
      <c r="CQ226" s="207"/>
      <c r="CR226" s="205"/>
      <c r="CS226" s="206"/>
      <c r="CT226" s="207"/>
      <c r="CU226" s="205"/>
      <c r="CV226" s="206"/>
      <c r="CW226" s="207"/>
      <c r="CX226" s="205"/>
      <c r="CY226" s="206"/>
      <c r="CZ226" s="207"/>
      <c r="DA226" s="205"/>
      <c r="DB226" s="206"/>
      <c r="DC226" s="207"/>
      <c r="DD226" s="205"/>
      <c r="DE226" s="206"/>
      <c r="DF226" s="207"/>
      <c r="DH226" s="311"/>
      <c r="DI226" s="311"/>
      <c r="DJ226" s="311"/>
      <c r="DK226" s="311"/>
      <c r="DL226" s="321"/>
      <c r="DM226" s="321"/>
      <c r="DN226" s="321"/>
      <c r="DO226" s="321"/>
      <c r="DP226" s="321"/>
      <c r="DQ226" s="321"/>
      <c r="DR226" s="321"/>
      <c r="DS226" s="321"/>
    </row>
    <row r="227" spans="1:123" ht="7.4" customHeight="1" x14ac:dyDescent="0.5">
      <c r="A227" s="50"/>
      <c r="B227" s="51"/>
      <c r="C227" s="51"/>
      <c r="D227" s="51"/>
      <c r="E227" s="51"/>
      <c r="F227" s="51"/>
      <c r="G227" s="51"/>
      <c r="H227" s="51"/>
      <c r="I227" s="51"/>
      <c r="J227" s="51"/>
      <c r="K227" s="51"/>
      <c r="L227" s="51"/>
      <c r="M227" s="51"/>
      <c r="N227" s="51"/>
      <c r="O227" s="51"/>
      <c r="P227" s="51"/>
      <c r="Q227" s="51"/>
      <c r="R227" s="51"/>
      <c r="S227" s="51"/>
      <c r="T227" s="51"/>
      <c r="U227" s="51"/>
      <c r="V227" s="51"/>
      <c r="W227" s="208"/>
      <c r="X227" s="208"/>
      <c r="Y227" s="208"/>
      <c r="Z227" s="208"/>
      <c r="AA227" s="208"/>
      <c r="AB227" s="51"/>
      <c r="AC227" s="51"/>
      <c r="AD227" s="208"/>
      <c r="AE227" s="208"/>
      <c r="AF227" s="208"/>
      <c r="AG227" s="208"/>
      <c r="AH227" s="208"/>
      <c r="AI227" s="51"/>
      <c r="AJ227" s="51"/>
      <c r="AK227" s="51"/>
      <c r="AL227" s="51"/>
      <c r="AM227" s="51"/>
      <c r="AN227" s="51"/>
      <c r="AO227" s="51"/>
      <c r="AP227" s="51"/>
      <c r="AQ227" s="51"/>
      <c r="AR227" s="51"/>
      <c r="AS227" s="51"/>
      <c r="AT227" s="51"/>
      <c r="AU227" s="51"/>
      <c r="AV227" s="51"/>
      <c r="AW227" s="51"/>
      <c r="AX227" s="51"/>
      <c r="AY227" s="51"/>
      <c r="AZ227" s="51"/>
      <c r="BA227" s="51"/>
      <c r="BB227" s="51"/>
      <c r="BC227" s="51"/>
      <c r="BD227" s="51"/>
      <c r="BE227" s="51"/>
      <c r="BF227" s="51"/>
      <c r="BG227" s="51"/>
      <c r="BH227" s="51"/>
      <c r="BI227" s="52"/>
    </row>
    <row r="228" spans="1:123" ht="7.4" customHeight="1" x14ac:dyDescent="0.5">
      <c r="A228" s="505" t="s">
        <v>56</v>
      </c>
      <c r="B228" s="505"/>
      <c r="C228" s="505"/>
      <c r="D228" s="505"/>
      <c r="E228" s="505"/>
      <c r="F228" s="505"/>
      <c r="G228" s="505"/>
      <c r="H228" s="505"/>
      <c r="I228" s="505"/>
      <c r="J228" s="505"/>
      <c r="K228" s="505"/>
      <c r="L228" s="505"/>
      <c r="M228" s="505"/>
      <c r="N228" s="505"/>
      <c r="O228" s="505"/>
      <c r="P228" s="505"/>
      <c r="Q228" s="505"/>
      <c r="R228" s="505"/>
      <c r="S228" s="505"/>
      <c r="T228" s="505"/>
      <c r="U228" s="505"/>
      <c r="V228" s="505"/>
      <c r="W228" s="505"/>
      <c r="X228" s="505"/>
      <c r="Y228" s="505"/>
      <c r="Z228" s="505"/>
      <c r="AA228" s="505"/>
      <c r="AB228" s="505"/>
      <c r="AC228" s="505"/>
      <c r="AD228" s="505"/>
      <c r="AE228" s="505"/>
      <c r="AF228" s="505"/>
      <c r="AG228" s="505"/>
      <c r="AH228" s="505"/>
      <c r="AI228" s="505"/>
      <c r="AJ228" s="505"/>
      <c r="AK228" s="505"/>
      <c r="AL228" s="505"/>
      <c r="AM228" s="505"/>
      <c r="AN228" s="505"/>
      <c r="AO228" s="505"/>
      <c r="AP228" s="505"/>
      <c r="AQ228" s="505"/>
      <c r="AR228" s="505"/>
      <c r="AS228" s="505"/>
      <c r="AT228" s="505"/>
      <c r="AU228" s="505"/>
      <c r="AV228" s="505"/>
      <c r="AW228" s="505"/>
      <c r="AX228" s="505"/>
      <c r="AY228" s="505"/>
      <c r="AZ228" s="505"/>
      <c r="BA228" s="505"/>
      <c r="BB228" s="505"/>
      <c r="BC228" s="505"/>
      <c r="BD228" s="505"/>
      <c r="BE228" s="505"/>
      <c r="BF228" s="505"/>
      <c r="BG228" s="505"/>
      <c r="BH228" s="505"/>
      <c r="BI228" s="505"/>
    </row>
    <row r="229" spans="1:123" ht="7.4" customHeight="1" x14ac:dyDescent="0.5">
      <c r="A229" s="505"/>
      <c r="B229" s="505"/>
      <c r="C229" s="505"/>
      <c r="D229" s="505"/>
      <c r="E229" s="505"/>
      <c r="F229" s="505"/>
      <c r="G229" s="505"/>
      <c r="H229" s="505"/>
      <c r="I229" s="505"/>
      <c r="J229" s="505"/>
      <c r="K229" s="505"/>
      <c r="L229" s="505"/>
      <c r="M229" s="505"/>
      <c r="N229" s="505"/>
      <c r="O229" s="505"/>
      <c r="P229" s="505"/>
      <c r="Q229" s="505"/>
      <c r="R229" s="505"/>
      <c r="S229" s="505"/>
      <c r="T229" s="505"/>
      <c r="U229" s="505"/>
      <c r="V229" s="505"/>
      <c r="W229" s="505"/>
      <c r="X229" s="505"/>
      <c r="Y229" s="505"/>
      <c r="Z229" s="505"/>
      <c r="AA229" s="505"/>
      <c r="AB229" s="505"/>
      <c r="AC229" s="505"/>
      <c r="AD229" s="505"/>
      <c r="AE229" s="505"/>
      <c r="AF229" s="505"/>
      <c r="AG229" s="505"/>
      <c r="AH229" s="505"/>
      <c r="AI229" s="505"/>
      <c r="AJ229" s="505"/>
      <c r="AK229" s="505"/>
      <c r="AL229" s="505"/>
      <c r="AM229" s="505"/>
      <c r="AN229" s="505"/>
      <c r="AO229" s="505"/>
      <c r="AP229" s="505"/>
      <c r="AQ229" s="505"/>
      <c r="AR229" s="505"/>
      <c r="AS229" s="505"/>
      <c r="AT229" s="505"/>
      <c r="AU229" s="505"/>
      <c r="AV229" s="505"/>
      <c r="AW229" s="505"/>
      <c r="AX229" s="505"/>
      <c r="AY229" s="505"/>
      <c r="AZ229" s="505"/>
      <c r="BA229" s="505"/>
      <c r="BB229" s="505"/>
      <c r="BC229" s="505"/>
      <c r="BD229" s="505"/>
      <c r="BE229" s="505"/>
      <c r="BF229" s="505"/>
      <c r="BG229" s="505"/>
      <c r="BH229" s="505"/>
      <c r="BI229" s="505"/>
    </row>
    <row r="230" spans="1:123" ht="7.4" customHeight="1" x14ac:dyDescent="0.5">
      <c r="A230" s="222"/>
      <c r="B230" s="222"/>
      <c r="C230" s="222"/>
      <c r="D230" s="222"/>
      <c r="E230" s="222"/>
      <c r="F230" s="222"/>
      <c r="G230" s="222"/>
      <c r="H230" s="222"/>
      <c r="I230" s="222"/>
      <c r="J230" s="222"/>
      <c r="K230" s="222"/>
      <c r="L230" s="222"/>
      <c r="M230" s="222"/>
      <c r="N230" s="222"/>
      <c r="O230" s="222"/>
      <c r="P230" s="222"/>
      <c r="Q230" s="222"/>
      <c r="R230" s="222"/>
      <c r="S230" s="222"/>
      <c r="T230" s="222"/>
      <c r="U230" s="222"/>
      <c r="V230" s="222"/>
      <c r="W230" s="222"/>
      <c r="X230" s="222"/>
      <c r="Y230" s="222"/>
      <c r="Z230" s="222"/>
      <c r="AA230" s="222"/>
      <c r="AB230" s="222"/>
      <c r="AC230" s="222"/>
      <c r="AD230" s="222"/>
      <c r="AE230" s="222"/>
      <c r="AF230" s="222"/>
      <c r="AG230" s="222"/>
      <c r="AH230" s="222"/>
      <c r="AI230" s="222"/>
      <c r="AJ230" s="222"/>
      <c r="AK230" s="222"/>
      <c r="AL230" s="222"/>
      <c r="AM230" s="222"/>
      <c r="AN230" s="222"/>
      <c r="AO230" s="222"/>
      <c r="AP230" s="222"/>
      <c r="AQ230" s="222"/>
      <c r="AR230" s="222"/>
      <c r="AS230" s="222"/>
      <c r="AT230" s="222"/>
      <c r="AU230" s="222"/>
      <c r="AV230" s="222"/>
      <c r="AW230" s="222"/>
      <c r="AX230" s="222"/>
      <c r="AY230" s="222"/>
      <c r="AZ230" s="222"/>
      <c r="BA230" s="222"/>
      <c r="BB230" s="222"/>
      <c r="BC230" s="222"/>
      <c r="BD230" s="222"/>
      <c r="BE230" s="222"/>
      <c r="BF230" s="222"/>
      <c r="BG230" s="222"/>
      <c r="BH230" s="222"/>
      <c r="BI230" s="222"/>
    </row>
    <row r="231" spans="1:123" ht="7.4" customHeight="1" x14ac:dyDescent="0.5">
      <c r="A231" s="506" t="s">
        <v>57</v>
      </c>
      <c r="B231" s="506"/>
      <c r="C231" s="506"/>
      <c r="D231" s="506"/>
      <c r="E231" s="506"/>
      <c r="F231" s="506"/>
      <c r="G231" s="506"/>
      <c r="H231" s="506"/>
      <c r="I231" s="506"/>
      <c r="J231" s="506"/>
      <c r="K231" s="506"/>
      <c r="L231" s="506"/>
      <c r="M231" s="506"/>
      <c r="N231" s="506"/>
      <c r="O231" s="506"/>
      <c r="P231" s="506"/>
      <c r="Q231" s="506"/>
      <c r="R231" s="506"/>
      <c r="S231" s="506"/>
      <c r="T231" s="506"/>
      <c r="U231" s="506"/>
      <c r="V231" s="506"/>
      <c r="W231" s="506"/>
      <c r="X231" s="506"/>
      <c r="Y231" s="506"/>
      <c r="Z231" s="506"/>
      <c r="AA231" s="506"/>
      <c r="AB231" s="506"/>
      <c r="AC231" s="506"/>
      <c r="AD231" s="506"/>
      <c r="AE231" s="506"/>
      <c r="AF231" s="506"/>
      <c r="AG231" s="506"/>
      <c r="AH231" s="506"/>
      <c r="AI231" s="506"/>
      <c r="AJ231" s="506"/>
      <c r="AK231" s="506"/>
      <c r="AL231" s="506"/>
      <c r="AM231" s="506"/>
      <c r="AN231" s="506"/>
      <c r="AO231" s="506"/>
      <c r="AP231" s="506"/>
      <c r="AQ231" s="506"/>
      <c r="AR231" s="506"/>
      <c r="AS231" s="506"/>
      <c r="AT231" s="506"/>
      <c r="AU231" s="506"/>
      <c r="AV231" s="506"/>
      <c r="AW231" s="506"/>
      <c r="AX231" s="506"/>
      <c r="AY231" s="506"/>
      <c r="AZ231" s="506"/>
      <c r="BA231" s="506"/>
      <c r="BB231" s="506"/>
      <c r="BC231" s="506"/>
      <c r="BD231" s="506"/>
      <c r="BE231" s="506"/>
      <c r="BF231" s="506"/>
      <c r="BG231" s="506"/>
      <c r="BH231" s="506"/>
      <c r="BI231" s="506"/>
    </row>
    <row r="232" spans="1:123" ht="7.4" customHeight="1" x14ac:dyDescent="0.5">
      <c r="A232" s="506"/>
      <c r="B232" s="506"/>
      <c r="C232" s="506"/>
      <c r="D232" s="506"/>
      <c r="E232" s="506"/>
      <c r="F232" s="506"/>
      <c r="G232" s="506"/>
      <c r="H232" s="506"/>
      <c r="I232" s="506"/>
      <c r="J232" s="506"/>
      <c r="K232" s="506"/>
      <c r="L232" s="506"/>
      <c r="M232" s="506"/>
      <c r="N232" s="506"/>
      <c r="O232" s="506"/>
      <c r="P232" s="506"/>
      <c r="Q232" s="506"/>
      <c r="R232" s="506"/>
      <c r="S232" s="506"/>
      <c r="T232" s="506"/>
      <c r="U232" s="506"/>
      <c r="V232" s="506"/>
      <c r="W232" s="506"/>
      <c r="X232" s="506"/>
      <c r="Y232" s="506"/>
      <c r="Z232" s="506"/>
      <c r="AA232" s="506"/>
      <c r="AB232" s="506"/>
      <c r="AC232" s="506"/>
      <c r="AD232" s="506"/>
      <c r="AE232" s="506"/>
      <c r="AF232" s="506"/>
      <c r="AG232" s="506"/>
      <c r="AH232" s="506"/>
      <c r="AI232" s="506"/>
      <c r="AJ232" s="506"/>
      <c r="AK232" s="506"/>
      <c r="AL232" s="506"/>
      <c r="AM232" s="506"/>
      <c r="AN232" s="506"/>
      <c r="AO232" s="506"/>
      <c r="AP232" s="506"/>
      <c r="AQ232" s="506"/>
      <c r="AR232" s="506"/>
      <c r="AS232" s="506"/>
      <c r="AT232" s="506"/>
      <c r="AU232" s="506"/>
      <c r="AV232" s="506"/>
      <c r="AW232" s="506"/>
      <c r="AX232" s="506"/>
      <c r="AY232" s="506"/>
      <c r="AZ232" s="506"/>
      <c r="BA232" s="506"/>
      <c r="BB232" s="506"/>
      <c r="BC232" s="506"/>
      <c r="BD232" s="506"/>
      <c r="BE232" s="506"/>
      <c r="BF232" s="506"/>
      <c r="BG232" s="506"/>
      <c r="BH232" s="506"/>
      <c r="BI232" s="506"/>
    </row>
    <row r="233" spans="1:123" ht="7.4" customHeight="1" x14ac:dyDescent="0.5">
      <c r="A233" s="223"/>
      <c r="B233" s="223"/>
      <c r="C233" s="223"/>
      <c r="D233" s="223"/>
      <c r="E233" s="223"/>
      <c r="F233" s="223"/>
      <c r="G233" s="223"/>
      <c r="H233" s="223"/>
      <c r="I233" s="223"/>
      <c r="J233" s="223"/>
      <c r="K233" s="223"/>
      <c r="L233" s="223"/>
      <c r="M233" s="223"/>
      <c r="N233" s="223"/>
      <c r="O233" s="223"/>
      <c r="P233" s="223"/>
      <c r="Q233" s="223"/>
      <c r="R233" s="223"/>
      <c r="S233" s="223"/>
      <c r="T233" s="223"/>
      <c r="U233" s="223"/>
      <c r="V233" s="223"/>
      <c r="W233" s="223"/>
      <c r="X233" s="223"/>
      <c r="Y233" s="223"/>
      <c r="Z233" s="223"/>
      <c r="AA233" s="223"/>
      <c r="AB233" s="223"/>
      <c r="AC233" s="223"/>
      <c r="AD233" s="223"/>
      <c r="AE233" s="223"/>
      <c r="AF233" s="223"/>
      <c r="AG233" s="223"/>
      <c r="AH233" s="223"/>
      <c r="AI233" s="223"/>
      <c r="AJ233" s="223"/>
      <c r="AK233" s="223"/>
      <c r="AL233" s="223"/>
      <c r="AM233" s="223"/>
      <c r="AN233" s="223"/>
      <c r="AO233" s="223"/>
      <c r="AP233" s="223"/>
      <c r="AQ233" s="223"/>
      <c r="AR233" s="223"/>
      <c r="AS233" s="223"/>
      <c r="AT233" s="223"/>
      <c r="AU233" s="223"/>
      <c r="AV233" s="223"/>
      <c r="AW233" s="223"/>
      <c r="AX233" s="223"/>
      <c r="AY233" s="223"/>
      <c r="AZ233" s="223"/>
      <c r="BA233" s="223"/>
      <c r="BB233" s="223"/>
      <c r="BC233" s="223"/>
      <c r="BD233" s="223"/>
      <c r="BE233" s="223"/>
      <c r="BF233" s="223"/>
      <c r="BG233" s="223"/>
      <c r="BH233" s="223"/>
      <c r="BI233" s="223"/>
    </row>
    <row r="234" spans="1:123" ht="7.4" customHeight="1" x14ac:dyDescent="0.5">
      <c r="A234" s="223"/>
      <c r="B234" s="223"/>
      <c r="C234" s="223"/>
      <c r="D234" s="223"/>
      <c r="E234" s="223"/>
      <c r="F234" s="223"/>
      <c r="G234" s="223"/>
      <c r="H234" s="223"/>
      <c r="I234" s="223"/>
      <c r="J234" s="223"/>
      <c r="K234" s="223"/>
      <c r="L234" s="223"/>
      <c r="M234" s="223"/>
      <c r="N234" s="223"/>
      <c r="O234" s="223"/>
      <c r="P234" s="223"/>
      <c r="Q234" s="223"/>
      <c r="R234" s="223"/>
      <c r="S234" s="223"/>
      <c r="T234" s="223"/>
      <c r="U234" s="223"/>
      <c r="V234" s="223"/>
      <c r="W234" s="223"/>
      <c r="X234" s="223"/>
      <c r="Y234" s="223"/>
      <c r="Z234" s="223"/>
      <c r="AA234" s="223"/>
      <c r="AB234" s="223"/>
      <c r="AC234" s="223"/>
      <c r="AD234" s="223"/>
      <c r="AE234" s="223"/>
      <c r="AF234" s="223"/>
      <c r="AG234" s="223"/>
      <c r="AH234" s="223"/>
      <c r="AI234" s="223"/>
      <c r="AJ234" s="223"/>
      <c r="AK234" s="223"/>
      <c r="AL234" s="223"/>
      <c r="AM234" s="223"/>
      <c r="AN234" s="223"/>
      <c r="AO234" s="223"/>
      <c r="AP234" s="223"/>
      <c r="AQ234" s="223"/>
      <c r="AR234" s="223"/>
      <c r="AS234" s="223"/>
      <c r="AT234" s="223"/>
      <c r="AU234" s="223"/>
      <c r="AV234" s="223"/>
      <c r="AW234" s="223"/>
      <c r="AX234" s="223"/>
      <c r="AY234" s="223"/>
      <c r="AZ234" s="223"/>
      <c r="BA234" s="223"/>
      <c r="BB234" s="223"/>
      <c r="BC234" s="223"/>
      <c r="BD234" s="223"/>
      <c r="BE234" s="223"/>
      <c r="BF234" s="223"/>
      <c r="BG234" s="223"/>
      <c r="BH234" s="223"/>
      <c r="BI234" s="223"/>
    </row>
    <row r="235" spans="1:123" ht="7.4" customHeight="1" x14ac:dyDescent="0.5">
      <c r="A235" s="223"/>
      <c r="B235" s="223"/>
      <c r="C235" s="223"/>
      <c r="D235" s="223"/>
      <c r="E235" s="223"/>
      <c r="F235" s="223"/>
      <c r="G235" s="223"/>
      <c r="H235" s="223"/>
      <c r="I235" s="223"/>
      <c r="J235" s="223"/>
      <c r="K235" s="223"/>
      <c r="L235" s="223"/>
      <c r="M235" s="223"/>
      <c r="N235" s="223"/>
      <c r="O235" s="223"/>
      <c r="P235" s="223"/>
      <c r="Q235" s="223"/>
      <c r="R235" s="223"/>
      <c r="S235" s="223"/>
      <c r="T235" s="223"/>
      <c r="U235" s="223"/>
      <c r="V235" s="223"/>
      <c r="W235" s="223"/>
      <c r="X235" s="223"/>
      <c r="Y235" s="223"/>
      <c r="Z235" s="223"/>
      <c r="AA235" s="223"/>
      <c r="AB235" s="223"/>
      <c r="AC235" s="223"/>
      <c r="AD235" s="223"/>
      <c r="AE235" s="223"/>
      <c r="AF235" s="223"/>
      <c r="AG235" s="223"/>
      <c r="AH235" s="223"/>
      <c r="AI235" s="223"/>
      <c r="AJ235" s="223"/>
      <c r="AK235" s="223"/>
      <c r="AL235" s="223"/>
      <c r="AM235" s="223"/>
      <c r="AN235" s="223"/>
      <c r="AO235" s="223"/>
      <c r="AP235" s="223"/>
      <c r="AQ235" s="223"/>
      <c r="AR235" s="223"/>
      <c r="AS235" s="223"/>
      <c r="AT235" s="223"/>
      <c r="AU235" s="223"/>
      <c r="AV235" s="223"/>
      <c r="AW235" s="223"/>
      <c r="AX235" s="223"/>
      <c r="AY235" s="223"/>
      <c r="AZ235" s="223"/>
      <c r="BA235" s="223"/>
      <c r="BB235" s="223"/>
      <c r="BC235" s="223"/>
      <c r="BD235" s="223"/>
      <c r="BE235" s="223"/>
      <c r="BF235" s="223"/>
      <c r="BG235" s="223"/>
      <c r="BH235" s="223"/>
      <c r="BI235" s="223"/>
    </row>
    <row r="236" spans="1:123" ht="7.4" customHeight="1" x14ac:dyDescent="0.5">
      <c r="A236" s="223"/>
      <c r="B236" s="223"/>
      <c r="C236" s="223"/>
      <c r="D236" s="223"/>
      <c r="E236" s="223"/>
      <c r="F236" s="223"/>
      <c r="G236" s="223"/>
      <c r="H236" s="223"/>
      <c r="I236" s="223"/>
      <c r="J236" s="223"/>
      <c r="K236" s="223"/>
      <c r="L236" s="223"/>
      <c r="M236" s="223"/>
      <c r="N236" s="223"/>
      <c r="O236" s="223"/>
      <c r="P236" s="223"/>
      <c r="Q236" s="223"/>
      <c r="R236" s="223"/>
      <c r="S236" s="223"/>
      <c r="T236" s="223"/>
      <c r="U236" s="223"/>
      <c r="V236" s="223"/>
      <c r="W236" s="223"/>
      <c r="X236" s="223"/>
      <c r="Y236" s="223"/>
      <c r="Z236" s="223"/>
      <c r="AA236" s="223"/>
      <c r="AB236" s="223"/>
      <c r="AC236" s="223"/>
      <c r="AD236" s="223"/>
      <c r="AE236" s="223"/>
      <c r="AF236" s="223"/>
      <c r="AG236" s="223"/>
      <c r="AH236" s="223"/>
      <c r="AI236" s="223"/>
      <c r="AJ236" s="223"/>
      <c r="AK236" s="223"/>
      <c r="AL236" s="223"/>
      <c r="AM236" s="223"/>
      <c r="AN236" s="223"/>
      <c r="AO236" s="223"/>
      <c r="AP236" s="223"/>
      <c r="AQ236" s="223"/>
      <c r="AR236" s="223"/>
      <c r="AS236" s="223"/>
      <c r="AT236" s="223"/>
      <c r="AU236" s="223"/>
      <c r="AV236" s="223"/>
      <c r="AW236" s="223"/>
      <c r="AX236" s="223"/>
      <c r="AY236" s="223"/>
      <c r="AZ236" s="223"/>
      <c r="BA236" s="223"/>
      <c r="BB236" s="223"/>
      <c r="BC236" s="223"/>
      <c r="BD236" s="223"/>
      <c r="BE236" s="223"/>
      <c r="BF236" s="223"/>
      <c r="BG236" s="223"/>
      <c r="BH236" s="223"/>
      <c r="BI236" s="223"/>
    </row>
    <row r="237" spans="1:123" ht="7.4" customHeight="1" x14ac:dyDescent="0.5">
      <c r="A237" s="223"/>
      <c r="B237" s="223"/>
      <c r="C237" s="223"/>
      <c r="D237" s="223"/>
      <c r="E237" s="223"/>
      <c r="F237" s="223"/>
      <c r="G237" s="223"/>
      <c r="H237" s="223"/>
      <c r="I237" s="223"/>
      <c r="J237" s="223"/>
      <c r="K237" s="223"/>
      <c r="L237" s="223"/>
      <c r="M237" s="223"/>
      <c r="N237" s="223"/>
      <c r="O237" s="223"/>
      <c r="P237" s="223"/>
      <c r="Q237" s="223"/>
      <c r="R237" s="223"/>
      <c r="S237" s="223"/>
      <c r="T237" s="223"/>
      <c r="U237" s="223"/>
      <c r="V237" s="223"/>
      <c r="W237" s="223"/>
      <c r="X237" s="223"/>
      <c r="Y237" s="223"/>
      <c r="Z237" s="223"/>
      <c r="AA237" s="223"/>
      <c r="AB237" s="223"/>
      <c r="AC237" s="223"/>
      <c r="AD237" s="223"/>
      <c r="AE237" s="223"/>
      <c r="AF237" s="223"/>
      <c r="AG237" s="223"/>
      <c r="AH237" s="223"/>
      <c r="AI237" s="223"/>
      <c r="AJ237" s="223"/>
      <c r="AK237" s="223"/>
      <c r="AL237" s="223"/>
      <c r="AM237" s="223"/>
      <c r="AN237" s="223"/>
      <c r="AO237" s="223"/>
      <c r="AP237" s="223"/>
      <c r="AQ237" s="223"/>
      <c r="AR237" s="223"/>
      <c r="AS237" s="223"/>
      <c r="AT237" s="223"/>
      <c r="AU237" s="223"/>
      <c r="AV237" s="223"/>
      <c r="AW237" s="223"/>
      <c r="AX237" s="223"/>
      <c r="AY237" s="223"/>
      <c r="AZ237" s="223"/>
      <c r="BA237" s="223"/>
      <c r="BB237" s="223"/>
      <c r="BC237" s="223"/>
      <c r="BD237" s="223"/>
      <c r="BE237" s="223"/>
      <c r="BF237" s="223"/>
      <c r="BG237" s="223"/>
      <c r="BH237" s="223"/>
      <c r="BI237" s="223"/>
    </row>
    <row r="238" spans="1:123" ht="7.4" customHeight="1" x14ac:dyDescent="0.5">
      <c r="A238" s="223"/>
      <c r="B238" s="223"/>
      <c r="C238" s="223"/>
      <c r="D238" s="223"/>
      <c r="E238" s="223"/>
      <c r="F238" s="223"/>
      <c r="G238" s="223"/>
      <c r="H238" s="223"/>
      <c r="I238" s="223"/>
      <c r="J238" s="223"/>
      <c r="K238" s="223"/>
      <c r="L238" s="223"/>
      <c r="M238" s="223"/>
      <c r="N238" s="223"/>
      <c r="O238" s="223"/>
      <c r="P238" s="223"/>
      <c r="Q238" s="223"/>
      <c r="R238" s="223"/>
      <c r="S238" s="223"/>
      <c r="T238" s="223"/>
      <c r="U238" s="223"/>
      <c r="V238" s="223"/>
      <c r="W238" s="223"/>
      <c r="X238" s="223"/>
      <c r="Y238" s="223"/>
      <c r="Z238" s="223"/>
      <c r="AA238" s="223"/>
      <c r="AB238" s="223"/>
      <c r="AC238" s="223"/>
      <c r="AD238" s="223"/>
      <c r="AE238" s="223"/>
      <c r="AF238" s="223"/>
      <c r="AG238" s="223"/>
      <c r="AH238" s="223"/>
      <c r="AI238" s="223"/>
      <c r="AJ238" s="223"/>
      <c r="AK238" s="223"/>
      <c r="AL238" s="223"/>
      <c r="AM238" s="223"/>
      <c r="AN238" s="223"/>
      <c r="AO238" s="223"/>
      <c r="AP238" s="223"/>
      <c r="AQ238" s="223"/>
      <c r="AR238" s="223"/>
      <c r="AS238" s="223"/>
      <c r="AT238" s="223"/>
      <c r="AU238" s="223"/>
      <c r="AV238" s="223"/>
      <c r="AW238" s="223"/>
      <c r="AX238" s="223"/>
      <c r="AY238" s="223"/>
      <c r="AZ238" s="223"/>
      <c r="BA238" s="223"/>
      <c r="BB238" s="223"/>
      <c r="BC238" s="223"/>
      <c r="BD238" s="223"/>
      <c r="BE238" s="223"/>
      <c r="BF238" s="223"/>
      <c r="BG238" s="223"/>
      <c r="BH238" s="223"/>
      <c r="BI238" s="223"/>
    </row>
    <row r="239" spans="1:123" ht="7.4" customHeight="1" x14ac:dyDescent="0.5">
      <c r="A239" s="223"/>
      <c r="B239" s="223"/>
      <c r="C239" s="223"/>
      <c r="D239" s="223"/>
      <c r="E239" s="223"/>
      <c r="F239" s="223"/>
      <c r="G239" s="223"/>
      <c r="H239" s="223"/>
      <c r="I239" s="223"/>
      <c r="J239" s="223"/>
      <c r="K239" s="223"/>
      <c r="L239" s="223"/>
      <c r="M239" s="223"/>
      <c r="N239" s="223"/>
      <c r="O239" s="223"/>
      <c r="P239" s="223"/>
      <c r="Q239" s="223"/>
      <c r="R239" s="223"/>
      <c r="S239" s="223"/>
      <c r="T239" s="223"/>
      <c r="U239" s="223"/>
      <c r="V239" s="223"/>
      <c r="W239" s="223"/>
      <c r="X239" s="223"/>
      <c r="Y239" s="223"/>
      <c r="Z239" s="223"/>
      <c r="AA239" s="223"/>
      <c r="AB239" s="223"/>
      <c r="AC239" s="223"/>
      <c r="AD239" s="223"/>
      <c r="AE239" s="223"/>
      <c r="AF239" s="223"/>
      <c r="AG239" s="223"/>
      <c r="AH239" s="223"/>
      <c r="AI239" s="223"/>
      <c r="AJ239" s="223"/>
      <c r="AK239" s="223"/>
      <c r="AL239" s="223"/>
      <c r="AM239" s="223"/>
      <c r="AN239" s="223"/>
      <c r="AO239" s="223"/>
      <c r="AP239" s="223"/>
      <c r="AQ239" s="223"/>
      <c r="AR239" s="223"/>
      <c r="AS239" s="223"/>
      <c r="AT239" s="223"/>
      <c r="AU239" s="223"/>
      <c r="AV239" s="223"/>
      <c r="AW239" s="223"/>
      <c r="AX239" s="223"/>
      <c r="AY239" s="223"/>
      <c r="AZ239" s="223"/>
      <c r="BA239" s="223"/>
      <c r="BB239" s="223"/>
      <c r="BC239" s="223"/>
      <c r="BD239" s="223"/>
      <c r="BE239" s="223"/>
      <c r="BF239" s="223"/>
      <c r="BG239" s="223"/>
      <c r="BH239" s="223"/>
      <c r="BI239" s="223"/>
    </row>
    <row r="240" spans="1:123" ht="7.4" customHeight="1" x14ac:dyDescent="0.5">
      <c r="A240" s="223"/>
      <c r="B240" s="223"/>
      <c r="C240" s="223"/>
      <c r="D240" s="223"/>
      <c r="E240" s="223"/>
      <c r="F240" s="223"/>
      <c r="G240" s="223"/>
      <c r="H240" s="223"/>
      <c r="I240" s="223"/>
      <c r="J240" s="223"/>
      <c r="K240" s="223"/>
      <c r="L240" s="223"/>
      <c r="M240" s="223"/>
      <c r="N240" s="223"/>
      <c r="O240" s="223"/>
      <c r="P240" s="223"/>
      <c r="Q240" s="223"/>
      <c r="R240" s="223"/>
      <c r="S240" s="223"/>
      <c r="T240" s="223"/>
      <c r="U240" s="223"/>
      <c r="V240" s="223"/>
      <c r="W240" s="223"/>
      <c r="X240" s="223"/>
      <c r="Y240" s="223"/>
      <c r="Z240" s="223"/>
      <c r="AA240" s="223"/>
      <c r="AB240" s="223"/>
      <c r="AC240" s="223"/>
      <c r="AD240" s="223"/>
      <c r="AE240" s="223"/>
      <c r="AF240" s="223"/>
      <c r="AG240" s="223"/>
      <c r="AH240" s="223"/>
      <c r="AI240" s="223"/>
      <c r="AJ240" s="223"/>
      <c r="AK240" s="223"/>
      <c r="AL240" s="223"/>
      <c r="AM240" s="223"/>
      <c r="AN240" s="223"/>
      <c r="AO240" s="223"/>
      <c r="AP240" s="223"/>
      <c r="AQ240" s="223"/>
      <c r="AR240" s="223"/>
      <c r="AS240" s="223"/>
      <c r="AT240" s="223"/>
      <c r="AU240" s="223"/>
      <c r="AV240" s="223"/>
      <c r="AW240" s="223"/>
      <c r="AX240" s="223"/>
      <c r="AY240" s="223"/>
      <c r="AZ240" s="223"/>
      <c r="BA240" s="223"/>
      <c r="BB240" s="223"/>
      <c r="BC240" s="223"/>
      <c r="BD240" s="223"/>
      <c r="BE240" s="223"/>
      <c r="BF240" s="223"/>
      <c r="BG240" s="223"/>
      <c r="BH240" s="223"/>
      <c r="BI240" s="223"/>
    </row>
    <row r="241" spans="1:61" ht="7.4" customHeight="1" x14ac:dyDescent="0.5">
      <c r="A241" s="223"/>
      <c r="B241" s="223"/>
      <c r="C241" s="223"/>
      <c r="D241" s="223"/>
      <c r="E241" s="223"/>
      <c r="F241" s="223"/>
      <c r="G241" s="223"/>
      <c r="H241" s="223"/>
      <c r="I241" s="223"/>
      <c r="J241" s="223"/>
      <c r="K241" s="223"/>
      <c r="L241" s="223"/>
      <c r="M241" s="223"/>
      <c r="N241" s="223"/>
      <c r="O241" s="223"/>
      <c r="P241" s="223"/>
      <c r="Q241" s="223"/>
      <c r="R241" s="223"/>
      <c r="S241" s="223"/>
      <c r="T241" s="223"/>
      <c r="U241" s="223"/>
      <c r="V241" s="223"/>
      <c r="W241" s="223"/>
      <c r="X241" s="223"/>
      <c r="Y241" s="223"/>
      <c r="Z241" s="223"/>
      <c r="AA241" s="223"/>
      <c r="AB241" s="223"/>
      <c r="AC241" s="223"/>
      <c r="AD241" s="223"/>
      <c r="AE241" s="223"/>
      <c r="AF241" s="223"/>
      <c r="AG241" s="223"/>
      <c r="AH241" s="223"/>
      <c r="AI241" s="223"/>
      <c r="AJ241" s="223"/>
      <c r="AK241" s="223"/>
      <c r="AL241" s="223"/>
      <c r="AM241" s="223"/>
      <c r="AN241" s="223"/>
      <c r="AO241" s="223"/>
      <c r="AP241" s="223"/>
      <c r="AQ241" s="223"/>
      <c r="AR241" s="223"/>
      <c r="AS241" s="223"/>
      <c r="AT241" s="223"/>
      <c r="AU241" s="223"/>
      <c r="AV241" s="223"/>
      <c r="AW241" s="223"/>
      <c r="AX241" s="223"/>
      <c r="AY241" s="223"/>
      <c r="AZ241" s="223"/>
      <c r="BA241" s="223"/>
      <c r="BB241" s="223"/>
      <c r="BC241" s="223"/>
      <c r="BD241" s="223"/>
      <c r="BE241" s="223"/>
      <c r="BF241" s="223"/>
      <c r="BG241" s="223"/>
      <c r="BH241" s="223"/>
      <c r="BI241" s="223"/>
    </row>
    <row r="242" spans="1:61" ht="7.4" customHeight="1" x14ac:dyDescent="0.5">
      <c r="A242" s="223"/>
      <c r="B242" s="223"/>
      <c r="C242" s="223"/>
      <c r="D242" s="223"/>
      <c r="E242" s="223"/>
      <c r="F242" s="223"/>
      <c r="G242" s="223"/>
      <c r="H242" s="223"/>
      <c r="I242" s="223"/>
      <c r="J242" s="223"/>
      <c r="K242" s="223"/>
      <c r="L242" s="223"/>
      <c r="M242" s="223"/>
      <c r="N242" s="223"/>
      <c r="O242" s="223"/>
      <c r="P242" s="223"/>
      <c r="Q242" s="223"/>
      <c r="R242" s="223"/>
      <c r="S242" s="223"/>
      <c r="T242" s="223"/>
      <c r="U242" s="223"/>
      <c r="V242" s="223"/>
      <c r="W242" s="223"/>
      <c r="X242" s="223"/>
      <c r="Y242" s="223"/>
      <c r="Z242" s="223"/>
      <c r="AA242" s="223"/>
      <c r="AB242" s="223"/>
      <c r="AC242" s="223"/>
      <c r="AD242" s="223"/>
      <c r="AE242" s="223"/>
      <c r="AF242" s="223"/>
      <c r="AG242" s="223"/>
      <c r="AH242" s="223"/>
      <c r="AI242" s="223"/>
      <c r="AJ242" s="223"/>
      <c r="AK242" s="223"/>
      <c r="AL242" s="223"/>
      <c r="AM242" s="223"/>
      <c r="AN242" s="223"/>
      <c r="AO242" s="223"/>
      <c r="AP242" s="223"/>
      <c r="AQ242" s="223"/>
      <c r="AR242" s="223"/>
      <c r="AS242" s="223"/>
      <c r="AT242" s="223"/>
      <c r="AU242" s="223"/>
      <c r="AV242" s="223"/>
      <c r="AW242" s="223"/>
      <c r="AX242" s="223"/>
      <c r="AY242" s="223"/>
      <c r="AZ242" s="223"/>
      <c r="BA242" s="223"/>
      <c r="BB242" s="223"/>
      <c r="BC242" s="223"/>
      <c r="BD242" s="223"/>
      <c r="BE242" s="223"/>
      <c r="BF242" s="223"/>
      <c r="BG242" s="223"/>
      <c r="BH242" s="223"/>
      <c r="BI242" s="223"/>
    </row>
    <row r="243" spans="1:61" ht="7.4" customHeight="1" x14ac:dyDescent="0.5">
      <c r="A243" s="223"/>
      <c r="B243" s="223"/>
      <c r="C243" s="223"/>
      <c r="D243" s="223"/>
      <c r="E243" s="223"/>
      <c r="F243" s="223"/>
      <c r="G243" s="223"/>
      <c r="H243" s="223"/>
      <c r="I243" s="223"/>
      <c r="J243" s="223"/>
      <c r="K243" s="223"/>
      <c r="L243" s="223"/>
      <c r="M243" s="223"/>
      <c r="N243" s="223"/>
      <c r="O243" s="223"/>
      <c r="P243" s="223"/>
      <c r="Q243" s="223"/>
      <c r="R243" s="223"/>
      <c r="S243" s="223"/>
      <c r="T243" s="223"/>
      <c r="U243" s="223"/>
      <c r="V243" s="223"/>
      <c r="W243" s="223"/>
      <c r="X243" s="223"/>
      <c r="Y243" s="223"/>
      <c r="Z243" s="223"/>
      <c r="AA243" s="223"/>
      <c r="AB243" s="223"/>
      <c r="AC243" s="223"/>
      <c r="AD243" s="223"/>
      <c r="AE243" s="223"/>
      <c r="AF243" s="223"/>
      <c r="AG243" s="223"/>
      <c r="AH243" s="223"/>
      <c r="AI243" s="223"/>
      <c r="AJ243" s="223"/>
      <c r="AK243" s="223"/>
      <c r="AL243" s="223"/>
      <c r="AM243" s="223"/>
      <c r="AN243" s="223"/>
      <c r="AO243" s="223"/>
      <c r="AP243" s="223"/>
      <c r="AQ243" s="223"/>
      <c r="AR243" s="223"/>
      <c r="AS243" s="223"/>
      <c r="AT243" s="223"/>
      <c r="AU243" s="223"/>
      <c r="AV243" s="223"/>
      <c r="AW243" s="223"/>
      <c r="AX243" s="223"/>
      <c r="AY243" s="223"/>
      <c r="AZ243" s="223"/>
      <c r="BA243" s="223"/>
      <c r="BB243" s="223"/>
      <c r="BC243" s="223"/>
      <c r="BD243" s="223"/>
      <c r="BE243" s="223"/>
      <c r="BF243" s="223"/>
      <c r="BG243" s="223"/>
      <c r="BH243" s="223"/>
      <c r="BI243" s="223"/>
    </row>
    <row r="244" spans="1:61" ht="7.4" customHeight="1" x14ac:dyDescent="0.5">
      <c r="A244" s="223"/>
      <c r="B244" s="223"/>
      <c r="C244" s="223"/>
      <c r="D244" s="223"/>
      <c r="E244" s="223"/>
      <c r="F244" s="223"/>
      <c r="G244" s="223"/>
      <c r="H244" s="223"/>
      <c r="I244" s="223"/>
      <c r="J244" s="223"/>
      <c r="K244" s="223"/>
      <c r="L244" s="223"/>
      <c r="M244" s="223"/>
      <c r="N244" s="223"/>
      <c r="O244" s="223"/>
      <c r="P244" s="223"/>
      <c r="Q244" s="223"/>
      <c r="R244" s="223"/>
      <c r="S244" s="223"/>
      <c r="T244" s="223"/>
      <c r="U244" s="223"/>
      <c r="V244" s="223"/>
      <c r="W244" s="223"/>
      <c r="X244" s="223"/>
      <c r="Y244" s="223"/>
      <c r="Z244" s="223"/>
      <c r="AA244" s="223"/>
      <c r="AB244" s="223"/>
      <c r="AC244" s="223"/>
      <c r="AD244" s="223"/>
      <c r="AE244" s="223"/>
      <c r="AF244" s="223"/>
      <c r="AG244" s="223"/>
      <c r="AH244" s="223"/>
      <c r="AI244" s="223"/>
      <c r="AJ244" s="223"/>
      <c r="AK244" s="223"/>
      <c r="AL244" s="223"/>
      <c r="AM244" s="223"/>
      <c r="AN244" s="223"/>
      <c r="AO244" s="223"/>
      <c r="AP244" s="223"/>
      <c r="AQ244" s="223"/>
      <c r="AR244" s="223"/>
      <c r="AS244" s="223"/>
      <c r="AT244" s="223"/>
      <c r="AU244" s="223"/>
      <c r="AV244" s="223"/>
      <c r="AW244" s="223"/>
      <c r="AX244" s="223"/>
      <c r="AY244" s="223"/>
      <c r="AZ244" s="223"/>
      <c r="BA244" s="223"/>
      <c r="BB244" s="223"/>
      <c r="BC244" s="223"/>
      <c r="BD244" s="223"/>
      <c r="BE244" s="223"/>
      <c r="BF244" s="223"/>
      <c r="BG244" s="223"/>
      <c r="BH244" s="223"/>
      <c r="BI244" s="223"/>
    </row>
    <row r="245" spans="1:61" ht="7.4" customHeight="1" x14ac:dyDescent="0.5">
      <c r="A245" s="223"/>
      <c r="B245" s="223"/>
      <c r="C245" s="223"/>
      <c r="D245" s="223"/>
      <c r="E245" s="223"/>
      <c r="F245" s="223"/>
      <c r="G245" s="223"/>
      <c r="H245" s="223"/>
      <c r="I245" s="223"/>
      <c r="J245" s="223"/>
      <c r="K245" s="223"/>
      <c r="L245" s="223"/>
      <c r="M245" s="223"/>
      <c r="N245" s="223"/>
      <c r="O245" s="223"/>
      <c r="P245" s="223"/>
      <c r="Q245" s="223"/>
      <c r="R245" s="223"/>
      <c r="S245" s="223"/>
      <c r="T245" s="223"/>
      <c r="U245" s="223"/>
      <c r="V245" s="223"/>
      <c r="W245" s="223"/>
      <c r="X245" s="223"/>
      <c r="Y245" s="223"/>
      <c r="Z245" s="223"/>
      <c r="AA245" s="223"/>
      <c r="AB245" s="223"/>
      <c r="AC245" s="223"/>
      <c r="AD245" s="223"/>
      <c r="AE245" s="223"/>
      <c r="AF245" s="223"/>
      <c r="AG245" s="223"/>
      <c r="AH245" s="223"/>
      <c r="AI245" s="223"/>
      <c r="AJ245" s="223"/>
      <c r="AK245" s="223"/>
      <c r="AL245" s="223"/>
      <c r="AM245" s="223"/>
      <c r="AN245" s="223"/>
      <c r="AO245" s="223"/>
      <c r="AP245" s="223"/>
      <c r="AQ245" s="223"/>
      <c r="AR245" s="223"/>
      <c r="AS245" s="223"/>
      <c r="AT245" s="223"/>
      <c r="AU245" s="223"/>
      <c r="AV245" s="223"/>
      <c r="AW245" s="223"/>
      <c r="AX245" s="223"/>
      <c r="AY245" s="223"/>
      <c r="AZ245" s="223"/>
      <c r="BA245" s="223"/>
      <c r="BB245" s="223"/>
      <c r="BC245" s="223"/>
      <c r="BD245" s="223"/>
      <c r="BE245" s="223"/>
      <c r="BF245" s="223"/>
      <c r="BG245" s="223"/>
      <c r="BH245" s="223"/>
      <c r="BI245" s="223"/>
    </row>
    <row r="246" spans="1:61" ht="7.4" customHeight="1" x14ac:dyDescent="0.5">
      <c r="A246" s="223"/>
      <c r="B246" s="223"/>
      <c r="C246" s="223"/>
      <c r="D246" s="223"/>
      <c r="E246" s="223"/>
      <c r="F246" s="223"/>
      <c r="G246" s="223"/>
      <c r="H246" s="223"/>
      <c r="I246" s="223"/>
      <c r="J246" s="223"/>
      <c r="K246" s="223"/>
      <c r="L246" s="223"/>
      <c r="M246" s="223"/>
      <c r="N246" s="223"/>
      <c r="O246" s="223"/>
      <c r="P246" s="223"/>
      <c r="Q246" s="223"/>
      <c r="R246" s="223"/>
      <c r="S246" s="223"/>
      <c r="T246" s="223"/>
      <c r="U246" s="223"/>
      <c r="V246" s="223"/>
      <c r="W246" s="223"/>
      <c r="X246" s="223"/>
      <c r="Y246" s="223"/>
      <c r="Z246" s="223"/>
      <c r="AA246" s="223"/>
      <c r="AB246" s="223"/>
      <c r="AC246" s="223"/>
      <c r="AD246" s="223"/>
      <c r="AE246" s="223"/>
      <c r="AF246" s="223"/>
      <c r="AG246" s="223"/>
      <c r="AH246" s="223"/>
      <c r="AI246" s="223"/>
      <c r="AJ246" s="223"/>
      <c r="AK246" s="223"/>
      <c r="AL246" s="223"/>
      <c r="AM246" s="223"/>
      <c r="AN246" s="223"/>
      <c r="AO246" s="223"/>
      <c r="AP246" s="223"/>
      <c r="AQ246" s="223"/>
      <c r="AR246" s="223"/>
      <c r="AS246" s="223"/>
      <c r="AT246" s="223"/>
      <c r="AU246" s="223"/>
      <c r="AV246" s="223"/>
      <c r="AW246" s="223"/>
      <c r="AX246" s="223"/>
      <c r="AY246" s="223"/>
      <c r="AZ246" s="223"/>
      <c r="BA246" s="223"/>
      <c r="BB246" s="223"/>
      <c r="BC246" s="223"/>
      <c r="BD246" s="223"/>
      <c r="BE246" s="223"/>
      <c r="BF246" s="223"/>
      <c r="BG246" s="223"/>
      <c r="BH246" s="223"/>
      <c r="BI246" s="223"/>
    </row>
    <row r="247" spans="1:61" ht="7.4" customHeight="1" x14ac:dyDescent="0.5">
      <c r="A247" s="223"/>
      <c r="B247" s="223"/>
      <c r="C247" s="223"/>
      <c r="D247" s="223"/>
      <c r="E247" s="223"/>
      <c r="F247" s="223"/>
      <c r="G247" s="223"/>
      <c r="H247" s="223"/>
      <c r="I247" s="223"/>
      <c r="J247" s="223"/>
      <c r="K247" s="223"/>
      <c r="L247" s="223"/>
      <c r="M247" s="223"/>
      <c r="N247" s="223"/>
      <c r="O247" s="223"/>
      <c r="P247" s="223"/>
      <c r="Q247" s="223"/>
      <c r="R247" s="223"/>
      <c r="S247" s="223"/>
      <c r="T247" s="223"/>
      <c r="U247" s="223"/>
      <c r="V247" s="223"/>
      <c r="W247" s="223"/>
      <c r="X247" s="223"/>
      <c r="Y247" s="223"/>
      <c r="Z247" s="223"/>
      <c r="AA247" s="223"/>
      <c r="AB247" s="223"/>
      <c r="AC247" s="223"/>
      <c r="AD247" s="223"/>
      <c r="AE247" s="223"/>
      <c r="AF247" s="223"/>
      <c r="AG247" s="223"/>
      <c r="AH247" s="223"/>
      <c r="AI247" s="223"/>
      <c r="AJ247" s="223"/>
      <c r="AK247" s="223"/>
      <c r="AL247" s="223"/>
      <c r="AM247" s="223"/>
      <c r="AN247" s="223"/>
      <c r="AO247" s="223"/>
      <c r="AP247" s="223"/>
      <c r="AQ247" s="223"/>
      <c r="AR247" s="223"/>
      <c r="AS247" s="223"/>
      <c r="AT247" s="223"/>
      <c r="AU247" s="223"/>
      <c r="AV247" s="223"/>
      <c r="AW247" s="223"/>
      <c r="AX247" s="223"/>
      <c r="AY247" s="223"/>
      <c r="AZ247" s="223"/>
      <c r="BA247" s="223"/>
      <c r="BB247" s="223"/>
      <c r="BC247" s="223"/>
      <c r="BD247" s="223"/>
      <c r="BE247" s="223"/>
      <c r="BF247" s="223"/>
      <c r="BG247" s="223"/>
      <c r="BH247" s="223"/>
      <c r="BI247" s="223"/>
    </row>
    <row r="248" spans="1:61" ht="7.4" customHeight="1" x14ac:dyDescent="0.5">
      <c r="A248" s="223"/>
      <c r="B248" s="223"/>
      <c r="C248" s="223"/>
      <c r="D248" s="223"/>
      <c r="E248" s="223"/>
      <c r="F248" s="223"/>
      <c r="G248" s="223"/>
      <c r="H248" s="223"/>
      <c r="I248" s="223"/>
      <c r="J248" s="223"/>
      <c r="K248" s="223"/>
      <c r="L248" s="223"/>
      <c r="M248" s="223"/>
      <c r="N248" s="223"/>
      <c r="O248" s="223"/>
      <c r="P248" s="223"/>
      <c r="Q248" s="223"/>
      <c r="R248" s="223"/>
      <c r="S248" s="223"/>
      <c r="T248" s="223"/>
      <c r="U248" s="223"/>
      <c r="V248" s="223"/>
      <c r="W248" s="223"/>
      <c r="X248" s="223"/>
      <c r="Y248" s="223"/>
      <c r="Z248" s="223"/>
      <c r="AA248" s="223"/>
      <c r="AB248" s="223"/>
      <c r="AC248" s="223"/>
      <c r="AD248" s="223"/>
      <c r="AE248" s="223"/>
      <c r="AF248" s="223"/>
      <c r="AG248" s="223"/>
      <c r="AH248" s="223"/>
      <c r="AI248" s="223"/>
      <c r="AJ248" s="223"/>
      <c r="AK248" s="223"/>
      <c r="AL248" s="223"/>
      <c r="AM248" s="223"/>
      <c r="AN248" s="223"/>
      <c r="AO248" s="223"/>
      <c r="AP248" s="223"/>
      <c r="AQ248" s="223"/>
      <c r="AR248" s="223"/>
      <c r="AS248" s="223"/>
      <c r="AT248" s="223"/>
      <c r="AU248" s="223"/>
      <c r="AV248" s="223"/>
      <c r="AW248" s="223"/>
      <c r="AX248" s="223"/>
      <c r="AY248" s="223"/>
      <c r="AZ248" s="223"/>
      <c r="BA248" s="223"/>
      <c r="BB248" s="223"/>
      <c r="BC248" s="223"/>
      <c r="BD248" s="223"/>
      <c r="BE248" s="223"/>
      <c r="BF248" s="223"/>
      <c r="BG248" s="223"/>
      <c r="BH248" s="223"/>
      <c r="BI248" s="223"/>
    </row>
    <row r="249" spans="1:61" ht="7.4" customHeight="1" x14ac:dyDescent="0.5">
      <c r="A249" s="223"/>
      <c r="B249" s="223"/>
      <c r="C249" s="223"/>
      <c r="D249" s="223"/>
      <c r="E249" s="223"/>
      <c r="F249" s="223"/>
      <c r="G249" s="223"/>
      <c r="H249" s="223"/>
      <c r="I249" s="223"/>
      <c r="J249" s="223"/>
      <c r="K249" s="223"/>
      <c r="L249" s="223"/>
      <c r="M249" s="223"/>
      <c r="N249" s="223"/>
      <c r="O249" s="223"/>
      <c r="P249" s="223"/>
      <c r="Q249" s="223"/>
      <c r="R249" s="223"/>
      <c r="S249" s="223"/>
      <c r="T249" s="223"/>
      <c r="U249" s="223"/>
      <c r="V249" s="223"/>
      <c r="W249" s="223"/>
      <c r="X249" s="223"/>
      <c r="Y249" s="223"/>
      <c r="Z249" s="223"/>
      <c r="AA249" s="223"/>
      <c r="AB249" s="223"/>
      <c r="AC249" s="223"/>
      <c r="AD249" s="223"/>
      <c r="AE249" s="223"/>
      <c r="AF249" s="223"/>
      <c r="AG249" s="223"/>
      <c r="AH249" s="223"/>
      <c r="AI249" s="223"/>
      <c r="AJ249" s="223"/>
      <c r="AK249" s="223"/>
      <c r="AL249" s="223"/>
      <c r="AM249" s="223"/>
      <c r="AN249" s="223"/>
      <c r="AO249" s="223"/>
      <c r="AP249" s="223"/>
      <c r="AQ249" s="223"/>
      <c r="AR249" s="223"/>
      <c r="AS249" s="223"/>
      <c r="AT249" s="223"/>
      <c r="AU249" s="223"/>
      <c r="AV249" s="223"/>
      <c r="AW249" s="223"/>
      <c r="AX249" s="223"/>
      <c r="AY249" s="223"/>
      <c r="AZ249" s="223"/>
      <c r="BA249" s="223"/>
      <c r="BB249" s="223"/>
      <c r="BC249" s="223"/>
      <c r="BD249" s="223"/>
      <c r="BE249" s="223"/>
      <c r="BF249" s="223"/>
      <c r="BG249" s="223"/>
      <c r="BH249" s="223"/>
      <c r="BI249" s="223"/>
    </row>
    <row r="250" spans="1:61" ht="7.4" customHeight="1" x14ac:dyDescent="0.5">
      <c r="A250" s="223"/>
      <c r="B250" s="223"/>
      <c r="C250" s="223"/>
      <c r="D250" s="223"/>
      <c r="E250" s="223"/>
      <c r="F250" s="223"/>
      <c r="G250" s="223"/>
      <c r="H250" s="223"/>
      <c r="I250" s="223"/>
      <c r="J250" s="223"/>
      <c r="K250" s="223"/>
      <c r="L250" s="223"/>
      <c r="M250" s="223"/>
      <c r="N250" s="223"/>
      <c r="O250" s="223"/>
      <c r="P250" s="223"/>
      <c r="Q250" s="223"/>
      <c r="R250" s="223"/>
      <c r="S250" s="223"/>
      <c r="T250" s="223"/>
      <c r="U250" s="223"/>
      <c r="V250" s="223"/>
      <c r="W250" s="223"/>
      <c r="X250" s="223"/>
      <c r="Y250" s="223"/>
      <c r="Z250" s="223"/>
      <c r="AA250" s="223"/>
      <c r="AB250" s="223"/>
      <c r="AC250" s="223"/>
      <c r="AD250" s="223"/>
      <c r="AE250" s="223"/>
      <c r="AF250" s="223"/>
      <c r="AG250" s="223"/>
      <c r="AH250" s="223"/>
      <c r="AI250" s="223"/>
      <c r="AJ250" s="223"/>
      <c r="AK250" s="223"/>
      <c r="AL250" s="223"/>
      <c r="AM250" s="223"/>
      <c r="AN250" s="223"/>
      <c r="AO250" s="223"/>
      <c r="AP250" s="223"/>
      <c r="AQ250" s="223"/>
      <c r="AR250" s="223"/>
      <c r="AS250" s="223"/>
      <c r="AT250" s="223"/>
      <c r="AU250" s="223"/>
      <c r="AV250" s="223"/>
      <c r="AW250" s="223"/>
      <c r="AX250" s="223"/>
      <c r="AY250" s="223"/>
      <c r="AZ250" s="223"/>
      <c r="BA250" s="223"/>
      <c r="BB250" s="223"/>
      <c r="BC250" s="223"/>
      <c r="BD250" s="223"/>
      <c r="BE250" s="223"/>
      <c r="BF250" s="223"/>
      <c r="BG250" s="223"/>
      <c r="BH250" s="223"/>
      <c r="BI250" s="223"/>
    </row>
    <row r="251" spans="1:61" ht="7.4" customHeight="1" x14ac:dyDescent="0.5">
      <c r="A251" s="223"/>
      <c r="B251" s="223"/>
      <c r="C251" s="223"/>
      <c r="D251" s="223"/>
      <c r="E251" s="223"/>
      <c r="F251" s="223"/>
      <c r="G251" s="223"/>
      <c r="H251" s="223"/>
      <c r="I251" s="223"/>
      <c r="J251" s="223"/>
      <c r="K251" s="223"/>
      <c r="L251" s="223"/>
      <c r="M251" s="223"/>
      <c r="N251" s="223"/>
      <c r="O251" s="223"/>
      <c r="P251" s="223"/>
      <c r="Q251" s="223"/>
      <c r="R251" s="223"/>
      <c r="S251" s="223"/>
      <c r="T251" s="223"/>
      <c r="U251" s="223"/>
      <c r="V251" s="223"/>
      <c r="W251" s="223"/>
      <c r="X251" s="223"/>
      <c r="Y251" s="223"/>
      <c r="Z251" s="223"/>
      <c r="AA251" s="223"/>
      <c r="AB251" s="223"/>
      <c r="AC251" s="223"/>
      <c r="AD251" s="223"/>
      <c r="AE251" s="223"/>
      <c r="AF251" s="223"/>
      <c r="AG251" s="223"/>
      <c r="AH251" s="223"/>
      <c r="AI251" s="223"/>
      <c r="AJ251" s="223"/>
      <c r="AK251" s="223"/>
      <c r="AL251" s="223"/>
      <c r="AM251" s="223"/>
      <c r="AN251" s="223"/>
      <c r="AO251" s="223"/>
      <c r="AP251" s="223"/>
      <c r="AQ251" s="223"/>
      <c r="AR251" s="223"/>
      <c r="AS251" s="223"/>
      <c r="AT251" s="223"/>
      <c r="AU251" s="223"/>
      <c r="AV251" s="223"/>
      <c r="AW251" s="223"/>
      <c r="AX251" s="223"/>
      <c r="AY251" s="223"/>
      <c r="AZ251" s="223"/>
      <c r="BA251" s="223"/>
      <c r="BB251" s="223"/>
      <c r="BC251" s="223"/>
      <c r="BD251" s="223"/>
      <c r="BE251" s="223"/>
      <c r="BF251" s="223"/>
      <c r="BG251" s="223"/>
      <c r="BH251" s="223"/>
      <c r="BI251" s="223"/>
    </row>
    <row r="252" spans="1:61" ht="7.4" customHeight="1" x14ac:dyDescent="0.5">
      <c r="A252" s="223"/>
      <c r="B252" s="223"/>
      <c r="C252" s="223"/>
      <c r="D252" s="223"/>
      <c r="E252" s="223"/>
      <c r="F252" s="223"/>
      <c r="G252" s="223"/>
      <c r="H252" s="223"/>
      <c r="I252" s="223"/>
      <c r="J252" s="223"/>
      <c r="K252" s="223"/>
      <c r="L252" s="223"/>
      <c r="M252" s="223"/>
      <c r="N252" s="223"/>
      <c r="O252" s="223"/>
      <c r="P252" s="223"/>
      <c r="Q252" s="223"/>
      <c r="R252" s="223"/>
      <c r="S252" s="223"/>
      <c r="T252" s="223"/>
      <c r="U252" s="223"/>
      <c r="V252" s="223"/>
      <c r="W252" s="223"/>
      <c r="X252" s="223"/>
      <c r="Y252" s="223"/>
      <c r="Z252" s="223"/>
      <c r="AA252" s="223"/>
      <c r="AB252" s="223"/>
      <c r="AC252" s="223"/>
      <c r="AD252" s="223"/>
      <c r="AE252" s="223"/>
      <c r="AF252" s="223"/>
      <c r="AG252" s="223"/>
      <c r="AH252" s="223"/>
      <c r="AI252" s="223"/>
      <c r="AJ252" s="223"/>
      <c r="AK252" s="223"/>
      <c r="AL252" s="223"/>
      <c r="AM252" s="223"/>
      <c r="AN252" s="223"/>
      <c r="AO252" s="223"/>
      <c r="AP252" s="223"/>
      <c r="AQ252" s="223"/>
      <c r="AR252" s="223"/>
      <c r="AS252" s="223"/>
      <c r="AT252" s="223"/>
      <c r="AU252" s="223"/>
      <c r="AV252" s="223"/>
      <c r="AW252" s="223"/>
      <c r="AX252" s="223"/>
      <c r="AY252" s="223"/>
      <c r="AZ252" s="223"/>
      <c r="BA252" s="223"/>
      <c r="BB252" s="223"/>
      <c r="BC252" s="223"/>
      <c r="BD252" s="223"/>
      <c r="BE252" s="223"/>
      <c r="BF252" s="223"/>
      <c r="BG252" s="223"/>
      <c r="BH252" s="223"/>
      <c r="BI252" s="223"/>
    </row>
    <row r="253" spans="1:61" ht="7.4" customHeight="1" x14ac:dyDescent="0.5">
      <c r="A253" s="223"/>
      <c r="B253" s="223"/>
      <c r="C253" s="223"/>
      <c r="D253" s="223"/>
      <c r="E253" s="223"/>
      <c r="F253" s="223"/>
      <c r="G253" s="223"/>
      <c r="H253" s="223"/>
      <c r="I253" s="223"/>
      <c r="J253" s="223"/>
      <c r="K253" s="223"/>
      <c r="L253" s="223"/>
      <c r="M253" s="223"/>
      <c r="N253" s="223"/>
      <c r="O253" s="223"/>
      <c r="P253" s="223"/>
      <c r="Q253" s="223"/>
      <c r="R253" s="223"/>
      <c r="S253" s="223"/>
      <c r="T253" s="223"/>
      <c r="U253" s="223"/>
      <c r="V253" s="223"/>
      <c r="W253" s="223"/>
      <c r="X253" s="223"/>
      <c r="Y253" s="223"/>
      <c r="Z253" s="223"/>
      <c r="AA253" s="223"/>
      <c r="AB253" s="223"/>
      <c r="AC253" s="223"/>
      <c r="AD253" s="223"/>
      <c r="AE253" s="223"/>
      <c r="AF253" s="223"/>
      <c r="AG253" s="223"/>
      <c r="AH253" s="223"/>
      <c r="AI253" s="223"/>
      <c r="AJ253" s="223"/>
      <c r="AK253" s="223"/>
      <c r="AL253" s="223"/>
      <c r="AM253" s="223"/>
      <c r="AN253" s="223"/>
      <c r="AO253" s="223"/>
      <c r="AP253" s="223"/>
      <c r="AQ253" s="223"/>
      <c r="AR253" s="223"/>
      <c r="AS253" s="223"/>
      <c r="AT253" s="223"/>
      <c r="AU253" s="223"/>
      <c r="AV253" s="223"/>
      <c r="AW253" s="223"/>
      <c r="AX253" s="223"/>
      <c r="AY253" s="223"/>
      <c r="AZ253" s="223"/>
      <c r="BA253" s="223"/>
      <c r="BB253" s="223"/>
      <c r="BC253" s="223"/>
      <c r="BD253" s="223"/>
      <c r="BE253" s="223"/>
      <c r="BF253" s="223"/>
      <c r="BG253" s="223"/>
      <c r="BH253" s="223"/>
      <c r="BI253" s="223"/>
    </row>
    <row r="254" spans="1:61" ht="7.4" customHeight="1" x14ac:dyDescent="0.5">
      <c r="A254" s="223"/>
      <c r="B254" s="223"/>
      <c r="C254" s="223"/>
      <c r="D254" s="223"/>
      <c r="E254" s="223"/>
      <c r="F254" s="223"/>
      <c r="G254" s="223"/>
      <c r="H254" s="223"/>
      <c r="I254" s="223"/>
      <c r="J254" s="223"/>
      <c r="K254" s="223"/>
      <c r="L254" s="223"/>
      <c r="M254" s="223"/>
      <c r="N254" s="223"/>
      <c r="O254" s="223"/>
      <c r="P254" s="223"/>
      <c r="Q254" s="223"/>
      <c r="R254" s="223"/>
      <c r="S254" s="223"/>
      <c r="T254" s="223"/>
      <c r="U254" s="223"/>
      <c r="V254" s="223"/>
      <c r="W254" s="223"/>
      <c r="X254" s="223"/>
      <c r="Y254" s="223"/>
      <c r="Z254" s="223"/>
      <c r="AA254" s="223"/>
      <c r="AB254" s="223"/>
      <c r="AC254" s="223"/>
      <c r="AD254" s="223"/>
      <c r="AE254" s="223"/>
      <c r="AF254" s="223"/>
      <c r="AG254" s="223"/>
      <c r="AH254" s="223"/>
      <c r="AI254" s="223"/>
      <c r="AJ254" s="223"/>
      <c r="AK254" s="223"/>
      <c r="AL254" s="223"/>
      <c r="AM254" s="223"/>
      <c r="AN254" s="223"/>
      <c r="AO254" s="223"/>
      <c r="AP254" s="223"/>
      <c r="AQ254" s="223"/>
      <c r="AR254" s="223"/>
      <c r="AS254" s="223"/>
      <c r="AT254" s="223"/>
      <c r="AU254" s="223"/>
      <c r="AV254" s="223"/>
      <c r="AW254" s="223"/>
      <c r="AX254" s="223"/>
      <c r="AY254" s="223"/>
      <c r="AZ254" s="223"/>
      <c r="BA254" s="223"/>
      <c r="BB254" s="223"/>
      <c r="BC254" s="223"/>
      <c r="BD254" s="223"/>
      <c r="BE254" s="223"/>
      <c r="BF254" s="223"/>
      <c r="BG254" s="223"/>
      <c r="BH254" s="223"/>
      <c r="BI254" s="223"/>
    </row>
    <row r="255" spans="1:61" ht="7.4" customHeight="1" x14ac:dyDescent="0.5">
      <c r="A255" s="223"/>
      <c r="B255" s="223"/>
      <c r="C255" s="223"/>
      <c r="D255" s="223"/>
      <c r="E255" s="223"/>
      <c r="F255" s="223"/>
      <c r="G255" s="223"/>
      <c r="H255" s="223"/>
      <c r="I255" s="223"/>
      <c r="J255" s="223"/>
      <c r="K255" s="223"/>
      <c r="L255" s="223"/>
      <c r="M255" s="223"/>
      <c r="N255" s="223"/>
      <c r="O255" s="223"/>
      <c r="P255" s="223"/>
      <c r="Q255" s="223"/>
      <c r="R255" s="223"/>
      <c r="S255" s="223"/>
      <c r="T255" s="223"/>
      <c r="U255" s="223"/>
      <c r="V255" s="223"/>
      <c r="W255" s="223"/>
      <c r="X255" s="223"/>
      <c r="Y255" s="223"/>
      <c r="Z255" s="223"/>
      <c r="AA255" s="223"/>
      <c r="AB255" s="223"/>
      <c r="AC255" s="223"/>
      <c r="AD255" s="223"/>
      <c r="AE255" s="223"/>
      <c r="AF255" s="223"/>
      <c r="AG255" s="223"/>
      <c r="AH255" s="223"/>
      <c r="AI255" s="223"/>
      <c r="AJ255" s="223"/>
      <c r="AK255" s="223"/>
      <c r="AL255" s="223"/>
      <c r="AM255" s="223"/>
      <c r="AN255" s="223"/>
      <c r="AO255" s="223"/>
      <c r="AP255" s="223"/>
      <c r="AQ255" s="223"/>
      <c r="AR255" s="223"/>
      <c r="AS255" s="223"/>
      <c r="AT255" s="223"/>
      <c r="AU255" s="223"/>
      <c r="AV255" s="223"/>
      <c r="AW255" s="223"/>
      <c r="AX255" s="223"/>
      <c r="AY255" s="223"/>
      <c r="AZ255" s="223"/>
      <c r="BA255" s="223"/>
      <c r="BB255" s="223"/>
      <c r="BC255" s="223"/>
      <c r="BD255" s="223"/>
      <c r="BE255" s="223"/>
      <c r="BF255" s="223"/>
      <c r="BG255" s="223"/>
      <c r="BH255" s="223"/>
      <c r="BI255" s="223"/>
    </row>
    <row r="256" spans="1:61" ht="7.4" customHeight="1" x14ac:dyDescent="0.5">
      <c r="A256" s="223"/>
      <c r="B256" s="223"/>
      <c r="C256" s="223"/>
      <c r="D256" s="223"/>
      <c r="E256" s="223"/>
      <c r="F256" s="223"/>
      <c r="G256" s="223"/>
      <c r="H256" s="223"/>
      <c r="I256" s="223"/>
      <c r="J256" s="223"/>
      <c r="K256" s="223"/>
      <c r="L256" s="223"/>
      <c r="M256" s="223"/>
      <c r="N256" s="223"/>
      <c r="O256" s="223"/>
      <c r="P256" s="223"/>
      <c r="Q256" s="223"/>
      <c r="R256" s="223"/>
      <c r="S256" s="223"/>
      <c r="T256" s="223"/>
      <c r="U256" s="223"/>
      <c r="V256" s="223"/>
      <c r="W256" s="223"/>
      <c r="X256" s="223"/>
      <c r="Y256" s="223"/>
      <c r="Z256" s="223"/>
      <c r="AA256" s="223"/>
      <c r="AB256" s="223"/>
      <c r="AC256" s="223"/>
      <c r="AD256" s="223"/>
      <c r="AE256" s="223"/>
      <c r="AF256" s="223"/>
      <c r="AG256" s="223"/>
      <c r="AH256" s="223"/>
      <c r="AI256" s="223"/>
      <c r="AJ256" s="223"/>
      <c r="AK256" s="223"/>
      <c r="AL256" s="223"/>
      <c r="AM256" s="223"/>
      <c r="AN256" s="223"/>
      <c r="AO256" s="223"/>
      <c r="AP256" s="223"/>
      <c r="AQ256" s="223"/>
      <c r="AR256" s="223"/>
      <c r="AS256" s="223"/>
      <c r="AT256" s="223"/>
      <c r="AU256" s="223"/>
      <c r="AV256" s="223"/>
      <c r="AW256" s="223"/>
      <c r="AX256" s="223"/>
      <c r="AY256" s="223"/>
      <c r="AZ256" s="223"/>
      <c r="BA256" s="223"/>
      <c r="BB256" s="223"/>
      <c r="BC256" s="223"/>
      <c r="BD256" s="223"/>
      <c r="BE256" s="223"/>
      <c r="BF256" s="223"/>
      <c r="BG256" s="223"/>
      <c r="BH256" s="223"/>
      <c r="BI256" s="223"/>
    </row>
    <row r="257" spans="1:61" ht="7.4" customHeight="1" x14ac:dyDescent="0.5">
      <c r="A257" s="223"/>
      <c r="B257" s="223"/>
      <c r="C257" s="223"/>
      <c r="D257" s="223"/>
      <c r="E257" s="223"/>
      <c r="F257" s="223"/>
      <c r="G257" s="223"/>
      <c r="H257" s="223"/>
      <c r="I257" s="223"/>
      <c r="J257" s="223"/>
      <c r="K257" s="223"/>
      <c r="L257" s="223"/>
      <c r="M257" s="223"/>
      <c r="N257" s="223"/>
      <c r="O257" s="223"/>
      <c r="P257" s="223"/>
      <c r="Q257" s="223"/>
      <c r="R257" s="223"/>
      <c r="S257" s="223"/>
      <c r="T257" s="223"/>
      <c r="U257" s="223"/>
      <c r="V257" s="223"/>
      <c r="W257" s="223"/>
      <c r="X257" s="223"/>
      <c r="Y257" s="223"/>
      <c r="Z257" s="223"/>
      <c r="AA257" s="223"/>
      <c r="AB257" s="223"/>
      <c r="AC257" s="223"/>
      <c r="AD257" s="223"/>
      <c r="AE257" s="223"/>
      <c r="AF257" s="223"/>
      <c r="AG257" s="223"/>
      <c r="AH257" s="223"/>
      <c r="AI257" s="223"/>
      <c r="AJ257" s="223"/>
      <c r="AK257" s="223"/>
      <c r="AL257" s="223"/>
      <c r="AM257" s="223"/>
      <c r="AN257" s="223"/>
      <c r="AO257" s="223"/>
      <c r="AP257" s="223"/>
      <c r="AQ257" s="223"/>
      <c r="AR257" s="223"/>
      <c r="AS257" s="223"/>
      <c r="AT257" s="223"/>
      <c r="AU257" s="223"/>
      <c r="AV257" s="223"/>
      <c r="AW257" s="223"/>
      <c r="AX257" s="223"/>
      <c r="AY257" s="223"/>
      <c r="AZ257" s="223"/>
      <c r="BA257" s="223"/>
      <c r="BB257" s="223"/>
      <c r="BC257" s="223"/>
      <c r="BD257" s="223"/>
      <c r="BE257" s="223"/>
      <c r="BF257" s="223"/>
      <c r="BG257" s="223"/>
      <c r="BH257" s="223"/>
      <c r="BI257" s="223"/>
    </row>
    <row r="258" spans="1:61" ht="7.4" customHeight="1" x14ac:dyDescent="0.5">
      <c r="A258" s="223"/>
      <c r="B258" s="223"/>
      <c r="C258" s="223"/>
      <c r="D258" s="223"/>
      <c r="E258" s="223"/>
      <c r="F258" s="223"/>
      <c r="G258" s="223"/>
      <c r="H258" s="223"/>
      <c r="I258" s="223"/>
      <c r="J258" s="223"/>
      <c r="K258" s="223"/>
      <c r="L258" s="223"/>
      <c r="M258" s="223"/>
      <c r="N258" s="223"/>
      <c r="O258" s="223"/>
      <c r="P258" s="223"/>
      <c r="Q258" s="223"/>
      <c r="R258" s="223"/>
      <c r="S258" s="223"/>
      <c r="T258" s="223"/>
      <c r="U258" s="223"/>
      <c r="V258" s="223"/>
      <c r="W258" s="223"/>
      <c r="X258" s="223"/>
      <c r="Y258" s="223"/>
      <c r="Z258" s="223"/>
      <c r="AA258" s="223"/>
      <c r="AB258" s="223"/>
      <c r="AC258" s="223"/>
      <c r="AD258" s="223"/>
      <c r="AE258" s="223"/>
      <c r="AF258" s="223"/>
      <c r="AG258" s="223"/>
      <c r="AH258" s="223"/>
      <c r="AI258" s="223"/>
      <c r="AJ258" s="223"/>
      <c r="AK258" s="223"/>
      <c r="AL258" s="223"/>
      <c r="AM258" s="223"/>
      <c r="AN258" s="223"/>
      <c r="AO258" s="223"/>
      <c r="AP258" s="223"/>
      <c r="AQ258" s="223"/>
      <c r="AR258" s="223"/>
      <c r="AS258" s="223"/>
      <c r="AT258" s="223"/>
      <c r="AU258" s="223"/>
      <c r="AV258" s="223"/>
      <c r="AW258" s="223"/>
      <c r="AX258" s="223"/>
      <c r="AY258" s="223"/>
      <c r="AZ258" s="223"/>
      <c r="BA258" s="223"/>
      <c r="BB258" s="223"/>
      <c r="BC258" s="223"/>
      <c r="BD258" s="223"/>
      <c r="BE258" s="223"/>
      <c r="BF258" s="223"/>
      <c r="BG258" s="223"/>
      <c r="BH258" s="223"/>
      <c r="BI258" s="223"/>
    </row>
    <row r="259" spans="1:61" ht="7.4" customHeight="1" x14ac:dyDescent="0.5">
      <c r="A259" s="223"/>
      <c r="B259" s="223"/>
      <c r="C259" s="223"/>
      <c r="D259" s="223"/>
      <c r="E259" s="223"/>
      <c r="F259" s="223"/>
      <c r="G259" s="223"/>
      <c r="H259" s="223"/>
      <c r="I259" s="223"/>
      <c r="J259" s="223"/>
      <c r="K259" s="223"/>
      <c r="L259" s="223"/>
      <c r="M259" s="223"/>
      <c r="N259" s="223"/>
      <c r="O259" s="223"/>
      <c r="P259" s="223"/>
      <c r="Q259" s="223"/>
      <c r="R259" s="223"/>
      <c r="S259" s="223"/>
      <c r="T259" s="223"/>
      <c r="U259" s="223"/>
      <c r="V259" s="223"/>
      <c r="W259" s="223"/>
      <c r="X259" s="223"/>
      <c r="Y259" s="223"/>
      <c r="Z259" s="223"/>
      <c r="AA259" s="223"/>
      <c r="AB259" s="223"/>
      <c r="AC259" s="223"/>
      <c r="AD259" s="223"/>
      <c r="AE259" s="223"/>
      <c r="AF259" s="223"/>
      <c r="AG259" s="223"/>
      <c r="AH259" s="223"/>
      <c r="AI259" s="223"/>
      <c r="AJ259" s="223"/>
      <c r="AK259" s="223"/>
      <c r="AL259" s="223"/>
      <c r="AM259" s="223"/>
      <c r="AN259" s="223"/>
      <c r="AO259" s="223"/>
      <c r="AP259" s="223"/>
      <c r="AQ259" s="223"/>
      <c r="AR259" s="223"/>
      <c r="AS259" s="223"/>
      <c r="AT259" s="223"/>
      <c r="AU259" s="223"/>
      <c r="AV259" s="223"/>
      <c r="AW259" s="223"/>
      <c r="AX259" s="223"/>
      <c r="AY259" s="223"/>
      <c r="AZ259" s="223"/>
      <c r="BA259" s="223"/>
      <c r="BB259" s="223"/>
      <c r="BC259" s="223"/>
      <c r="BD259" s="223"/>
      <c r="BE259" s="223"/>
      <c r="BF259" s="223"/>
      <c r="BG259" s="223"/>
      <c r="BH259" s="223"/>
      <c r="BI259" s="223"/>
    </row>
    <row r="260" spans="1:61" ht="7.4" customHeight="1" x14ac:dyDescent="0.5">
      <c r="A260" s="223"/>
      <c r="B260" s="223"/>
      <c r="C260" s="223"/>
      <c r="D260" s="223"/>
      <c r="E260" s="223"/>
      <c r="F260" s="223"/>
      <c r="G260" s="223"/>
      <c r="H260" s="223"/>
      <c r="I260" s="223"/>
      <c r="J260" s="223"/>
      <c r="K260" s="223"/>
      <c r="L260" s="223"/>
      <c r="M260" s="223"/>
      <c r="N260" s="223"/>
      <c r="O260" s="223"/>
      <c r="P260" s="223"/>
      <c r="Q260" s="223"/>
      <c r="R260" s="223"/>
      <c r="S260" s="223"/>
      <c r="T260" s="223"/>
      <c r="U260" s="223"/>
      <c r="V260" s="223"/>
      <c r="W260" s="223"/>
      <c r="X260" s="223"/>
      <c r="Y260" s="223"/>
      <c r="Z260" s="223"/>
      <c r="AA260" s="223"/>
      <c r="AB260" s="223"/>
      <c r="AC260" s="223"/>
      <c r="AD260" s="223"/>
      <c r="AE260" s="223"/>
      <c r="AF260" s="223"/>
      <c r="AG260" s="223"/>
      <c r="AH260" s="223"/>
      <c r="AI260" s="223"/>
      <c r="AJ260" s="223"/>
      <c r="AK260" s="223"/>
      <c r="AL260" s="223"/>
      <c r="AM260" s="223"/>
      <c r="AN260" s="223"/>
      <c r="AO260" s="223"/>
      <c r="AP260" s="223"/>
      <c r="AQ260" s="223"/>
      <c r="AR260" s="223"/>
      <c r="AS260" s="223"/>
      <c r="AT260" s="223"/>
      <c r="AU260" s="223"/>
      <c r="AV260" s="223"/>
      <c r="AW260" s="223"/>
      <c r="AX260" s="223"/>
      <c r="AY260" s="223"/>
      <c r="AZ260" s="223"/>
      <c r="BA260" s="223"/>
      <c r="BB260" s="223"/>
      <c r="BC260" s="223"/>
      <c r="BD260" s="223"/>
      <c r="BE260" s="223"/>
      <c r="BF260" s="223"/>
      <c r="BG260" s="223"/>
      <c r="BH260" s="223"/>
      <c r="BI260" s="223"/>
    </row>
    <row r="261" spans="1:61" ht="7.4" customHeight="1" x14ac:dyDescent="0.5">
      <c r="A261" s="223"/>
      <c r="B261" s="223"/>
      <c r="C261" s="223"/>
      <c r="D261" s="223"/>
      <c r="E261" s="223"/>
      <c r="F261" s="223"/>
      <c r="G261" s="223"/>
      <c r="H261" s="223"/>
      <c r="I261" s="223"/>
      <c r="J261" s="223"/>
      <c r="K261" s="223"/>
      <c r="L261" s="223"/>
      <c r="M261" s="223"/>
      <c r="N261" s="223"/>
      <c r="O261" s="223"/>
      <c r="P261" s="223"/>
      <c r="Q261" s="223"/>
      <c r="R261" s="223"/>
      <c r="S261" s="223"/>
      <c r="T261" s="223"/>
      <c r="U261" s="223"/>
      <c r="V261" s="223"/>
      <c r="W261" s="223"/>
      <c r="X261" s="223"/>
      <c r="Y261" s="223"/>
      <c r="Z261" s="223"/>
      <c r="AA261" s="223"/>
      <c r="AB261" s="223"/>
      <c r="AC261" s="223"/>
      <c r="AD261" s="223"/>
      <c r="AE261" s="223"/>
      <c r="AF261" s="223"/>
      <c r="AG261" s="223"/>
      <c r="AH261" s="223"/>
      <c r="AI261" s="223"/>
      <c r="AJ261" s="223"/>
      <c r="AK261" s="223"/>
      <c r="AL261" s="223"/>
      <c r="AM261" s="223"/>
      <c r="AN261" s="223"/>
      <c r="AO261" s="223"/>
      <c r="AP261" s="223"/>
      <c r="AQ261" s="223"/>
      <c r="AR261" s="223"/>
      <c r="AS261" s="223"/>
      <c r="AT261" s="223"/>
      <c r="AU261" s="223"/>
      <c r="AV261" s="223"/>
      <c r="AW261" s="223"/>
      <c r="AX261" s="223"/>
      <c r="AY261" s="223"/>
      <c r="AZ261" s="223"/>
      <c r="BA261" s="223"/>
      <c r="BB261" s="223"/>
      <c r="BC261" s="223"/>
      <c r="BD261" s="223"/>
      <c r="BE261" s="223"/>
      <c r="BF261" s="223"/>
      <c r="BG261" s="223"/>
      <c r="BH261" s="223"/>
      <c r="BI261" s="223"/>
    </row>
    <row r="262" spans="1:61" ht="7.4" customHeight="1" x14ac:dyDescent="0.5">
      <c r="A262" s="223"/>
      <c r="B262" s="223"/>
      <c r="C262" s="223"/>
      <c r="D262" s="223"/>
      <c r="E262" s="223"/>
      <c r="F262" s="223"/>
      <c r="G262" s="223"/>
      <c r="H262" s="223"/>
      <c r="I262" s="223"/>
      <c r="J262" s="223"/>
      <c r="K262" s="223"/>
      <c r="L262" s="223"/>
      <c r="M262" s="223"/>
      <c r="N262" s="223"/>
      <c r="O262" s="223"/>
      <c r="P262" s="223"/>
      <c r="Q262" s="223"/>
      <c r="R262" s="223"/>
      <c r="S262" s="223"/>
      <c r="T262" s="223"/>
      <c r="U262" s="223"/>
      <c r="V262" s="223"/>
      <c r="W262" s="223"/>
      <c r="X262" s="223"/>
      <c r="Y262" s="223"/>
      <c r="Z262" s="223"/>
      <c r="AA262" s="223"/>
      <c r="AB262" s="223"/>
      <c r="AC262" s="223"/>
      <c r="AD262" s="223"/>
      <c r="AE262" s="223"/>
      <c r="AF262" s="223"/>
      <c r="AG262" s="223"/>
      <c r="AH262" s="223"/>
      <c r="AI262" s="223"/>
      <c r="AJ262" s="223"/>
      <c r="AK262" s="223"/>
      <c r="AL262" s="223"/>
      <c r="AM262" s="223"/>
      <c r="AN262" s="223"/>
      <c r="AO262" s="223"/>
      <c r="AP262" s="223"/>
      <c r="AQ262" s="223"/>
      <c r="AR262" s="223"/>
      <c r="AS262" s="223"/>
      <c r="AT262" s="223"/>
      <c r="AU262" s="223"/>
      <c r="AV262" s="223"/>
      <c r="AW262" s="223"/>
      <c r="AX262" s="223"/>
      <c r="AY262" s="223"/>
      <c r="AZ262" s="223"/>
      <c r="BA262" s="223"/>
      <c r="BB262" s="223"/>
      <c r="BC262" s="223"/>
      <c r="BD262" s="223"/>
      <c r="BE262" s="223"/>
      <c r="BF262" s="223"/>
      <c r="BG262" s="223"/>
      <c r="BH262" s="223"/>
      <c r="BI262" s="223"/>
    </row>
    <row r="263" spans="1:61" ht="7.4" customHeight="1" x14ac:dyDescent="0.5">
      <c r="A263" s="223"/>
      <c r="B263" s="223"/>
      <c r="C263" s="223"/>
      <c r="D263" s="223"/>
      <c r="E263" s="223"/>
      <c r="F263" s="223"/>
      <c r="G263" s="223"/>
      <c r="H263" s="223"/>
      <c r="I263" s="223"/>
      <c r="J263" s="223"/>
      <c r="K263" s="223"/>
      <c r="L263" s="223"/>
      <c r="M263" s="223"/>
      <c r="N263" s="223"/>
      <c r="O263" s="223"/>
      <c r="P263" s="223"/>
      <c r="Q263" s="223"/>
      <c r="R263" s="223"/>
      <c r="S263" s="223"/>
      <c r="T263" s="223"/>
      <c r="U263" s="223"/>
      <c r="V263" s="223"/>
      <c r="W263" s="223"/>
      <c r="X263" s="223"/>
      <c r="Y263" s="223"/>
      <c r="Z263" s="223"/>
      <c r="AA263" s="223"/>
      <c r="AB263" s="223"/>
      <c r="AC263" s="223"/>
      <c r="AD263" s="223"/>
      <c r="AE263" s="223"/>
      <c r="AF263" s="223"/>
      <c r="AG263" s="223"/>
      <c r="AH263" s="223"/>
      <c r="AI263" s="223"/>
      <c r="AJ263" s="223"/>
      <c r="AK263" s="223"/>
      <c r="AL263" s="223"/>
      <c r="AM263" s="223"/>
      <c r="AN263" s="223"/>
      <c r="AO263" s="223"/>
      <c r="AP263" s="223"/>
      <c r="AQ263" s="223"/>
      <c r="AR263" s="223"/>
      <c r="AS263" s="223"/>
      <c r="AT263" s="223"/>
      <c r="AU263" s="223"/>
      <c r="AV263" s="223"/>
      <c r="AW263" s="223"/>
      <c r="AX263" s="223"/>
      <c r="AY263" s="223"/>
      <c r="AZ263" s="223"/>
      <c r="BA263" s="223"/>
      <c r="BB263" s="223"/>
      <c r="BC263" s="223"/>
      <c r="BD263" s="223"/>
      <c r="BE263" s="223"/>
      <c r="BF263" s="223"/>
      <c r="BG263" s="223"/>
      <c r="BH263" s="223"/>
      <c r="BI263" s="223"/>
    </row>
    <row r="264" spans="1:61" ht="7.4" customHeight="1" x14ac:dyDescent="0.5">
      <c r="A264" s="223"/>
      <c r="B264" s="223"/>
      <c r="C264" s="223"/>
      <c r="D264" s="223"/>
      <c r="E264" s="223"/>
      <c r="F264" s="223"/>
      <c r="G264" s="223"/>
      <c r="H264" s="223"/>
      <c r="I264" s="223"/>
      <c r="J264" s="223"/>
      <c r="K264" s="223"/>
      <c r="L264" s="223"/>
      <c r="M264" s="223"/>
      <c r="N264" s="223"/>
      <c r="O264" s="223"/>
      <c r="P264" s="223"/>
      <c r="Q264" s="223"/>
      <c r="R264" s="223"/>
      <c r="S264" s="223"/>
      <c r="T264" s="223"/>
      <c r="U264" s="223"/>
      <c r="V264" s="223"/>
      <c r="W264" s="223"/>
      <c r="X264" s="223"/>
      <c r="Y264" s="223"/>
      <c r="Z264" s="223"/>
      <c r="AA264" s="223"/>
      <c r="AB264" s="223"/>
      <c r="AC264" s="223"/>
      <c r="AD264" s="223"/>
      <c r="AE264" s="223"/>
      <c r="AF264" s="223"/>
      <c r="AG264" s="223"/>
      <c r="AH264" s="223"/>
      <c r="AI264" s="223"/>
      <c r="AJ264" s="223"/>
      <c r="AK264" s="223"/>
      <c r="AL264" s="223"/>
      <c r="AM264" s="223"/>
      <c r="AN264" s="223"/>
      <c r="AO264" s="223"/>
      <c r="AP264" s="223"/>
      <c r="AQ264" s="223"/>
      <c r="AR264" s="223"/>
      <c r="AS264" s="223"/>
      <c r="AT264" s="223"/>
      <c r="AU264" s="223"/>
      <c r="AV264" s="223"/>
      <c r="AW264" s="223"/>
      <c r="AX264" s="223"/>
      <c r="AY264" s="223"/>
      <c r="AZ264" s="223"/>
      <c r="BA264" s="223"/>
      <c r="BB264" s="223"/>
      <c r="BC264" s="223"/>
      <c r="BD264" s="223"/>
      <c r="BE264" s="223"/>
      <c r="BF264" s="223"/>
      <c r="BG264" s="223"/>
      <c r="BH264" s="223"/>
      <c r="BI264" s="223"/>
    </row>
    <row r="265" spans="1:61" ht="7.4" customHeight="1" x14ac:dyDescent="0.5">
      <c r="A265" s="223"/>
      <c r="B265" s="223"/>
      <c r="C265" s="223"/>
      <c r="D265" s="223"/>
      <c r="E265" s="223"/>
      <c r="F265" s="223"/>
      <c r="G265" s="223"/>
      <c r="H265" s="223"/>
      <c r="I265" s="223"/>
      <c r="J265" s="223"/>
      <c r="K265" s="223"/>
      <c r="L265" s="223"/>
      <c r="M265" s="223"/>
      <c r="N265" s="223"/>
      <c r="O265" s="223"/>
      <c r="P265" s="223"/>
      <c r="Q265" s="223"/>
      <c r="R265" s="223"/>
      <c r="S265" s="223"/>
      <c r="T265" s="223"/>
      <c r="U265" s="223"/>
      <c r="V265" s="223"/>
      <c r="W265" s="223"/>
      <c r="X265" s="223"/>
      <c r="Y265" s="223"/>
      <c r="Z265" s="223"/>
      <c r="AA265" s="223"/>
      <c r="AB265" s="223"/>
      <c r="AC265" s="223"/>
      <c r="AD265" s="223"/>
      <c r="AE265" s="223"/>
      <c r="AF265" s="223"/>
      <c r="AG265" s="223"/>
      <c r="AH265" s="223"/>
      <c r="AI265" s="223"/>
      <c r="AJ265" s="223"/>
      <c r="AK265" s="223"/>
      <c r="AL265" s="223"/>
      <c r="AM265" s="223"/>
      <c r="AN265" s="223"/>
      <c r="AO265" s="223"/>
      <c r="AP265" s="223"/>
      <c r="AQ265" s="223"/>
      <c r="AR265" s="223"/>
      <c r="AS265" s="223"/>
      <c r="AT265" s="223"/>
      <c r="AU265" s="223"/>
      <c r="AV265" s="223"/>
      <c r="AW265" s="223"/>
      <c r="AX265" s="223"/>
      <c r="AY265" s="223"/>
      <c r="AZ265" s="223"/>
      <c r="BA265" s="223"/>
      <c r="BB265" s="223"/>
      <c r="BC265" s="223"/>
      <c r="BD265" s="223"/>
      <c r="BE265" s="223"/>
      <c r="BF265" s="223"/>
      <c r="BG265" s="223"/>
      <c r="BH265" s="223"/>
      <c r="BI265" s="223"/>
    </row>
    <row r="266" spans="1:61" ht="7.4" customHeight="1" x14ac:dyDescent="0.5">
      <c r="A266" s="223"/>
      <c r="B266" s="223"/>
      <c r="C266" s="223"/>
      <c r="D266" s="223"/>
      <c r="E266" s="223"/>
      <c r="F266" s="223"/>
      <c r="G266" s="223"/>
      <c r="H266" s="223"/>
      <c r="I266" s="223"/>
      <c r="J266" s="223"/>
      <c r="K266" s="223"/>
      <c r="L266" s="223"/>
      <c r="M266" s="223"/>
      <c r="N266" s="223"/>
      <c r="O266" s="223"/>
      <c r="P266" s="223"/>
      <c r="Q266" s="223"/>
      <c r="R266" s="223"/>
      <c r="S266" s="223"/>
      <c r="T266" s="223"/>
      <c r="U266" s="223"/>
      <c r="V266" s="223"/>
      <c r="W266" s="223"/>
      <c r="X266" s="223"/>
      <c r="Y266" s="223"/>
      <c r="Z266" s="223"/>
      <c r="AA266" s="223"/>
      <c r="AB266" s="223"/>
      <c r="AC266" s="223"/>
      <c r="AD266" s="223"/>
      <c r="AE266" s="223"/>
      <c r="AF266" s="223"/>
      <c r="AG266" s="223"/>
      <c r="AH266" s="223"/>
      <c r="AI266" s="223"/>
      <c r="AJ266" s="223"/>
      <c r="AK266" s="223"/>
      <c r="AL266" s="223"/>
      <c r="AM266" s="223"/>
      <c r="AN266" s="223"/>
      <c r="AO266" s="223"/>
      <c r="AP266" s="223"/>
      <c r="AQ266" s="223"/>
      <c r="AR266" s="223"/>
      <c r="AS266" s="223"/>
      <c r="AT266" s="223"/>
      <c r="AU266" s="223"/>
      <c r="AV266" s="223"/>
      <c r="AW266" s="223"/>
      <c r="AX266" s="223"/>
      <c r="AY266" s="223"/>
      <c r="AZ266" s="223"/>
      <c r="BA266" s="223"/>
      <c r="BB266" s="223"/>
      <c r="BC266" s="223"/>
      <c r="BD266" s="223"/>
      <c r="BE266" s="223"/>
      <c r="BF266" s="223"/>
      <c r="BG266" s="223"/>
      <c r="BH266" s="223"/>
      <c r="BI266" s="223"/>
    </row>
    <row r="267" spans="1:61" ht="7.4" customHeight="1" x14ac:dyDescent="0.5">
      <c r="A267" s="223"/>
      <c r="B267" s="223"/>
      <c r="C267" s="223"/>
      <c r="D267" s="223"/>
      <c r="E267" s="223"/>
      <c r="F267" s="223"/>
      <c r="G267" s="223"/>
      <c r="H267" s="223"/>
      <c r="I267" s="223"/>
      <c r="J267" s="223"/>
      <c r="K267" s="223"/>
      <c r="L267" s="223"/>
      <c r="M267" s="223"/>
      <c r="N267" s="223"/>
      <c r="O267" s="223"/>
      <c r="P267" s="223"/>
      <c r="Q267" s="223"/>
      <c r="R267" s="223"/>
      <c r="S267" s="223"/>
      <c r="T267" s="223"/>
      <c r="U267" s="223"/>
      <c r="V267" s="223"/>
      <c r="W267" s="223"/>
      <c r="X267" s="223"/>
      <c r="Y267" s="223"/>
      <c r="Z267" s="223"/>
      <c r="AA267" s="223"/>
      <c r="AB267" s="223"/>
      <c r="AC267" s="223"/>
      <c r="AD267" s="223"/>
      <c r="AE267" s="223"/>
      <c r="AF267" s="223"/>
      <c r="AG267" s="223"/>
      <c r="AH267" s="223"/>
      <c r="AI267" s="223"/>
      <c r="AJ267" s="223"/>
      <c r="AK267" s="223"/>
      <c r="AL267" s="223"/>
      <c r="AM267" s="223"/>
      <c r="AN267" s="223"/>
      <c r="AO267" s="223"/>
      <c r="AP267" s="223"/>
      <c r="AQ267" s="223"/>
      <c r="AR267" s="223"/>
      <c r="AS267" s="223"/>
      <c r="AT267" s="223"/>
      <c r="AU267" s="223"/>
      <c r="AV267" s="223"/>
      <c r="AW267" s="223"/>
      <c r="AX267" s="223"/>
      <c r="AY267" s="223"/>
      <c r="AZ267" s="223"/>
      <c r="BA267" s="223"/>
      <c r="BB267" s="223"/>
      <c r="BC267" s="223"/>
      <c r="BD267" s="223"/>
      <c r="BE267" s="223"/>
      <c r="BF267" s="223"/>
      <c r="BG267" s="223"/>
      <c r="BH267" s="223"/>
      <c r="BI267" s="223"/>
    </row>
    <row r="268" spans="1:61" ht="7.4" customHeight="1" x14ac:dyDescent="0.5">
      <c r="A268" s="223"/>
      <c r="B268" s="223"/>
      <c r="C268" s="223"/>
      <c r="D268" s="223"/>
      <c r="E268" s="223"/>
      <c r="F268" s="223"/>
      <c r="G268" s="223"/>
      <c r="H268" s="223"/>
      <c r="I268" s="223"/>
      <c r="J268" s="223"/>
      <c r="K268" s="223"/>
      <c r="L268" s="223"/>
      <c r="M268" s="223"/>
      <c r="N268" s="223"/>
      <c r="O268" s="223"/>
      <c r="P268" s="223"/>
      <c r="Q268" s="223"/>
      <c r="R268" s="223"/>
      <c r="S268" s="223"/>
      <c r="T268" s="223"/>
      <c r="U268" s="223"/>
      <c r="V268" s="223"/>
      <c r="W268" s="223"/>
      <c r="X268" s="223"/>
      <c r="Y268" s="223"/>
      <c r="Z268" s="223"/>
      <c r="AA268" s="223"/>
      <c r="AB268" s="223"/>
      <c r="AC268" s="223"/>
      <c r="AD268" s="223"/>
      <c r="AE268" s="223"/>
      <c r="AF268" s="223"/>
      <c r="AG268" s="223"/>
      <c r="AH268" s="223"/>
      <c r="AI268" s="223"/>
      <c r="AJ268" s="223"/>
      <c r="AK268" s="223"/>
      <c r="AL268" s="223"/>
      <c r="AM268" s="223"/>
      <c r="AN268" s="223"/>
      <c r="AO268" s="223"/>
      <c r="AP268" s="223"/>
      <c r="AQ268" s="223"/>
      <c r="AR268" s="223"/>
      <c r="AS268" s="223"/>
      <c r="AT268" s="223"/>
      <c r="AU268" s="223"/>
      <c r="AV268" s="223"/>
      <c r="AW268" s="223"/>
      <c r="AX268" s="223"/>
      <c r="AY268" s="223"/>
      <c r="AZ268" s="223"/>
      <c r="BA268" s="223"/>
      <c r="BB268" s="223"/>
      <c r="BC268" s="223"/>
      <c r="BD268" s="223"/>
      <c r="BE268" s="223"/>
      <c r="BF268" s="223"/>
      <c r="BG268" s="223"/>
      <c r="BH268" s="223"/>
      <c r="BI268" s="223"/>
    </row>
    <row r="269" spans="1:61" ht="7.4" customHeight="1" x14ac:dyDescent="0.5">
      <c r="A269" s="223"/>
      <c r="B269" s="223"/>
      <c r="C269" s="223"/>
      <c r="D269" s="223"/>
      <c r="E269" s="223"/>
      <c r="F269" s="223"/>
      <c r="G269" s="223"/>
      <c r="H269" s="223"/>
      <c r="I269" s="223"/>
      <c r="J269" s="223"/>
      <c r="K269" s="223"/>
      <c r="L269" s="223"/>
      <c r="M269" s="223"/>
      <c r="N269" s="223"/>
      <c r="O269" s="223"/>
      <c r="P269" s="223"/>
      <c r="Q269" s="223"/>
      <c r="R269" s="223"/>
      <c r="S269" s="223"/>
      <c r="T269" s="223"/>
      <c r="U269" s="223"/>
      <c r="V269" s="223"/>
      <c r="W269" s="223"/>
      <c r="X269" s="223"/>
      <c r="Y269" s="223"/>
      <c r="Z269" s="223"/>
      <c r="AA269" s="223"/>
      <c r="AB269" s="223"/>
      <c r="AC269" s="223"/>
      <c r="AD269" s="223"/>
      <c r="AE269" s="223"/>
      <c r="AF269" s="223"/>
      <c r="AG269" s="223"/>
      <c r="AH269" s="223"/>
      <c r="AI269" s="223"/>
      <c r="AJ269" s="223"/>
      <c r="AK269" s="223"/>
      <c r="AL269" s="223"/>
      <c r="AM269" s="223"/>
      <c r="AN269" s="223"/>
      <c r="AO269" s="223"/>
      <c r="AP269" s="223"/>
      <c r="AQ269" s="223"/>
      <c r="AR269" s="223"/>
      <c r="AS269" s="223"/>
      <c r="AT269" s="223"/>
      <c r="AU269" s="223"/>
      <c r="AV269" s="223"/>
      <c r="AW269" s="223"/>
      <c r="AX269" s="223"/>
      <c r="AY269" s="223"/>
      <c r="AZ269" s="223"/>
      <c r="BA269" s="223"/>
      <c r="BB269" s="223"/>
      <c r="BC269" s="223"/>
      <c r="BD269" s="223"/>
      <c r="BE269" s="223"/>
      <c r="BF269" s="223"/>
      <c r="BG269" s="223"/>
      <c r="BH269" s="223"/>
      <c r="BI269" s="223"/>
    </row>
    <row r="270" spans="1:61" ht="7.4" customHeight="1" x14ac:dyDescent="0.5">
      <c r="A270" s="223"/>
      <c r="B270" s="223"/>
      <c r="C270" s="223"/>
      <c r="D270" s="223"/>
      <c r="E270" s="223"/>
      <c r="F270" s="223"/>
      <c r="G270" s="223"/>
      <c r="H270" s="223"/>
      <c r="I270" s="223"/>
      <c r="J270" s="223"/>
      <c r="K270" s="223"/>
      <c r="L270" s="223"/>
      <c r="M270" s="223"/>
      <c r="N270" s="223"/>
      <c r="O270" s="223"/>
      <c r="P270" s="223"/>
      <c r="Q270" s="223"/>
      <c r="R270" s="223"/>
      <c r="S270" s="223"/>
      <c r="T270" s="223"/>
      <c r="U270" s="223"/>
      <c r="V270" s="223"/>
      <c r="W270" s="223"/>
      <c r="X270" s="223"/>
      <c r="Y270" s="223"/>
      <c r="Z270" s="223"/>
      <c r="AA270" s="223"/>
      <c r="AB270" s="223"/>
      <c r="AC270" s="223"/>
      <c r="AD270" s="223"/>
      <c r="AE270" s="223"/>
      <c r="AF270" s="223"/>
      <c r="AG270" s="223"/>
      <c r="AH270" s="223"/>
      <c r="AI270" s="223"/>
      <c r="AJ270" s="223"/>
      <c r="AK270" s="223"/>
      <c r="AL270" s="223"/>
      <c r="AM270" s="223"/>
      <c r="AN270" s="223"/>
      <c r="AO270" s="223"/>
      <c r="AP270" s="223"/>
      <c r="AQ270" s="223"/>
      <c r="AR270" s="223"/>
      <c r="AS270" s="223"/>
      <c r="AT270" s="223"/>
      <c r="AU270" s="223"/>
      <c r="AV270" s="223"/>
      <c r="AW270" s="223"/>
      <c r="AX270" s="223"/>
      <c r="AY270" s="223"/>
      <c r="AZ270" s="223"/>
      <c r="BA270" s="223"/>
      <c r="BB270" s="223"/>
      <c r="BC270" s="223"/>
      <c r="BD270" s="223"/>
      <c r="BE270" s="223"/>
      <c r="BF270" s="223"/>
      <c r="BG270" s="223"/>
      <c r="BH270" s="223"/>
      <c r="BI270" s="223"/>
    </row>
    <row r="271" spans="1:61" ht="7.4" customHeight="1" x14ac:dyDescent="0.5">
      <c r="A271" s="223"/>
      <c r="B271" s="223"/>
      <c r="C271" s="223"/>
      <c r="D271" s="223"/>
      <c r="E271" s="223"/>
      <c r="F271" s="223"/>
      <c r="G271" s="223"/>
      <c r="H271" s="223"/>
      <c r="I271" s="223"/>
      <c r="J271" s="223"/>
      <c r="K271" s="223"/>
      <c r="L271" s="223"/>
      <c r="M271" s="223"/>
      <c r="N271" s="223"/>
      <c r="O271" s="223"/>
      <c r="P271" s="223"/>
      <c r="Q271" s="223"/>
      <c r="R271" s="223"/>
      <c r="S271" s="223"/>
      <c r="T271" s="223"/>
      <c r="U271" s="223"/>
      <c r="V271" s="223"/>
      <c r="W271" s="223"/>
      <c r="X271" s="223"/>
      <c r="Y271" s="223"/>
      <c r="Z271" s="223"/>
      <c r="AA271" s="223"/>
      <c r="AB271" s="223"/>
      <c r="AC271" s="223"/>
      <c r="AD271" s="223"/>
      <c r="AE271" s="223"/>
      <c r="AF271" s="223"/>
      <c r="AG271" s="223"/>
      <c r="AH271" s="223"/>
      <c r="AI271" s="223"/>
      <c r="AJ271" s="223"/>
      <c r="AK271" s="223"/>
      <c r="AL271" s="223"/>
      <c r="AM271" s="223"/>
      <c r="AN271" s="223"/>
      <c r="AO271" s="223"/>
      <c r="AP271" s="223"/>
      <c r="AQ271" s="223"/>
      <c r="AR271" s="223"/>
      <c r="AS271" s="223"/>
      <c r="AT271" s="223"/>
      <c r="AU271" s="223"/>
      <c r="AV271" s="223"/>
      <c r="AW271" s="223"/>
      <c r="AX271" s="223"/>
      <c r="AY271" s="223"/>
      <c r="AZ271" s="223"/>
      <c r="BA271" s="223"/>
      <c r="BB271" s="223"/>
      <c r="BC271" s="223"/>
      <c r="BD271" s="223"/>
      <c r="BE271" s="223"/>
      <c r="BF271" s="223"/>
      <c r="BG271" s="223"/>
      <c r="BH271" s="223"/>
      <c r="BI271" s="223"/>
    </row>
    <row r="272" spans="1:61" ht="7.4" customHeight="1" x14ac:dyDescent="0.5">
      <c r="A272" s="223"/>
      <c r="B272" s="223"/>
      <c r="C272" s="223"/>
      <c r="D272" s="223"/>
      <c r="E272" s="223"/>
      <c r="F272" s="223"/>
      <c r="G272" s="223"/>
      <c r="H272" s="223"/>
      <c r="I272" s="223"/>
      <c r="J272" s="223"/>
      <c r="K272" s="223"/>
      <c r="L272" s="223"/>
      <c r="M272" s="223"/>
      <c r="N272" s="223"/>
      <c r="O272" s="223"/>
      <c r="P272" s="223"/>
      <c r="Q272" s="223"/>
      <c r="R272" s="223"/>
      <c r="S272" s="223"/>
      <c r="T272" s="223"/>
      <c r="U272" s="223"/>
      <c r="V272" s="223"/>
      <c r="W272" s="223"/>
      <c r="X272" s="223"/>
      <c r="Y272" s="223"/>
      <c r="Z272" s="223"/>
      <c r="AA272" s="223"/>
      <c r="AB272" s="223"/>
      <c r="AC272" s="223"/>
      <c r="AD272" s="223"/>
      <c r="AE272" s="223"/>
      <c r="AF272" s="223"/>
      <c r="AG272" s="223"/>
      <c r="AH272" s="223"/>
      <c r="AI272" s="223"/>
      <c r="AJ272" s="223"/>
      <c r="AK272" s="223"/>
      <c r="AL272" s="223"/>
      <c r="AM272" s="223"/>
      <c r="AN272" s="223"/>
      <c r="AO272" s="223"/>
      <c r="AP272" s="223"/>
      <c r="AQ272" s="223"/>
      <c r="AR272" s="223"/>
      <c r="AS272" s="223"/>
      <c r="AT272" s="223"/>
      <c r="AU272" s="223"/>
      <c r="AV272" s="223"/>
      <c r="AW272" s="223"/>
      <c r="AX272" s="223"/>
      <c r="AY272" s="223"/>
      <c r="AZ272" s="223"/>
      <c r="BA272" s="223"/>
      <c r="BB272" s="223"/>
      <c r="BC272" s="223"/>
      <c r="BD272" s="223"/>
      <c r="BE272" s="223"/>
      <c r="BF272" s="223"/>
      <c r="BG272" s="223"/>
      <c r="BH272" s="223"/>
      <c r="BI272" s="223"/>
    </row>
    <row r="273" spans="1:61" ht="7.4" customHeight="1" x14ac:dyDescent="0.5">
      <c r="A273" s="223"/>
      <c r="B273" s="223"/>
      <c r="C273" s="223"/>
      <c r="D273" s="223"/>
      <c r="E273" s="223"/>
      <c r="F273" s="223"/>
      <c r="G273" s="223"/>
      <c r="H273" s="223"/>
      <c r="I273" s="223"/>
      <c r="J273" s="223"/>
      <c r="K273" s="223"/>
      <c r="L273" s="223"/>
      <c r="M273" s="223"/>
      <c r="N273" s="223"/>
      <c r="O273" s="223"/>
      <c r="P273" s="223"/>
      <c r="Q273" s="223"/>
      <c r="R273" s="223"/>
      <c r="S273" s="223"/>
      <c r="T273" s="223"/>
      <c r="U273" s="223"/>
      <c r="V273" s="223"/>
      <c r="W273" s="223"/>
      <c r="X273" s="223"/>
      <c r="Y273" s="223"/>
      <c r="Z273" s="223"/>
      <c r="AA273" s="223"/>
      <c r="AB273" s="223"/>
      <c r="AC273" s="223"/>
      <c r="AD273" s="223"/>
      <c r="AE273" s="223"/>
      <c r="AF273" s="223"/>
      <c r="AG273" s="223"/>
      <c r="AH273" s="223"/>
      <c r="AI273" s="223"/>
      <c r="AJ273" s="223"/>
      <c r="AK273" s="223"/>
      <c r="AL273" s="223"/>
      <c r="AM273" s="223"/>
      <c r="AN273" s="223"/>
      <c r="AO273" s="223"/>
      <c r="AP273" s="223"/>
      <c r="AQ273" s="223"/>
      <c r="AR273" s="223"/>
      <c r="AS273" s="223"/>
      <c r="AT273" s="223"/>
      <c r="AU273" s="223"/>
      <c r="AV273" s="223"/>
      <c r="AW273" s="223"/>
      <c r="AX273" s="223"/>
      <c r="AY273" s="223"/>
      <c r="AZ273" s="223"/>
      <c r="BA273" s="223"/>
      <c r="BB273" s="223"/>
      <c r="BC273" s="223"/>
      <c r="BD273" s="223"/>
      <c r="BE273" s="223"/>
      <c r="BF273" s="223"/>
      <c r="BG273" s="223"/>
      <c r="BH273" s="223"/>
      <c r="BI273" s="223"/>
    </row>
    <row r="274" spans="1:61" ht="7.4" customHeight="1" x14ac:dyDescent="0.5">
      <c r="A274" s="223"/>
      <c r="B274" s="223"/>
      <c r="C274" s="223"/>
      <c r="D274" s="223"/>
      <c r="E274" s="223"/>
      <c r="F274" s="223"/>
      <c r="G274" s="223"/>
      <c r="H274" s="223"/>
      <c r="I274" s="223"/>
      <c r="J274" s="223"/>
      <c r="K274" s="223"/>
      <c r="L274" s="223"/>
      <c r="M274" s="223"/>
      <c r="N274" s="223"/>
      <c r="O274" s="223"/>
      <c r="P274" s="223"/>
      <c r="Q274" s="223"/>
      <c r="R274" s="223"/>
      <c r="S274" s="223"/>
      <c r="T274" s="223"/>
      <c r="U274" s="223"/>
      <c r="V274" s="223"/>
      <c r="W274" s="223"/>
      <c r="X274" s="223"/>
      <c r="Y274" s="223"/>
      <c r="Z274" s="223"/>
      <c r="AA274" s="223"/>
      <c r="AB274" s="223"/>
      <c r="AC274" s="223"/>
      <c r="AD274" s="223"/>
      <c r="AE274" s="223"/>
      <c r="AF274" s="223"/>
      <c r="AG274" s="223"/>
      <c r="AH274" s="223"/>
      <c r="AI274" s="223"/>
      <c r="AJ274" s="223"/>
      <c r="AK274" s="223"/>
      <c r="AL274" s="223"/>
      <c r="AM274" s="223"/>
      <c r="AN274" s="223"/>
      <c r="AO274" s="223"/>
      <c r="AP274" s="223"/>
      <c r="AQ274" s="223"/>
      <c r="AR274" s="223"/>
      <c r="AS274" s="223"/>
      <c r="AT274" s="223"/>
      <c r="AU274" s="223"/>
      <c r="AV274" s="223"/>
      <c r="AW274" s="223"/>
      <c r="AX274" s="223"/>
      <c r="AY274" s="223"/>
      <c r="AZ274" s="223"/>
      <c r="BA274" s="223"/>
      <c r="BB274" s="223"/>
      <c r="BC274" s="223"/>
      <c r="BD274" s="223"/>
      <c r="BE274" s="223"/>
      <c r="BF274" s="223"/>
      <c r="BG274" s="223"/>
      <c r="BH274" s="223"/>
      <c r="BI274" s="223"/>
    </row>
    <row r="275" spans="1:61" ht="7.4" customHeight="1" x14ac:dyDescent="0.5">
      <c r="A275" s="223"/>
      <c r="B275" s="223"/>
      <c r="C275" s="223"/>
      <c r="D275" s="223"/>
      <c r="E275" s="223"/>
      <c r="F275" s="223"/>
      <c r="G275" s="223"/>
      <c r="H275" s="223"/>
      <c r="I275" s="223"/>
      <c r="J275" s="223"/>
      <c r="K275" s="223"/>
      <c r="L275" s="223"/>
      <c r="M275" s="223"/>
      <c r="N275" s="223"/>
      <c r="O275" s="223"/>
      <c r="P275" s="223"/>
      <c r="Q275" s="223"/>
      <c r="R275" s="223"/>
      <c r="S275" s="223"/>
      <c r="T275" s="223"/>
      <c r="U275" s="223"/>
      <c r="V275" s="223"/>
      <c r="W275" s="223"/>
      <c r="X275" s="223"/>
      <c r="Y275" s="223"/>
      <c r="Z275" s="223"/>
      <c r="AA275" s="223"/>
      <c r="AB275" s="223"/>
      <c r="AC275" s="223"/>
      <c r="AD275" s="223"/>
      <c r="AE275" s="223"/>
      <c r="AF275" s="223"/>
      <c r="AG275" s="223"/>
      <c r="AH275" s="223"/>
      <c r="AI275" s="223"/>
      <c r="AJ275" s="223"/>
      <c r="AK275" s="223"/>
      <c r="AL275" s="223"/>
      <c r="AM275" s="223"/>
      <c r="AN275" s="223"/>
      <c r="AO275" s="223"/>
      <c r="AP275" s="223"/>
      <c r="AQ275" s="223"/>
      <c r="AR275" s="223"/>
      <c r="AS275" s="223"/>
      <c r="AT275" s="223"/>
      <c r="AU275" s="223"/>
      <c r="AV275" s="223"/>
      <c r="AW275" s="223"/>
      <c r="AX275" s="223"/>
      <c r="AY275" s="223"/>
      <c r="AZ275" s="223"/>
      <c r="BA275" s="223"/>
      <c r="BB275" s="223"/>
      <c r="BC275" s="223"/>
      <c r="BD275" s="223"/>
      <c r="BE275" s="223"/>
      <c r="BF275" s="223"/>
      <c r="BG275" s="223"/>
      <c r="BH275" s="223"/>
      <c r="BI275" s="223"/>
    </row>
    <row r="276" spans="1:61" ht="7.4" customHeight="1" x14ac:dyDescent="0.5">
      <c r="A276" s="223"/>
      <c r="B276" s="223"/>
      <c r="C276" s="223"/>
      <c r="D276" s="223"/>
      <c r="E276" s="223"/>
      <c r="F276" s="223"/>
      <c r="G276" s="223"/>
      <c r="H276" s="223"/>
      <c r="I276" s="223"/>
      <c r="J276" s="223"/>
      <c r="K276" s="223"/>
      <c r="L276" s="223"/>
      <c r="M276" s="223"/>
      <c r="N276" s="223"/>
      <c r="O276" s="223"/>
      <c r="P276" s="223"/>
      <c r="Q276" s="223"/>
      <c r="R276" s="223"/>
      <c r="S276" s="223"/>
      <c r="T276" s="223"/>
      <c r="U276" s="223"/>
      <c r="V276" s="223"/>
      <c r="W276" s="223"/>
      <c r="X276" s="223"/>
      <c r="Y276" s="223"/>
      <c r="Z276" s="223"/>
      <c r="AA276" s="223"/>
      <c r="AB276" s="223"/>
      <c r="AC276" s="223"/>
      <c r="AD276" s="223"/>
      <c r="AE276" s="223"/>
      <c r="AF276" s="223"/>
      <c r="AG276" s="223"/>
      <c r="AH276" s="223"/>
      <c r="AI276" s="223"/>
      <c r="AJ276" s="223"/>
      <c r="AK276" s="223"/>
      <c r="AL276" s="223"/>
      <c r="AM276" s="223"/>
      <c r="AN276" s="223"/>
      <c r="AO276" s="223"/>
      <c r="AP276" s="223"/>
      <c r="AQ276" s="223"/>
      <c r="AR276" s="223"/>
      <c r="AS276" s="223"/>
      <c r="AT276" s="223"/>
      <c r="AU276" s="223"/>
      <c r="AV276" s="223"/>
      <c r="AW276" s="223"/>
      <c r="AX276" s="223"/>
      <c r="AY276" s="223"/>
      <c r="AZ276" s="223"/>
      <c r="BA276" s="223"/>
      <c r="BB276" s="223"/>
      <c r="BC276" s="223"/>
      <c r="BD276" s="223"/>
      <c r="BE276" s="223"/>
      <c r="BF276" s="223"/>
      <c r="BG276" s="223"/>
      <c r="BH276" s="223"/>
      <c r="BI276" s="223"/>
    </row>
    <row r="277" spans="1:61" ht="7.4" customHeight="1" x14ac:dyDescent="0.5">
      <c r="A277" s="223"/>
      <c r="B277" s="223"/>
      <c r="C277" s="223"/>
      <c r="D277" s="223"/>
      <c r="E277" s="223"/>
      <c r="F277" s="223"/>
      <c r="G277" s="223"/>
      <c r="H277" s="223"/>
      <c r="I277" s="223"/>
      <c r="J277" s="223"/>
      <c r="K277" s="223"/>
      <c r="L277" s="223"/>
      <c r="M277" s="223"/>
      <c r="N277" s="223"/>
      <c r="O277" s="223"/>
      <c r="P277" s="223"/>
      <c r="Q277" s="223"/>
      <c r="R277" s="223"/>
      <c r="S277" s="223"/>
      <c r="T277" s="223"/>
      <c r="U277" s="223"/>
      <c r="V277" s="223"/>
      <c r="W277" s="223"/>
      <c r="X277" s="223"/>
      <c r="Y277" s="223"/>
      <c r="Z277" s="223"/>
      <c r="AA277" s="223"/>
      <c r="AB277" s="223"/>
      <c r="AC277" s="223"/>
      <c r="AD277" s="223"/>
      <c r="AE277" s="223"/>
      <c r="AF277" s="223"/>
      <c r="AG277" s="223"/>
      <c r="AH277" s="223"/>
      <c r="AI277" s="223"/>
      <c r="AJ277" s="223"/>
      <c r="AK277" s="223"/>
      <c r="AL277" s="223"/>
      <c r="AM277" s="223"/>
      <c r="AN277" s="223"/>
      <c r="AO277" s="223"/>
      <c r="AP277" s="223"/>
      <c r="AQ277" s="223"/>
      <c r="AR277" s="223"/>
      <c r="AS277" s="223"/>
      <c r="AT277" s="223"/>
      <c r="AU277" s="223"/>
      <c r="AV277" s="223"/>
      <c r="AW277" s="223"/>
      <c r="AX277" s="223"/>
      <c r="AY277" s="223"/>
      <c r="AZ277" s="223"/>
      <c r="BA277" s="223"/>
      <c r="BB277" s="223"/>
      <c r="BC277" s="223"/>
      <c r="BD277" s="223"/>
      <c r="BE277" s="223"/>
      <c r="BF277" s="223"/>
      <c r="BG277" s="223"/>
      <c r="BH277" s="223"/>
      <c r="BI277" s="223"/>
    </row>
    <row r="278" spans="1:61" ht="7.4" customHeight="1" x14ac:dyDescent="0.5">
      <c r="A278" s="223"/>
      <c r="B278" s="223"/>
      <c r="C278" s="223"/>
      <c r="D278" s="223"/>
      <c r="E278" s="223"/>
      <c r="F278" s="223"/>
      <c r="G278" s="223"/>
      <c r="H278" s="223"/>
      <c r="I278" s="223"/>
      <c r="J278" s="223"/>
      <c r="K278" s="223"/>
      <c r="L278" s="223"/>
      <c r="M278" s="223"/>
      <c r="N278" s="223"/>
      <c r="O278" s="223"/>
      <c r="P278" s="223"/>
      <c r="Q278" s="223"/>
      <c r="R278" s="223"/>
      <c r="S278" s="223"/>
      <c r="T278" s="223"/>
      <c r="U278" s="223"/>
      <c r="V278" s="223"/>
      <c r="W278" s="223"/>
      <c r="X278" s="223"/>
      <c r="Y278" s="223"/>
      <c r="Z278" s="223"/>
      <c r="AA278" s="223"/>
      <c r="AB278" s="223"/>
      <c r="AC278" s="223"/>
      <c r="AD278" s="223"/>
      <c r="AE278" s="223"/>
      <c r="AF278" s="223"/>
      <c r="AG278" s="223"/>
      <c r="AH278" s="223"/>
      <c r="AI278" s="223"/>
      <c r="AJ278" s="223"/>
      <c r="AK278" s="223"/>
      <c r="AL278" s="223"/>
      <c r="AM278" s="223"/>
      <c r="AN278" s="223"/>
      <c r="AO278" s="223"/>
      <c r="AP278" s="223"/>
      <c r="AQ278" s="223"/>
      <c r="AR278" s="223"/>
      <c r="AS278" s="223"/>
      <c r="AT278" s="223"/>
      <c r="AU278" s="223"/>
      <c r="AV278" s="223"/>
      <c r="AW278" s="223"/>
      <c r="AX278" s="223"/>
      <c r="AY278" s="223"/>
      <c r="AZ278" s="223"/>
      <c r="BA278" s="223"/>
      <c r="BB278" s="223"/>
      <c r="BC278" s="223"/>
      <c r="BD278" s="223"/>
      <c r="BE278" s="223"/>
      <c r="BF278" s="223"/>
      <c r="BG278" s="223"/>
      <c r="BH278" s="223"/>
      <c r="BI278" s="223"/>
    </row>
    <row r="279" spans="1:61" ht="7.4" customHeight="1" x14ac:dyDescent="0.5">
      <c r="A279" s="223"/>
      <c r="B279" s="223"/>
      <c r="C279" s="223"/>
      <c r="D279" s="223"/>
      <c r="E279" s="223"/>
      <c r="F279" s="223"/>
      <c r="G279" s="223"/>
      <c r="H279" s="223"/>
      <c r="I279" s="223"/>
      <c r="J279" s="223"/>
      <c r="K279" s="223"/>
      <c r="L279" s="223"/>
      <c r="M279" s="223"/>
      <c r="N279" s="223"/>
      <c r="O279" s="223"/>
      <c r="P279" s="223"/>
      <c r="Q279" s="223"/>
      <c r="R279" s="223"/>
      <c r="S279" s="223"/>
      <c r="T279" s="223"/>
      <c r="U279" s="223"/>
      <c r="V279" s="223"/>
      <c r="W279" s="223"/>
      <c r="X279" s="223"/>
      <c r="Y279" s="223"/>
      <c r="Z279" s="223"/>
      <c r="AA279" s="223"/>
      <c r="AB279" s="223"/>
      <c r="AC279" s="223"/>
      <c r="AD279" s="223"/>
      <c r="AE279" s="223"/>
      <c r="AF279" s="223"/>
      <c r="AG279" s="223"/>
      <c r="AH279" s="223"/>
      <c r="AI279" s="223"/>
      <c r="AJ279" s="223"/>
      <c r="AK279" s="223"/>
      <c r="AL279" s="223"/>
      <c r="AM279" s="223"/>
      <c r="AN279" s="223"/>
      <c r="AO279" s="223"/>
      <c r="AP279" s="223"/>
      <c r="AQ279" s="223"/>
      <c r="AR279" s="223"/>
      <c r="AS279" s="223"/>
      <c r="AT279" s="223"/>
      <c r="AU279" s="223"/>
      <c r="AV279" s="223"/>
      <c r="AW279" s="223"/>
      <c r="AX279" s="223"/>
      <c r="AY279" s="223"/>
      <c r="AZ279" s="223"/>
      <c r="BA279" s="223"/>
      <c r="BB279" s="223"/>
      <c r="BC279" s="223"/>
      <c r="BD279" s="223"/>
      <c r="BE279" s="223"/>
      <c r="BF279" s="223"/>
      <c r="BG279" s="223"/>
      <c r="BH279" s="223"/>
      <c r="BI279" s="223"/>
    </row>
    <row r="280" spans="1:61" ht="7.4" customHeight="1" x14ac:dyDescent="0.5">
      <c r="A280" s="223"/>
      <c r="B280" s="223"/>
      <c r="C280" s="223"/>
      <c r="D280" s="223"/>
      <c r="E280" s="223"/>
      <c r="F280" s="223"/>
      <c r="G280" s="223"/>
      <c r="H280" s="223"/>
      <c r="I280" s="223"/>
      <c r="J280" s="223"/>
      <c r="K280" s="223"/>
      <c r="L280" s="223"/>
      <c r="M280" s="223"/>
      <c r="N280" s="223"/>
      <c r="O280" s="223"/>
      <c r="P280" s="223"/>
      <c r="Q280" s="223"/>
      <c r="R280" s="223"/>
      <c r="S280" s="223"/>
      <c r="T280" s="223"/>
      <c r="U280" s="223"/>
      <c r="V280" s="223"/>
      <c r="W280" s="223"/>
      <c r="X280" s="223"/>
      <c r="Y280" s="223"/>
      <c r="Z280" s="223"/>
      <c r="AA280" s="223"/>
      <c r="AB280" s="223"/>
      <c r="AC280" s="223"/>
      <c r="AD280" s="223"/>
      <c r="AE280" s="223"/>
      <c r="AF280" s="223"/>
      <c r="AG280" s="223"/>
      <c r="AH280" s="223"/>
      <c r="AI280" s="223"/>
      <c r="AJ280" s="223"/>
      <c r="AK280" s="223"/>
      <c r="AL280" s="223"/>
      <c r="AM280" s="223"/>
      <c r="AN280" s="223"/>
      <c r="AO280" s="223"/>
      <c r="AP280" s="223"/>
      <c r="AQ280" s="223"/>
      <c r="AR280" s="223"/>
      <c r="AS280" s="223"/>
      <c r="AT280" s="223"/>
      <c r="AU280" s="223"/>
      <c r="AV280" s="223"/>
      <c r="AW280" s="223"/>
      <c r="AX280" s="223"/>
      <c r="AY280" s="223"/>
      <c r="AZ280" s="223"/>
      <c r="BA280" s="223"/>
      <c r="BB280" s="223"/>
      <c r="BC280" s="223"/>
      <c r="BD280" s="223"/>
      <c r="BE280" s="223"/>
      <c r="BF280" s="223"/>
      <c r="BG280" s="223"/>
      <c r="BH280" s="223"/>
      <c r="BI280" s="223"/>
    </row>
    <row r="281" spans="1:61" ht="7.4" customHeight="1" x14ac:dyDescent="0.5">
      <c r="A281" s="223"/>
      <c r="B281" s="223"/>
      <c r="C281" s="223"/>
      <c r="D281" s="223"/>
      <c r="E281" s="223"/>
      <c r="F281" s="223"/>
      <c r="G281" s="223"/>
      <c r="H281" s="223"/>
      <c r="I281" s="223"/>
      <c r="J281" s="223"/>
      <c r="K281" s="223"/>
      <c r="L281" s="223"/>
      <c r="M281" s="223"/>
      <c r="N281" s="223"/>
      <c r="O281" s="223"/>
      <c r="P281" s="223"/>
      <c r="Q281" s="223"/>
      <c r="R281" s="223"/>
      <c r="S281" s="223"/>
      <c r="T281" s="223"/>
      <c r="U281" s="223"/>
      <c r="V281" s="223"/>
      <c r="W281" s="223"/>
      <c r="X281" s="223"/>
      <c r="Y281" s="223"/>
      <c r="Z281" s="223"/>
      <c r="AA281" s="223"/>
      <c r="AB281" s="223"/>
      <c r="AC281" s="223"/>
      <c r="AD281" s="223"/>
      <c r="AE281" s="223"/>
      <c r="AF281" s="223"/>
      <c r="AG281" s="223"/>
      <c r="AH281" s="223"/>
      <c r="AI281" s="223"/>
      <c r="AJ281" s="223"/>
      <c r="AK281" s="223"/>
      <c r="AL281" s="223"/>
      <c r="AM281" s="223"/>
      <c r="AN281" s="223"/>
      <c r="AO281" s="223"/>
      <c r="AP281" s="223"/>
      <c r="AQ281" s="223"/>
      <c r="AR281" s="223"/>
      <c r="AS281" s="223"/>
      <c r="AT281" s="223"/>
      <c r="AU281" s="223"/>
      <c r="AV281" s="223"/>
      <c r="AW281" s="223"/>
      <c r="AX281" s="223"/>
      <c r="AY281" s="223"/>
      <c r="AZ281" s="223"/>
      <c r="BA281" s="223"/>
      <c r="BB281" s="223"/>
      <c r="BC281" s="223"/>
      <c r="BD281" s="223"/>
      <c r="BE281" s="223"/>
      <c r="BF281" s="223"/>
      <c r="BG281" s="223"/>
      <c r="BH281" s="223"/>
      <c r="BI281" s="223"/>
    </row>
    <row r="282" spans="1:61" ht="7.4" customHeight="1" x14ac:dyDescent="0.5">
      <c r="A282" s="223"/>
      <c r="B282" s="223"/>
      <c r="C282" s="223"/>
      <c r="D282" s="223"/>
      <c r="E282" s="223"/>
      <c r="F282" s="223"/>
      <c r="G282" s="223"/>
      <c r="H282" s="223"/>
      <c r="I282" s="223"/>
      <c r="J282" s="223"/>
      <c r="K282" s="223"/>
      <c r="L282" s="223"/>
      <c r="M282" s="223"/>
      <c r="N282" s="223"/>
      <c r="O282" s="223"/>
      <c r="P282" s="223"/>
      <c r="Q282" s="223"/>
      <c r="R282" s="223"/>
      <c r="S282" s="223"/>
      <c r="T282" s="223"/>
      <c r="U282" s="223"/>
      <c r="V282" s="223"/>
      <c r="W282" s="223"/>
      <c r="X282" s="223"/>
      <c r="Y282" s="223"/>
      <c r="Z282" s="223"/>
      <c r="AA282" s="223"/>
      <c r="AB282" s="223"/>
      <c r="AC282" s="223"/>
      <c r="AD282" s="223"/>
      <c r="AE282" s="223"/>
      <c r="AF282" s="223"/>
      <c r="AG282" s="223"/>
      <c r="AH282" s="223"/>
      <c r="AI282" s="223"/>
      <c r="AJ282" s="223"/>
      <c r="AK282" s="223"/>
      <c r="AL282" s="223"/>
      <c r="AM282" s="223"/>
      <c r="AN282" s="223"/>
      <c r="AO282" s="223"/>
      <c r="AP282" s="223"/>
      <c r="AQ282" s="223"/>
      <c r="AR282" s="223"/>
      <c r="AS282" s="223"/>
      <c r="AT282" s="223"/>
      <c r="AU282" s="223"/>
      <c r="AV282" s="223"/>
      <c r="AW282" s="223"/>
      <c r="AX282" s="223"/>
      <c r="AY282" s="223"/>
      <c r="AZ282" s="223"/>
      <c r="BA282" s="223"/>
      <c r="BB282" s="223"/>
      <c r="BC282" s="223"/>
      <c r="BD282" s="223"/>
      <c r="BE282" s="223"/>
      <c r="BF282" s="223"/>
      <c r="BG282" s="223"/>
      <c r="BH282" s="223"/>
      <c r="BI282" s="223"/>
    </row>
    <row r="283" spans="1:61" ht="7.4" customHeight="1" x14ac:dyDescent="0.5">
      <c r="A283" s="223"/>
      <c r="B283" s="223"/>
      <c r="C283" s="223"/>
      <c r="D283" s="223"/>
      <c r="E283" s="223"/>
      <c r="F283" s="223"/>
      <c r="G283" s="223"/>
      <c r="H283" s="223"/>
      <c r="I283" s="223"/>
      <c r="J283" s="223"/>
      <c r="K283" s="223"/>
      <c r="L283" s="223"/>
      <c r="M283" s="223"/>
      <c r="N283" s="223"/>
      <c r="O283" s="223"/>
      <c r="P283" s="223"/>
      <c r="Q283" s="223"/>
      <c r="R283" s="223"/>
      <c r="S283" s="223"/>
      <c r="T283" s="223"/>
      <c r="U283" s="223"/>
      <c r="V283" s="223"/>
      <c r="W283" s="223"/>
      <c r="X283" s="223"/>
      <c r="Y283" s="223"/>
      <c r="Z283" s="223"/>
      <c r="AA283" s="223"/>
      <c r="AB283" s="223"/>
      <c r="AC283" s="223"/>
      <c r="AD283" s="223"/>
      <c r="AE283" s="223"/>
      <c r="AF283" s="223"/>
      <c r="AG283" s="223"/>
      <c r="AH283" s="223"/>
      <c r="AI283" s="223"/>
      <c r="AJ283" s="223"/>
      <c r="AK283" s="223"/>
      <c r="AL283" s="223"/>
      <c r="AM283" s="223"/>
      <c r="AN283" s="223"/>
      <c r="AO283" s="223"/>
      <c r="AP283" s="223"/>
      <c r="AQ283" s="223"/>
      <c r="AR283" s="223"/>
      <c r="AS283" s="223"/>
      <c r="AT283" s="223"/>
      <c r="AU283" s="223"/>
      <c r="AV283" s="223"/>
      <c r="AW283" s="223"/>
      <c r="AX283" s="223"/>
      <c r="AY283" s="223"/>
      <c r="AZ283" s="223"/>
      <c r="BA283" s="223"/>
      <c r="BB283" s="223"/>
      <c r="BC283" s="223"/>
      <c r="BD283" s="223"/>
      <c r="BE283" s="223"/>
      <c r="BF283" s="223"/>
      <c r="BG283" s="223"/>
      <c r="BH283" s="223"/>
      <c r="BI283" s="223"/>
    </row>
    <row r="284" spans="1:61" ht="7.4" customHeight="1" x14ac:dyDescent="0.5">
      <c r="A284" s="223"/>
      <c r="B284" s="223"/>
      <c r="C284" s="223"/>
      <c r="D284" s="223"/>
      <c r="E284" s="223"/>
      <c r="F284" s="223"/>
      <c r="G284" s="223"/>
      <c r="H284" s="223"/>
      <c r="I284" s="223"/>
      <c r="J284" s="223"/>
      <c r="K284" s="223"/>
      <c r="L284" s="223"/>
      <c r="M284" s="223"/>
      <c r="N284" s="223"/>
      <c r="O284" s="223"/>
      <c r="P284" s="223"/>
      <c r="Q284" s="223"/>
      <c r="R284" s="223"/>
      <c r="S284" s="223"/>
      <c r="T284" s="223"/>
      <c r="U284" s="223"/>
      <c r="V284" s="223"/>
      <c r="W284" s="223"/>
      <c r="X284" s="223"/>
      <c r="Y284" s="223"/>
      <c r="Z284" s="223"/>
      <c r="AA284" s="223"/>
      <c r="AB284" s="223"/>
      <c r="AC284" s="223"/>
      <c r="AD284" s="223"/>
      <c r="AE284" s="223"/>
      <c r="AF284" s="223"/>
      <c r="AG284" s="223"/>
      <c r="AH284" s="223"/>
      <c r="AI284" s="223"/>
      <c r="AJ284" s="223"/>
      <c r="AK284" s="223"/>
      <c r="AL284" s="223"/>
      <c r="AM284" s="223"/>
      <c r="AN284" s="223"/>
      <c r="AO284" s="223"/>
      <c r="AP284" s="223"/>
      <c r="AQ284" s="223"/>
      <c r="AR284" s="223"/>
      <c r="AS284" s="223"/>
      <c r="AT284" s="223"/>
      <c r="AU284" s="223"/>
      <c r="AV284" s="223"/>
      <c r="AW284" s="223"/>
      <c r="AX284" s="223"/>
      <c r="AY284" s="223"/>
      <c r="AZ284" s="223"/>
      <c r="BA284" s="223"/>
      <c r="BB284" s="223"/>
      <c r="BC284" s="223"/>
      <c r="BD284" s="223"/>
      <c r="BE284" s="223"/>
      <c r="BF284" s="223"/>
      <c r="BG284" s="223"/>
      <c r="BH284" s="223"/>
      <c r="BI284" s="223"/>
    </row>
    <row r="285" spans="1:61" ht="7.4" customHeight="1" x14ac:dyDescent="0.5">
      <c r="A285" s="223"/>
      <c r="B285" s="223"/>
      <c r="C285" s="223"/>
      <c r="D285" s="223"/>
      <c r="E285" s="223"/>
      <c r="F285" s="223"/>
      <c r="G285" s="223"/>
      <c r="H285" s="223"/>
      <c r="I285" s="223"/>
      <c r="J285" s="223"/>
      <c r="K285" s="223"/>
      <c r="L285" s="223"/>
      <c r="M285" s="223"/>
      <c r="N285" s="223"/>
      <c r="O285" s="223"/>
      <c r="P285" s="223"/>
      <c r="Q285" s="223"/>
      <c r="R285" s="223"/>
      <c r="S285" s="223"/>
      <c r="T285" s="223"/>
      <c r="U285" s="223"/>
      <c r="V285" s="223"/>
      <c r="W285" s="223"/>
      <c r="X285" s="223"/>
      <c r="Y285" s="223"/>
      <c r="Z285" s="223"/>
      <c r="AA285" s="223"/>
      <c r="AB285" s="223"/>
      <c r="AC285" s="223"/>
      <c r="AD285" s="223"/>
      <c r="AE285" s="223"/>
      <c r="AF285" s="223"/>
      <c r="AG285" s="223"/>
      <c r="AH285" s="223"/>
      <c r="AI285" s="223"/>
      <c r="AJ285" s="223"/>
      <c r="AK285" s="223"/>
      <c r="AL285" s="223"/>
      <c r="AM285" s="223"/>
      <c r="AN285" s="223"/>
      <c r="AO285" s="223"/>
      <c r="AP285" s="223"/>
      <c r="AQ285" s="223"/>
      <c r="AR285" s="223"/>
      <c r="AS285" s="223"/>
      <c r="AT285" s="223"/>
      <c r="AU285" s="223"/>
      <c r="AV285" s="223"/>
      <c r="AW285" s="223"/>
      <c r="AX285" s="223"/>
      <c r="AY285" s="223"/>
      <c r="AZ285" s="223"/>
      <c r="BA285" s="223"/>
      <c r="BB285" s="223"/>
      <c r="BC285" s="223"/>
      <c r="BD285" s="223"/>
      <c r="BE285" s="223"/>
      <c r="BF285" s="223"/>
      <c r="BG285" s="223"/>
      <c r="BH285" s="223"/>
      <c r="BI285" s="223"/>
    </row>
    <row r="286" spans="1:61" ht="7.4" customHeight="1" x14ac:dyDescent="0.5">
      <c r="A286" s="223"/>
      <c r="B286" s="223"/>
      <c r="C286" s="223"/>
      <c r="D286" s="223"/>
      <c r="E286" s="223"/>
      <c r="F286" s="223"/>
      <c r="G286" s="223"/>
      <c r="H286" s="223"/>
      <c r="I286" s="223"/>
      <c r="J286" s="223"/>
      <c r="K286" s="223"/>
      <c r="L286" s="223"/>
      <c r="M286" s="223"/>
      <c r="N286" s="223"/>
      <c r="O286" s="223"/>
      <c r="P286" s="223"/>
      <c r="Q286" s="223"/>
      <c r="R286" s="223"/>
      <c r="S286" s="223"/>
      <c r="T286" s="223"/>
      <c r="U286" s="223"/>
      <c r="V286" s="223"/>
      <c r="W286" s="223"/>
      <c r="X286" s="223"/>
      <c r="Y286" s="223"/>
      <c r="Z286" s="223"/>
      <c r="AA286" s="223"/>
      <c r="AB286" s="223"/>
      <c r="AC286" s="223"/>
      <c r="AD286" s="223"/>
      <c r="AE286" s="223"/>
      <c r="AF286" s="223"/>
      <c r="AG286" s="223"/>
      <c r="AH286" s="223"/>
      <c r="AI286" s="223"/>
      <c r="AJ286" s="223"/>
      <c r="AK286" s="223"/>
      <c r="AL286" s="223"/>
      <c r="AM286" s="223"/>
      <c r="AN286" s="223"/>
      <c r="AO286" s="223"/>
      <c r="AP286" s="223"/>
      <c r="AQ286" s="223"/>
      <c r="AR286" s="223"/>
      <c r="AS286" s="223"/>
      <c r="AT286" s="223"/>
      <c r="AU286" s="223"/>
      <c r="AV286" s="223"/>
      <c r="AW286" s="223"/>
      <c r="AX286" s="223"/>
      <c r="AY286" s="223"/>
      <c r="AZ286" s="223"/>
      <c r="BA286" s="223"/>
      <c r="BB286" s="223"/>
      <c r="BC286" s="223"/>
      <c r="BD286" s="223"/>
      <c r="BE286" s="223"/>
      <c r="BF286" s="223"/>
      <c r="BG286" s="223"/>
      <c r="BH286" s="223"/>
      <c r="BI286" s="223"/>
    </row>
    <row r="287" spans="1:61" ht="7.4" customHeight="1" x14ac:dyDescent="0.5">
      <c r="A287" s="223"/>
      <c r="B287" s="223"/>
      <c r="C287" s="223"/>
      <c r="D287" s="223"/>
      <c r="E287" s="223"/>
      <c r="F287" s="223"/>
      <c r="G287" s="223"/>
      <c r="H287" s="223"/>
      <c r="I287" s="223"/>
      <c r="J287" s="223"/>
      <c r="K287" s="223"/>
      <c r="L287" s="223"/>
      <c r="M287" s="223"/>
      <c r="N287" s="223"/>
      <c r="O287" s="223"/>
      <c r="P287" s="223"/>
      <c r="Q287" s="223"/>
      <c r="R287" s="223"/>
      <c r="S287" s="223"/>
      <c r="T287" s="223"/>
      <c r="U287" s="223"/>
      <c r="V287" s="223"/>
      <c r="W287" s="223"/>
      <c r="X287" s="223"/>
      <c r="Y287" s="223"/>
      <c r="Z287" s="223"/>
      <c r="AA287" s="223"/>
      <c r="AB287" s="223"/>
      <c r="AC287" s="223"/>
      <c r="AD287" s="223"/>
      <c r="AE287" s="223"/>
      <c r="AF287" s="223"/>
      <c r="AG287" s="223"/>
      <c r="AH287" s="223"/>
      <c r="AI287" s="223"/>
      <c r="AJ287" s="223"/>
      <c r="AK287" s="223"/>
      <c r="AL287" s="223"/>
      <c r="AM287" s="223"/>
      <c r="AN287" s="223"/>
      <c r="AO287" s="223"/>
      <c r="AP287" s="223"/>
      <c r="AQ287" s="223"/>
      <c r="AR287" s="223"/>
      <c r="AS287" s="223"/>
      <c r="AT287" s="223"/>
      <c r="AU287" s="223"/>
      <c r="AV287" s="223"/>
      <c r="AW287" s="223"/>
      <c r="AX287" s="223"/>
      <c r="AY287" s="223"/>
      <c r="AZ287" s="223"/>
      <c r="BA287" s="223"/>
      <c r="BB287" s="223"/>
      <c r="BC287" s="223"/>
      <c r="BD287" s="223"/>
      <c r="BE287" s="223"/>
      <c r="BF287" s="223"/>
      <c r="BG287" s="223"/>
      <c r="BH287" s="223"/>
      <c r="BI287" s="223"/>
    </row>
    <row r="288" spans="1:61" ht="7.4" customHeight="1" x14ac:dyDescent="0.5">
      <c r="A288" s="223"/>
      <c r="B288" s="223"/>
      <c r="C288" s="223"/>
      <c r="D288" s="223"/>
      <c r="E288" s="223"/>
      <c r="F288" s="223"/>
      <c r="G288" s="223"/>
      <c r="H288" s="223"/>
      <c r="I288" s="223"/>
      <c r="J288" s="223"/>
      <c r="K288" s="223"/>
      <c r="L288" s="223"/>
      <c r="M288" s="223"/>
      <c r="N288" s="223"/>
      <c r="O288" s="223"/>
      <c r="P288" s="223"/>
      <c r="Q288" s="223"/>
      <c r="R288" s="223"/>
      <c r="S288" s="223"/>
      <c r="T288" s="223"/>
      <c r="U288" s="223"/>
      <c r="V288" s="223"/>
      <c r="W288" s="223"/>
      <c r="X288" s="223"/>
      <c r="Y288" s="223"/>
      <c r="Z288" s="223"/>
      <c r="AA288" s="223"/>
      <c r="AB288" s="223"/>
      <c r="AC288" s="223"/>
      <c r="AD288" s="223"/>
      <c r="AE288" s="223"/>
      <c r="AF288" s="223"/>
      <c r="AG288" s="223"/>
      <c r="AH288" s="223"/>
      <c r="AI288" s="223"/>
      <c r="AJ288" s="223"/>
      <c r="AK288" s="223"/>
      <c r="AL288" s="223"/>
      <c r="AM288" s="223"/>
      <c r="AN288" s="223"/>
      <c r="AO288" s="223"/>
      <c r="AP288" s="223"/>
      <c r="AQ288" s="223"/>
      <c r="AR288" s="223"/>
      <c r="AS288" s="223"/>
      <c r="AT288" s="223"/>
      <c r="AU288" s="223"/>
      <c r="AV288" s="223"/>
      <c r="AW288" s="223"/>
      <c r="AX288" s="223"/>
      <c r="AY288" s="223"/>
      <c r="AZ288" s="223"/>
      <c r="BA288" s="223"/>
      <c r="BB288" s="223"/>
      <c r="BC288" s="223"/>
      <c r="BD288" s="223"/>
      <c r="BE288" s="223"/>
      <c r="BF288" s="223"/>
      <c r="BG288" s="223"/>
      <c r="BH288" s="223"/>
      <c r="BI288" s="223"/>
    </row>
    <row r="289" spans="1:61" ht="7.4" customHeight="1" x14ac:dyDescent="0.5">
      <c r="A289" s="223"/>
      <c r="B289" s="223"/>
      <c r="C289" s="223"/>
      <c r="D289" s="223"/>
      <c r="E289" s="223"/>
      <c r="F289" s="223"/>
      <c r="G289" s="223"/>
      <c r="H289" s="223"/>
      <c r="I289" s="223"/>
      <c r="J289" s="223"/>
      <c r="K289" s="223"/>
      <c r="L289" s="223"/>
      <c r="M289" s="223"/>
      <c r="N289" s="223"/>
      <c r="O289" s="223"/>
      <c r="P289" s="223"/>
      <c r="Q289" s="223"/>
      <c r="R289" s="223"/>
      <c r="S289" s="223"/>
      <c r="T289" s="223"/>
      <c r="U289" s="223"/>
      <c r="V289" s="223"/>
      <c r="W289" s="223"/>
      <c r="X289" s="223"/>
      <c r="Y289" s="223"/>
      <c r="Z289" s="223"/>
      <c r="AA289" s="223"/>
      <c r="AB289" s="223"/>
      <c r="AC289" s="223"/>
      <c r="AD289" s="223"/>
      <c r="AE289" s="223"/>
      <c r="AF289" s="223"/>
      <c r="AG289" s="223"/>
      <c r="AH289" s="223"/>
      <c r="AI289" s="223"/>
      <c r="AJ289" s="223"/>
      <c r="AK289" s="223"/>
      <c r="AL289" s="223"/>
      <c r="AM289" s="223"/>
      <c r="AN289" s="223"/>
      <c r="AO289" s="223"/>
      <c r="AP289" s="223"/>
      <c r="AQ289" s="223"/>
      <c r="AR289" s="223"/>
      <c r="AS289" s="223"/>
      <c r="AT289" s="223"/>
      <c r="AU289" s="223"/>
      <c r="AV289" s="223"/>
      <c r="AW289" s="223"/>
      <c r="AX289" s="223"/>
      <c r="AY289" s="223"/>
      <c r="AZ289" s="223"/>
      <c r="BA289" s="223"/>
      <c r="BB289" s="223"/>
      <c r="BC289" s="223"/>
      <c r="BD289" s="223"/>
      <c r="BE289" s="223"/>
      <c r="BF289" s="223"/>
      <c r="BG289" s="223"/>
      <c r="BH289" s="223"/>
      <c r="BI289" s="223"/>
    </row>
    <row r="290" spans="1:61" ht="7.4" customHeight="1" x14ac:dyDescent="0.5">
      <c r="A290" s="223"/>
      <c r="B290" s="223"/>
      <c r="C290" s="223"/>
      <c r="D290" s="223"/>
      <c r="E290" s="223"/>
      <c r="F290" s="223"/>
      <c r="G290" s="223"/>
      <c r="H290" s="223"/>
      <c r="I290" s="223"/>
      <c r="J290" s="223"/>
      <c r="K290" s="223"/>
      <c r="L290" s="223"/>
      <c r="M290" s="223"/>
      <c r="N290" s="223"/>
      <c r="O290" s="223"/>
      <c r="P290" s="223"/>
      <c r="Q290" s="223"/>
      <c r="R290" s="223"/>
      <c r="S290" s="223"/>
      <c r="T290" s="223"/>
      <c r="U290" s="223"/>
      <c r="V290" s="223"/>
      <c r="W290" s="223"/>
      <c r="X290" s="223"/>
      <c r="Y290" s="223"/>
      <c r="Z290" s="223"/>
      <c r="AA290" s="223"/>
      <c r="AB290" s="223"/>
      <c r="AC290" s="223"/>
      <c r="AD290" s="223"/>
      <c r="AE290" s="223"/>
      <c r="AF290" s="223"/>
      <c r="AG290" s="223"/>
      <c r="AH290" s="223"/>
      <c r="AI290" s="223"/>
      <c r="AJ290" s="223"/>
      <c r="AK290" s="223"/>
      <c r="AL290" s="223"/>
      <c r="AM290" s="223"/>
      <c r="AN290" s="223"/>
      <c r="AO290" s="223"/>
      <c r="AP290" s="223"/>
      <c r="AQ290" s="223"/>
      <c r="AR290" s="223"/>
      <c r="AS290" s="223"/>
      <c r="AT290" s="223"/>
      <c r="AU290" s="223"/>
      <c r="AV290" s="223"/>
      <c r="AW290" s="223"/>
      <c r="AX290" s="223"/>
      <c r="AY290" s="223"/>
      <c r="AZ290" s="223"/>
      <c r="BA290" s="223"/>
      <c r="BB290" s="223"/>
      <c r="BC290" s="223"/>
      <c r="BD290" s="223"/>
      <c r="BE290" s="223"/>
      <c r="BF290" s="223"/>
      <c r="BG290" s="223"/>
      <c r="BH290" s="223"/>
      <c r="BI290" s="223"/>
    </row>
    <row r="291" spans="1:61" ht="7.4" customHeight="1" x14ac:dyDescent="0.5">
      <c r="A291" s="223"/>
      <c r="B291" s="223"/>
      <c r="C291" s="223"/>
      <c r="D291" s="223"/>
      <c r="E291" s="223"/>
      <c r="F291" s="223"/>
      <c r="G291" s="223"/>
      <c r="H291" s="223"/>
      <c r="I291" s="223"/>
      <c r="J291" s="223"/>
      <c r="K291" s="223"/>
      <c r="L291" s="223"/>
      <c r="M291" s="223"/>
      <c r="N291" s="223"/>
      <c r="O291" s="223"/>
      <c r="P291" s="223"/>
      <c r="Q291" s="223"/>
      <c r="R291" s="223"/>
      <c r="S291" s="223"/>
      <c r="T291" s="223"/>
      <c r="U291" s="223"/>
      <c r="V291" s="223"/>
      <c r="W291" s="223"/>
      <c r="X291" s="223"/>
      <c r="Y291" s="223"/>
      <c r="Z291" s="223"/>
      <c r="AA291" s="223"/>
      <c r="AB291" s="223"/>
      <c r="AC291" s="223"/>
      <c r="AD291" s="223"/>
      <c r="AE291" s="223"/>
      <c r="AF291" s="223"/>
      <c r="AG291" s="223"/>
      <c r="AH291" s="223"/>
      <c r="AI291" s="223"/>
      <c r="AJ291" s="223"/>
      <c r="AK291" s="223"/>
      <c r="AL291" s="223"/>
      <c r="AM291" s="223"/>
      <c r="AN291" s="223"/>
      <c r="AO291" s="223"/>
      <c r="AP291" s="223"/>
      <c r="AQ291" s="223"/>
      <c r="AR291" s="223"/>
      <c r="AS291" s="223"/>
      <c r="AT291" s="223"/>
      <c r="AU291" s="223"/>
      <c r="AV291" s="223"/>
      <c r="AW291" s="223"/>
      <c r="AX291" s="223"/>
      <c r="AY291" s="223"/>
      <c r="AZ291" s="223"/>
      <c r="BA291" s="223"/>
      <c r="BB291" s="223"/>
      <c r="BC291" s="223"/>
      <c r="BD291" s="223"/>
      <c r="BE291" s="223"/>
      <c r="BF291" s="223"/>
      <c r="BG291" s="223"/>
      <c r="BH291" s="223"/>
      <c r="BI291" s="223"/>
    </row>
    <row r="292" spans="1:61" ht="7.4" customHeight="1" x14ac:dyDescent="0.5">
      <c r="A292" s="223"/>
      <c r="B292" s="223"/>
      <c r="C292" s="223"/>
      <c r="D292" s="223"/>
      <c r="E292" s="223"/>
      <c r="F292" s="223"/>
      <c r="G292" s="223"/>
      <c r="H292" s="223"/>
      <c r="I292" s="223"/>
      <c r="J292" s="223"/>
      <c r="K292" s="223"/>
      <c r="L292" s="223"/>
      <c r="M292" s="223"/>
      <c r="N292" s="223"/>
      <c r="O292" s="223"/>
      <c r="P292" s="223"/>
      <c r="Q292" s="223"/>
      <c r="R292" s="223"/>
      <c r="S292" s="223"/>
      <c r="T292" s="223"/>
      <c r="U292" s="223"/>
      <c r="V292" s="223"/>
      <c r="W292" s="223"/>
      <c r="X292" s="223"/>
      <c r="Y292" s="223"/>
      <c r="Z292" s="223"/>
      <c r="AA292" s="223"/>
      <c r="AB292" s="223"/>
      <c r="AC292" s="223"/>
      <c r="AD292" s="223"/>
      <c r="AE292" s="223"/>
      <c r="AF292" s="223"/>
      <c r="AG292" s="223"/>
      <c r="AH292" s="223"/>
      <c r="AI292" s="223"/>
      <c r="AJ292" s="223"/>
      <c r="AK292" s="223"/>
      <c r="AL292" s="223"/>
      <c r="AM292" s="223"/>
      <c r="AN292" s="223"/>
      <c r="AO292" s="223"/>
      <c r="AP292" s="223"/>
      <c r="AQ292" s="223"/>
      <c r="AR292" s="223"/>
      <c r="AS292" s="223"/>
      <c r="AT292" s="223"/>
      <c r="AU292" s="223"/>
      <c r="AV292" s="223"/>
      <c r="AW292" s="223"/>
      <c r="AX292" s="223"/>
      <c r="AY292" s="223"/>
      <c r="AZ292" s="223"/>
      <c r="BA292" s="223"/>
      <c r="BB292" s="223"/>
      <c r="BC292" s="223"/>
      <c r="BD292" s="223"/>
      <c r="BE292" s="223"/>
      <c r="BF292" s="223"/>
      <c r="BG292" s="223"/>
      <c r="BH292" s="223"/>
      <c r="BI292" s="223"/>
    </row>
    <row r="293" spans="1:61" ht="7.4" customHeight="1" x14ac:dyDescent="0.5">
      <c r="A293" s="223"/>
      <c r="B293" s="223"/>
      <c r="C293" s="223"/>
      <c r="D293" s="223"/>
      <c r="E293" s="223"/>
      <c r="F293" s="223"/>
      <c r="G293" s="223"/>
      <c r="H293" s="223"/>
      <c r="I293" s="223"/>
      <c r="J293" s="223"/>
      <c r="K293" s="223"/>
      <c r="L293" s="223"/>
      <c r="M293" s="223"/>
      <c r="N293" s="223"/>
      <c r="O293" s="223"/>
      <c r="P293" s="223"/>
      <c r="Q293" s="223"/>
      <c r="R293" s="223"/>
      <c r="S293" s="223"/>
      <c r="T293" s="223"/>
      <c r="U293" s="223"/>
      <c r="V293" s="223"/>
      <c r="W293" s="223"/>
      <c r="X293" s="223"/>
      <c r="Y293" s="223"/>
      <c r="Z293" s="223"/>
      <c r="AA293" s="223"/>
      <c r="AB293" s="223"/>
      <c r="AC293" s="223"/>
      <c r="AD293" s="223"/>
      <c r="AE293" s="223"/>
      <c r="AF293" s="223"/>
      <c r="AG293" s="223"/>
      <c r="AH293" s="223"/>
      <c r="AI293" s="223"/>
      <c r="AJ293" s="223"/>
      <c r="AK293" s="223"/>
      <c r="AL293" s="223"/>
      <c r="AM293" s="223"/>
      <c r="AN293" s="223"/>
      <c r="AO293" s="223"/>
      <c r="AP293" s="223"/>
      <c r="AQ293" s="223"/>
      <c r="AR293" s="223"/>
      <c r="AS293" s="223"/>
      <c r="AT293" s="223"/>
      <c r="AU293" s="223"/>
      <c r="AV293" s="223"/>
      <c r="AW293" s="223"/>
      <c r="AX293" s="223"/>
      <c r="AY293" s="223"/>
      <c r="AZ293" s="223"/>
      <c r="BA293" s="223"/>
      <c r="BB293" s="223"/>
      <c r="BC293" s="223"/>
      <c r="BD293" s="223"/>
      <c r="BE293" s="223"/>
      <c r="BF293" s="223"/>
      <c r="BG293" s="223"/>
      <c r="BH293" s="223"/>
      <c r="BI293" s="223"/>
    </row>
    <row r="294" spans="1:61" ht="7.4" customHeight="1" x14ac:dyDescent="0.5">
      <c r="A294" s="223"/>
      <c r="B294" s="223"/>
      <c r="C294" s="223"/>
      <c r="D294" s="223"/>
      <c r="E294" s="223"/>
      <c r="F294" s="223"/>
      <c r="G294" s="223"/>
      <c r="H294" s="223"/>
      <c r="I294" s="223"/>
      <c r="J294" s="223"/>
      <c r="K294" s="223"/>
      <c r="L294" s="223"/>
      <c r="M294" s="223"/>
      <c r="N294" s="223"/>
      <c r="O294" s="223"/>
      <c r="P294" s="223"/>
      <c r="Q294" s="223"/>
      <c r="R294" s="223"/>
      <c r="S294" s="223"/>
      <c r="T294" s="223"/>
      <c r="U294" s="223"/>
      <c r="V294" s="223"/>
      <c r="W294" s="223"/>
      <c r="X294" s="223"/>
      <c r="Y294" s="223"/>
      <c r="Z294" s="223"/>
      <c r="AA294" s="223"/>
      <c r="AB294" s="223"/>
      <c r="AC294" s="223"/>
      <c r="AD294" s="223"/>
      <c r="AE294" s="223"/>
      <c r="AF294" s="223"/>
      <c r="AG294" s="223"/>
      <c r="AH294" s="223"/>
      <c r="AI294" s="223"/>
      <c r="AJ294" s="223"/>
      <c r="AK294" s="223"/>
      <c r="AL294" s="223"/>
      <c r="AM294" s="223"/>
      <c r="AN294" s="223"/>
      <c r="AO294" s="223"/>
      <c r="AP294" s="223"/>
      <c r="AQ294" s="223"/>
      <c r="AR294" s="223"/>
      <c r="AS294" s="223"/>
      <c r="AT294" s="223"/>
      <c r="AU294" s="223"/>
      <c r="AV294" s="223"/>
      <c r="AW294" s="223"/>
      <c r="AX294" s="223"/>
      <c r="AY294" s="223"/>
      <c r="AZ294" s="223"/>
      <c r="BA294" s="223"/>
      <c r="BB294" s="223"/>
      <c r="BC294" s="223"/>
      <c r="BD294" s="223"/>
      <c r="BE294" s="223"/>
      <c r="BF294" s="223"/>
      <c r="BG294" s="223"/>
      <c r="BH294" s="223"/>
      <c r="BI294" s="223"/>
    </row>
    <row r="295" spans="1:61" ht="7.4" customHeight="1" x14ac:dyDescent="0.5">
      <c r="A295" s="223"/>
      <c r="B295" s="223"/>
      <c r="C295" s="223"/>
      <c r="D295" s="223"/>
      <c r="E295" s="223"/>
      <c r="F295" s="223"/>
      <c r="G295" s="223"/>
      <c r="H295" s="223"/>
      <c r="I295" s="223"/>
      <c r="J295" s="223"/>
      <c r="K295" s="223"/>
      <c r="L295" s="223"/>
      <c r="M295" s="223"/>
      <c r="N295" s="223"/>
      <c r="O295" s="223"/>
      <c r="P295" s="223"/>
      <c r="Q295" s="223"/>
      <c r="R295" s="223"/>
      <c r="S295" s="223"/>
      <c r="T295" s="223"/>
      <c r="U295" s="223"/>
      <c r="V295" s="223"/>
      <c r="W295" s="223"/>
      <c r="X295" s="223"/>
      <c r="Y295" s="223"/>
      <c r="Z295" s="223"/>
      <c r="AA295" s="223"/>
      <c r="AB295" s="223"/>
      <c r="AC295" s="223"/>
      <c r="AD295" s="223"/>
      <c r="AE295" s="223"/>
      <c r="AF295" s="223"/>
      <c r="AG295" s="223"/>
      <c r="AH295" s="223"/>
      <c r="AI295" s="223"/>
      <c r="AJ295" s="223"/>
      <c r="AK295" s="223"/>
      <c r="AL295" s="223"/>
      <c r="AM295" s="223"/>
      <c r="AN295" s="223"/>
      <c r="AO295" s="223"/>
      <c r="AP295" s="223"/>
      <c r="AQ295" s="223"/>
      <c r="AR295" s="223"/>
      <c r="AS295" s="223"/>
      <c r="AT295" s="223"/>
      <c r="AU295" s="223"/>
      <c r="AV295" s="223"/>
      <c r="AW295" s="223"/>
      <c r="AX295" s="223"/>
      <c r="AY295" s="223"/>
      <c r="AZ295" s="223"/>
      <c r="BA295" s="223"/>
      <c r="BB295" s="223"/>
      <c r="BC295" s="223"/>
      <c r="BD295" s="223"/>
      <c r="BE295" s="223"/>
      <c r="BF295" s="223"/>
      <c r="BG295" s="223"/>
      <c r="BH295" s="223"/>
      <c r="BI295" s="223"/>
    </row>
    <row r="296" spans="1:61" ht="7.4" customHeight="1" x14ac:dyDescent="0.5"/>
    <row r="297" spans="1:61" ht="7.4" customHeight="1" x14ac:dyDescent="0.5"/>
  </sheetData>
  <sheetProtection algorithmName="SHA-512" hashValue="35sgoTTa4c3GGP6ZGF0l7yL9bD16VncdOSohA2hAOnCZN/zYkP/PTM86nC2xnr0EqkTB1SJj7KgMua4DVArxDQ==" saltValue="POf2DrwEsblwR2cX51z+fw==" spinCount="100000" sheet="1" objects="1" scenarios="1" selectLockedCells="1"/>
  <mergeCells count="1167">
    <mergeCell ref="C219:D220"/>
    <mergeCell ref="G219:R220"/>
    <mergeCell ref="T219:AJ220"/>
    <mergeCell ref="AL219:AO220"/>
    <mergeCell ref="AR219:BG220"/>
    <mergeCell ref="BK219:BM220"/>
    <mergeCell ref="T21:AP22"/>
    <mergeCell ref="C25:AC27"/>
    <mergeCell ref="AE25:BH27"/>
    <mergeCell ref="T28:AC30"/>
    <mergeCell ref="AO28:BH30"/>
    <mergeCell ref="C29:R29"/>
    <mergeCell ref="AF29:AM29"/>
    <mergeCell ref="C17:F18"/>
    <mergeCell ref="G17:X18"/>
    <mergeCell ref="Y17:AC18"/>
    <mergeCell ref="AD17:AS18"/>
    <mergeCell ref="AT17:AW18"/>
    <mergeCell ref="AX17:BH18"/>
    <mergeCell ref="BC31:BH33"/>
    <mergeCell ref="BK31:BL31"/>
    <mergeCell ref="B39:BH41"/>
    <mergeCell ref="C43:G45"/>
    <mergeCell ref="J43:N45"/>
    <mergeCell ref="Q43:T45"/>
    <mergeCell ref="W43:AS44"/>
    <mergeCell ref="AV43:AZ45"/>
    <mergeCell ref="BC43:BG45"/>
    <mergeCell ref="W45:Z45"/>
    <mergeCell ref="AE45:AH45"/>
    <mergeCell ref="AM45:AP45"/>
    <mergeCell ref="AF35:AM36"/>
    <mergeCell ref="C1:AI9"/>
    <mergeCell ref="AN1:BH2"/>
    <mergeCell ref="AN3:BH4"/>
    <mergeCell ref="AN5:BH6"/>
    <mergeCell ref="AN7:BH8"/>
    <mergeCell ref="A10:AL15"/>
    <mergeCell ref="AN11:AV12"/>
    <mergeCell ref="AX11:BH12"/>
    <mergeCell ref="AN13:AV14"/>
    <mergeCell ref="AX13:BH14"/>
    <mergeCell ref="BM33:BO33"/>
    <mergeCell ref="BP33:BR33"/>
    <mergeCell ref="BC34:BH37"/>
    <mergeCell ref="BK34:BL34"/>
    <mergeCell ref="BM34:BO34"/>
    <mergeCell ref="BP34:BR34"/>
    <mergeCell ref="BK35:BL35"/>
    <mergeCell ref="BM31:BO31"/>
    <mergeCell ref="BP31:BR31"/>
    <mergeCell ref="C32:R32"/>
    <mergeCell ref="AF32:AM32"/>
    <mergeCell ref="BK32:BL32"/>
    <mergeCell ref="BM32:BO32"/>
    <mergeCell ref="BP32:BR32"/>
    <mergeCell ref="BK30:BL30"/>
    <mergeCell ref="BM30:BO30"/>
    <mergeCell ref="BP30:BR30"/>
    <mergeCell ref="T31:AC33"/>
    <mergeCell ref="AO31:AP33"/>
    <mergeCell ref="AQ31:AW33"/>
    <mergeCell ref="AX31:AZ33"/>
    <mergeCell ref="BA31:BB33"/>
    <mergeCell ref="AO35:AV36"/>
    <mergeCell ref="AW35:AW36"/>
    <mergeCell ref="AX35:AZ36"/>
    <mergeCell ref="BA35:BB36"/>
    <mergeCell ref="BK33:BL33"/>
    <mergeCell ref="BF51:BH52"/>
    <mergeCell ref="C54:L55"/>
    <mergeCell ref="M54:O55"/>
    <mergeCell ref="P54:R55"/>
    <mergeCell ref="S54:U55"/>
    <mergeCell ref="V54:X55"/>
    <mergeCell ref="Y54:AA55"/>
    <mergeCell ref="AB54:AD55"/>
    <mergeCell ref="AE54:AG55"/>
    <mergeCell ref="AH54:AJ55"/>
    <mergeCell ref="AN51:AP52"/>
    <mergeCell ref="AQ51:AS52"/>
    <mergeCell ref="AT51:AV52"/>
    <mergeCell ref="AW51:AY52"/>
    <mergeCell ref="AZ51:BB52"/>
    <mergeCell ref="BC51:BE52"/>
    <mergeCell ref="B48:BH50"/>
    <mergeCell ref="M51:O52"/>
    <mergeCell ref="P51:R52"/>
    <mergeCell ref="S51:U52"/>
    <mergeCell ref="V51:X52"/>
    <mergeCell ref="Y51:AA52"/>
    <mergeCell ref="AB51:AD52"/>
    <mergeCell ref="AE51:AG52"/>
    <mergeCell ref="AH51:AJ52"/>
    <mergeCell ref="AK51:AM52"/>
    <mergeCell ref="BK61:BQ64"/>
    <mergeCell ref="C62:L63"/>
    <mergeCell ref="M62:O63"/>
    <mergeCell ref="P62:R63"/>
    <mergeCell ref="S62:U63"/>
    <mergeCell ref="V62:X63"/>
    <mergeCell ref="Y62:AA63"/>
    <mergeCell ref="AH58:AJ59"/>
    <mergeCell ref="AK58:AM59"/>
    <mergeCell ref="AN58:AP59"/>
    <mergeCell ref="AQ58:AS59"/>
    <mergeCell ref="AT58:AV59"/>
    <mergeCell ref="AW58:AY59"/>
    <mergeCell ref="BC54:BE55"/>
    <mergeCell ref="BF54:BH55"/>
    <mergeCell ref="C58:L59"/>
    <mergeCell ref="M58:O59"/>
    <mergeCell ref="P58:R59"/>
    <mergeCell ref="S58:U59"/>
    <mergeCell ref="V58:X59"/>
    <mergeCell ref="Y58:AA59"/>
    <mergeCell ref="AB58:AD59"/>
    <mergeCell ref="AE58:AG59"/>
    <mergeCell ref="AK54:AM55"/>
    <mergeCell ref="AN54:AP55"/>
    <mergeCell ref="AQ54:AS55"/>
    <mergeCell ref="AT54:AV55"/>
    <mergeCell ref="AW54:AY55"/>
    <mergeCell ref="AZ54:BB55"/>
    <mergeCell ref="AT62:AV63"/>
    <mergeCell ref="AW62:AY63"/>
    <mergeCell ref="AZ62:BB63"/>
    <mergeCell ref="BC62:BE63"/>
    <mergeCell ref="BF62:BH63"/>
    <mergeCell ref="C65:L67"/>
    <mergeCell ref="M66:O67"/>
    <mergeCell ref="P66:R67"/>
    <mergeCell ref="S66:U67"/>
    <mergeCell ref="V66:X67"/>
    <mergeCell ref="AB62:AD63"/>
    <mergeCell ref="AE62:AG63"/>
    <mergeCell ref="AH62:AJ63"/>
    <mergeCell ref="AK62:AM63"/>
    <mergeCell ref="AN62:AP63"/>
    <mergeCell ref="AQ62:AS63"/>
    <mergeCell ref="AZ58:BB59"/>
    <mergeCell ref="BC58:BE59"/>
    <mergeCell ref="BF58:BH59"/>
    <mergeCell ref="AI81:AP82"/>
    <mergeCell ref="AS81:BD82"/>
    <mergeCell ref="BF81:BH84"/>
    <mergeCell ref="BW81:CA82"/>
    <mergeCell ref="CB81:CD82"/>
    <mergeCell ref="AS83:BD84"/>
    <mergeCell ref="BL66:BN67"/>
    <mergeCell ref="BO66:BP67"/>
    <mergeCell ref="C77:T79"/>
    <mergeCell ref="X77:AO79"/>
    <mergeCell ref="AS77:BG79"/>
    <mergeCell ref="X80:AH82"/>
    <mergeCell ref="BL80:BU82"/>
    <mergeCell ref="C81:M82"/>
    <mergeCell ref="N81:R82"/>
    <mergeCell ref="S81:U82"/>
    <mergeCell ref="AQ66:AS67"/>
    <mergeCell ref="AT66:AV67"/>
    <mergeCell ref="AW66:AY67"/>
    <mergeCell ref="AZ66:BB67"/>
    <mergeCell ref="BC66:BE67"/>
    <mergeCell ref="BF66:BH67"/>
    <mergeCell ref="Y66:AA67"/>
    <mergeCell ref="AB66:AD67"/>
    <mergeCell ref="AE66:AG67"/>
    <mergeCell ref="AH66:AJ67"/>
    <mergeCell ref="AK66:AM67"/>
    <mergeCell ref="AN66:AP67"/>
    <mergeCell ref="CX86:CZ87"/>
    <mergeCell ref="DA86:DC87"/>
    <mergeCell ref="DD86:DF87"/>
    <mergeCell ref="AS87:BD88"/>
    <mergeCell ref="BF87:BH88"/>
    <mergeCell ref="C88:L90"/>
    <mergeCell ref="BK88:BM89"/>
    <mergeCell ref="BN88:BP89"/>
    <mergeCell ref="BQ88:BS89"/>
    <mergeCell ref="BT88:BV89"/>
    <mergeCell ref="CF86:CH87"/>
    <mergeCell ref="CI86:CK87"/>
    <mergeCell ref="CL86:CN87"/>
    <mergeCell ref="CO86:CQ87"/>
    <mergeCell ref="CR86:CT87"/>
    <mergeCell ref="CU86:CW87"/>
    <mergeCell ref="BN86:BP87"/>
    <mergeCell ref="BQ86:BS87"/>
    <mergeCell ref="BT86:BV87"/>
    <mergeCell ref="BW86:BY87"/>
    <mergeCell ref="BZ86:CB87"/>
    <mergeCell ref="CC86:CE87"/>
    <mergeCell ref="C84:L86"/>
    <mergeCell ref="X84:AH86"/>
    <mergeCell ref="N85:R86"/>
    <mergeCell ref="S85:U86"/>
    <mergeCell ref="AI85:AP86"/>
    <mergeCell ref="BK86:BM87"/>
    <mergeCell ref="CR90:CT91"/>
    <mergeCell ref="CU90:CW91"/>
    <mergeCell ref="CX90:CZ91"/>
    <mergeCell ref="DA90:DC91"/>
    <mergeCell ref="DH88:DS89"/>
    <mergeCell ref="DT88:DU89"/>
    <mergeCell ref="N89:R90"/>
    <mergeCell ref="S89:U90"/>
    <mergeCell ref="X89:AH90"/>
    <mergeCell ref="AI89:AP90"/>
    <mergeCell ref="BK90:BM91"/>
    <mergeCell ref="BN90:BP91"/>
    <mergeCell ref="BQ90:BS91"/>
    <mergeCell ref="BT90:BV91"/>
    <mergeCell ref="CO88:CQ89"/>
    <mergeCell ref="CR88:CT89"/>
    <mergeCell ref="CU88:CW89"/>
    <mergeCell ref="CX88:CZ89"/>
    <mergeCell ref="DA88:DC89"/>
    <mergeCell ref="DD88:DF89"/>
    <mergeCell ref="BW88:BY89"/>
    <mergeCell ref="BZ88:CB89"/>
    <mergeCell ref="CC88:CE89"/>
    <mergeCell ref="CF88:CH89"/>
    <mergeCell ref="CI88:CK89"/>
    <mergeCell ref="CL88:CN89"/>
    <mergeCell ref="DH90:DI91"/>
    <mergeCell ref="DJ90:DS91"/>
    <mergeCell ref="AS91:BD92"/>
    <mergeCell ref="BF91:BH92"/>
    <mergeCell ref="BK92:BM93"/>
    <mergeCell ref="BN92:BP93"/>
    <mergeCell ref="BQ92:BS93"/>
    <mergeCell ref="BT92:BV93"/>
    <mergeCell ref="BW92:BY93"/>
    <mergeCell ref="CO90:CQ91"/>
    <mergeCell ref="DD90:DF91"/>
    <mergeCell ref="BW90:BY91"/>
    <mergeCell ref="BZ90:CB91"/>
    <mergeCell ref="CC90:CE91"/>
    <mergeCell ref="CF90:CH91"/>
    <mergeCell ref="CI90:CK91"/>
    <mergeCell ref="CL90:CN91"/>
    <mergeCell ref="DT94:DU95"/>
    <mergeCell ref="CC94:CE95"/>
    <mergeCell ref="CF94:CH95"/>
    <mergeCell ref="CI94:CK95"/>
    <mergeCell ref="CL94:CN95"/>
    <mergeCell ref="CO94:CQ95"/>
    <mergeCell ref="CR94:CT95"/>
    <mergeCell ref="DJ92:DS93"/>
    <mergeCell ref="X93:AH94"/>
    <mergeCell ref="AI93:AP94"/>
    <mergeCell ref="BK94:BM95"/>
    <mergeCell ref="BN94:BP95"/>
    <mergeCell ref="BQ94:BS95"/>
    <mergeCell ref="BT94:BV95"/>
    <mergeCell ref="BW94:BY95"/>
    <mergeCell ref="BZ94:CB95"/>
    <mergeCell ref="CR92:CT93"/>
    <mergeCell ref="CU92:CW93"/>
    <mergeCell ref="CX92:CZ93"/>
    <mergeCell ref="DA92:DC93"/>
    <mergeCell ref="DD92:DF93"/>
    <mergeCell ref="DH92:DI93"/>
    <mergeCell ref="BZ92:CB93"/>
    <mergeCell ref="CC92:CE93"/>
    <mergeCell ref="CF92:CH93"/>
    <mergeCell ref="CI92:CK93"/>
    <mergeCell ref="CL92:CN93"/>
    <mergeCell ref="CO92:CQ93"/>
    <mergeCell ref="CR96:CT97"/>
    <mergeCell ref="CU96:CW97"/>
    <mergeCell ref="CX96:CZ97"/>
    <mergeCell ref="DA96:DC97"/>
    <mergeCell ref="DD96:DF97"/>
    <mergeCell ref="DH96:DS97"/>
    <mergeCell ref="BZ96:CB97"/>
    <mergeCell ref="CC96:CE97"/>
    <mergeCell ref="CF96:CH97"/>
    <mergeCell ref="CI96:CK97"/>
    <mergeCell ref="CL96:CN97"/>
    <mergeCell ref="CO96:CQ97"/>
    <mergeCell ref="C92:M94"/>
    <mergeCell ref="BK96:BM97"/>
    <mergeCell ref="BN96:BP97"/>
    <mergeCell ref="BQ96:BS97"/>
    <mergeCell ref="BT96:BV97"/>
    <mergeCell ref="BW96:BY97"/>
    <mergeCell ref="N93:U94"/>
    <mergeCell ref="CU94:CW95"/>
    <mergeCell ref="CX94:CZ95"/>
    <mergeCell ref="DA94:DC95"/>
    <mergeCell ref="DD94:DF95"/>
    <mergeCell ref="DH94:DS95"/>
    <mergeCell ref="BK98:BM99"/>
    <mergeCell ref="BN98:BP99"/>
    <mergeCell ref="BQ98:BS99"/>
    <mergeCell ref="DD98:DF99"/>
    <mergeCell ref="DH98:DS99"/>
    <mergeCell ref="BK100:BM101"/>
    <mergeCell ref="BN100:BP101"/>
    <mergeCell ref="BQ100:BS101"/>
    <mergeCell ref="BT100:BV101"/>
    <mergeCell ref="BW100:BY101"/>
    <mergeCell ref="BZ100:CB101"/>
    <mergeCell ref="CC100:CE101"/>
    <mergeCell ref="CF100:CH101"/>
    <mergeCell ref="CL98:CN99"/>
    <mergeCell ref="CO98:CQ99"/>
    <mergeCell ref="CR98:CT99"/>
    <mergeCell ref="CU98:CW99"/>
    <mergeCell ref="CX98:CZ99"/>
    <mergeCell ref="DA98:DC99"/>
    <mergeCell ref="BT98:BV99"/>
    <mergeCell ref="BW98:BY99"/>
    <mergeCell ref="BZ98:CB99"/>
    <mergeCell ref="CC98:CE99"/>
    <mergeCell ref="CF98:CH99"/>
    <mergeCell ref="CI98:CK99"/>
    <mergeCell ref="BK107:BP108"/>
    <mergeCell ref="BQ107:BW108"/>
    <mergeCell ref="BX107:CC108"/>
    <mergeCell ref="BK109:BP110"/>
    <mergeCell ref="BQ109:BV110"/>
    <mergeCell ref="BW109:CB110"/>
    <mergeCell ref="CC109:CH110"/>
    <mergeCell ref="DA100:DC101"/>
    <mergeCell ref="DD100:DF101"/>
    <mergeCell ref="DH100:DV101"/>
    <mergeCell ref="A102:BI103"/>
    <mergeCell ref="BK105:BP106"/>
    <mergeCell ref="BQ105:BW106"/>
    <mergeCell ref="BX105:CC106"/>
    <mergeCell ref="CI100:CK101"/>
    <mergeCell ref="CL100:CN101"/>
    <mergeCell ref="CO100:CQ101"/>
    <mergeCell ref="CR100:CT101"/>
    <mergeCell ref="CU100:CW101"/>
    <mergeCell ref="CX100:CZ101"/>
    <mergeCell ref="BZ115:CB116"/>
    <mergeCell ref="CC115:CE116"/>
    <mergeCell ref="CF115:CH116"/>
    <mergeCell ref="CI115:CK116"/>
    <mergeCell ref="CO113:CT113"/>
    <mergeCell ref="C114:E117"/>
    <mergeCell ref="G114:R117"/>
    <mergeCell ref="T114:AJ117"/>
    <mergeCell ref="AL114:AP117"/>
    <mergeCell ref="BK115:BM116"/>
    <mergeCell ref="BN115:BP116"/>
    <mergeCell ref="BQ115:BS116"/>
    <mergeCell ref="CI109:CN110"/>
    <mergeCell ref="CO109:CT110"/>
    <mergeCell ref="T110:AP111"/>
    <mergeCell ref="BK111:BP112"/>
    <mergeCell ref="BQ111:BV112"/>
    <mergeCell ref="BW111:CB112"/>
    <mergeCell ref="CC111:CH112"/>
    <mergeCell ref="CI111:CN112"/>
    <mergeCell ref="CO111:CT112"/>
    <mergeCell ref="CX118:CZ118"/>
    <mergeCell ref="DA118:DC118"/>
    <mergeCell ref="DD118:DF118"/>
    <mergeCell ref="C119:D120"/>
    <mergeCell ref="G119:R120"/>
    <mergeCell ref="T119:AC120"/>
    <mergeCell ref="AD119:AJ120"/>
    <mergeCell ref="AL119:AO120"/>
    <mergeCell ref="CF118:CH118"/>
    <mergeCell ref="CI118:CK118"/>
    <mergeCell ref="CL118:CN118"/>
    <mergeCell ref="CO118:CQ118"/>
    <mergeCell ref="CR118:CT118"/>
    <mergeCell ref="CU118:CW118"/>
    <mergeCell ref="DD115:DF116"/>
    <mergeCell ref="DH115:DK116"/>
    <mergeCell ref="DL115:DT116"/>
    <mergeCell ref="BK118:BM118"/>
    <mergeCell ref="BN118:BP118"/>
    <mergeCell ref="BQ118:BS118"/>
    <mergeCell ref="BT118:BV118"/>
    <mergeCell ref="BW118:BY118"/>
    <mergeCell ref="BZ118:CB118"/>
    <mergeCell ref="CC118:CE118"/>
    <mergeCell ref="CL115:CN116"/>
    <mergeCell ref="CO115:CQ116"/>
    <mergeCell ref="CR115:CT116"/>
    <mergeCell ref="CU115:CW116"/>
    <mergeCell ref="CX115:CZ116"/>
    <mergeCell ref="DA115:DC116"/>
    <mergeCell ref="BT115:BV116"/>
    <mergeCell ref="BW115:BY116"/>
    <mergeCell ref="DD122:DF122"/>
    <mergeCell ref="DH119:DK120"/>
    <mergeCell ref="DL119:DS120"/>
    <mergeCell ref="C121:D121"/>
    <mergeCell ref="AL121:AO121"/>
    <mergeCell ref="BK121:BM121"/>
    <mergeCell ref="BN121:BP121"/>
    <mergeCell ref="BQ121:BS121"/>
    <mergeCell ref="BT121:BV121"/>
    <mergeCell ref="CO119:CQ120"/>
    <mergeCell ref="CR119:CT120"/>
    <mergeCell ref="CU119:CW120"/>
    <mergeCell ref="CX119:CZ120"/>
    <mergeCell ref="DA119:DC120"/>
    <mergeCell ref="DD119:DF120"/>
    <mergeCell ref="BW119:BY120"/>
    <mergeCell ref="BZ119:CB120"/>
    <mergeCell ref="CC119:CE120"/>
    <mergeCell ref="CF119:CH120"/>
    <mergeCell ref="CI119:CK120"/>
    <mergeCell ref="CL119:CN120"/>
    <mergeCell ref="BK119:BM120"/>
    <mergeCell ref="BN119:BP120"/>
    <mergeCell ref="BQ119:BS120"/>
    <mergeCell ref="BT119:BV120"/>
    <mergeCell ref="DL121:DS121"/>
    <mergeCell ref="BZ122:CB122"/>
    <mergeCell ref="CC122:CE122"/>
    <mergeCell ref="CF122:CH122"/>
    <mergeCell ref="CI122:CK122"/>
    <mergeCell ref="CL122:CN122"/>
    <mergeCell ref="CO122:CQ122"/>
    <mergeCell ref="DH121:DK121"/>
    <mergeCell ref="AL126:AO126"/>
    <mergeCell ref="C127:D128"/>
    <mergeCell ref="G127:R128"/>
    <mergeCell ref="T127:AJ128"/>
    <mergeCell ref="AL127:AO128"/>
    <mergeCell ref="DA123:DC124"/>
    <mergeCell ref="DD123:DF124"/>
    <mergeCell ref="DH123:DK124"/>
    <mergeCell ref="AL122:AO122"/>
    <mergeCell ref="BK122:BM122"/>
    <mergeCell ref="BN122:BP122"/>
    <mergeCell ref="BQ122:BS122"/>
    <mergeCell ref="BT122:BV122"/>
    <mergeCell ref="BW122:BY122"/>
    <mergeCell ref="CO121:CQ121"/>
    <mergeCell ref="CR121:CT121"/>
    <mergeCell ref="CU121:CW121"/>
    <mergeCell ref="CX121:CZ121"/>
    <mergeCell ref="DA121:DC121"/>
    <mergeCell ref="DD121:DF121"/>
    <mergeCell ref="BW121:BY121"/>
    <mergeCell ref="BZ121:CB121"/>
    <mergeCell ref="CC121:CE121"/>
    <mergeCell ref="CF121:CH121"/>
    <mergeCell ref="CI121:CK121"/>
    <mergeCell ref="CL121:CN121"/>
    <mergeCell ref="CR122:CT122"/>
    <mergeCell ref="CU122:CW122"/>
    <mergeCell ref="CX122:CZ122"/>
    <mergeCell ref="DA122:DC122"/>
    <mergeCell ref="DL123:DS124"/>
    <mergeCell ref="C125:D125"/>
    <mergeCell ref="AL125:AO125"/>
    <mergeCell ref="DH125:DK125"/>
    <mergeCell ref="DL125:DS125"/>
    <mergeCell ref="CI123:CK124"/>
    <mergeCell ref="CL123:CN124"/>
    <mergeCell ref="CO123:CQ124"/>
    <mergeCell ref="CR123:CT124"/>
    <mergeCell ref="CU123:CW124"/>
    <mergeCell ref="CX123:CZ124"/>
    <mergeCell ref="BQ123:BS124"/>
    <mergeCell ref="BT123:BV124"/>
    <mergeCell ref="BW123:BY124"/>
    <mergeCell ref="BZ123:CB124"/>
    <mergeCell ref="CC123:CE124"/>
    <mergeCell ref="CF123:CH124"/>
    <mergeCell ref="BK123:BM124"/>
    <mergeCell ref="BN123:BP124"/>
    <mergeCell ref="C123:D124"/>
    <mergeCell ref="G123:R124"/>
    <mergeCell ref="T123:AC124"/>
    <mergeCell ref="AF123:AI124"/>
    <mergeCell ref="AL123:AO124"/>
    <mergeCell ref="AL130:AO130"/>
    <mergeCell ref="C131:D132"/>
    <mergeCell ref="G131:R132"/>
    <mergeCell ref="T131:AJ132"/>
    <mergeCell ref="AL131:AO132"/>
    <mergeCell ref="DL127:DS128"/>
    <mergeCell ref="C129:D129"/>
    <mergeCell ref="AL129:AO129"/>
    <mergeCell ref="DH129:DK129"/>
    <mergeCell ref="DL129:DS129"/>
    <mergeCell ref="CR127:CT128"/>
    <mergeCell ref="CU127:CW128"/>
    <mergeCell ref="CX127:CZ128"/>
    <mergeCell ref="DA127:DC128"/>
    <mergeCell ref="DD127:DF128"/>
    <mergeCell ref="DH127:DK128"/>
    <mergeCell ref="BZ127:CB128"/>
    <mergeCell ref="CC127:CE128"/>
    <mergeCell ref="CF127:CH128"/>
    <mergeCell ref="CI127:CK128"/>
    <mergeCell ref="CL127:CN128"/>
    <mergeCell ref="CO127:CQ128"/>
    <mergeCell ref="BK127:BM128"/>
    <mergeCell ref="BN127:BP128"/>
    <mergeCell ref="BQ127:BS128"/>
    <mergeCell ref="BT127:BV128"/>
    <mergeCell ref="BW127:BY128"/>
    <mergeCell ref="AL134:AO134"/>
    <mergeCell ref="C135:D136"/>
    <mergeCell ref="G135:R136"/>
    <mergeCell ref="T135:AJ136"/>
    <mergeCell ref="AL135:AO136"/>
    <mergeCell ref="DL131:DS132"/>
    <mergeCell ref="C133:D133"/>
    <mergeCell ref="AL133:AO133"/>
    <mergeCell ref="DH133:DK133"/>
    <mergeCell ref="DL133:DS133"/>
    <mergeCell ref="CR131:CT132"/>
    <mergeCell ref="CU131:CW132"/>
    <mergeCell ref="CX131:CZ132"/>
    <mergeCell ref="DA131:DC132"/>
    <mergeCell ref="DD131:DF132"/>
    <mergeCell ref="DH131:DK132"/>
    <mergeCell ref="BZ131:CB132"/>
    <mergeCell ref="CC131:CE132"/>
    <mergeCell ref="CF131:CH132"/>
    <mergeCell ref="CI131:CK132"/>
    <mergeCell ref="CL131:CN132"/>
    <mergeCell ref="CO131:CQ132"/>
    <mergeCell ref="BK131:BM132"/>
    <mergeCell ref="BN131:BP132"/>
    <mergeCell ref="BQ131:BS132"/>
    <mergeCell ref="BT131:BV132"/>
    <mergeCell ref="BW131:BY132"/>
    <mergeCell ref="AL138:AO138"/>
    <mergeCell ref="C139:D140"/>
    <mergeCell ref="G139:R140"/>
    <mergeCell ref="T139:AJ140"/>
    <mergeCell ref="AL139:AO140"/>
    <mergeCell ref="DL135:DS136"/>
    <mergeCell ref="C137:D137"/>
    <mergeCell ref="AL137:AO137"/>
    <mergeCell ref="DH137:DK137"/>
    <mergeCell ref="DL137:DS137"/>
    <mergeCell ref="CR135:CT136"/>
    <mergeCell ref="CU135:CW136"/>
    <mergeCell ref="CX135:CZ136"/>
    <mergeCell ref="DA135:DC136"/>
    <mergeCell ref="DD135:DF136"/>
    <mergeCell ref="DH135:DK136"/>
    <mergeCell ref="BZ135:CB136"/>
    <mergeCell ref="CC135:CE136"/>
    <mergeCell ref="CF135:CH136"/>
    <mergeCell ref="CI135:CK136"/>
    <mergeCell ref="CL135:CN136"/>
    <mergeCell ref="CO135:CQ136"/>
    <mergeCell ref="BK135:BM136"/>
    <mergeCell ref="BN135:BP136"/>
    <mergeCell ref="BQ135:BS136"/>
    <mergeCell ref="BT135:BV136"/>
    <mergeCell ref="BW135:BY136"/>
    <mergeCell ref="AL142:AO142"/>
    <mergeCell ref="C143:D144"/>
    <mergeCell ref="G143:R144"/>
    <mergeCell ref="T143:AJ144"/>
    <mergeCell ref="AL143:AO144"/>
    <mergeCell ref="DL139:DS140"/>
    <mergeCell ref="AL141:AO141"/>
    <mergeCell ref="DH141:DK141"/>
    <mergeCell ref="DL141:DS141"/>
    <mergeCell ref="AR139:BG140"/>
    <mergeCell ref="CR139:CT140"/>
    <mergeCell ref="CU139:CW140"/>
    <mergeCell ref="CX139:CZ140"/>
    <mergeCell ref="DA139:DC140"/>
    <mergeCell ref="DD139:DF140"/>
    <mergeCell ref="DH139:DK140"/>
    <mergeCell ref="BZ139:CB140"/>
    <mergeCell ref="CC139:CE140"/>
    <mergeCell ref="CF139:CH140"/>
    <mergeCell ref="CI139:CK140"/>
    <mergeCell ref="CL139:CN140"/>
    <mergeCell ref="CO139:CQ140"/>
    <mergeCell ref="BK139:BM140"/>
    <mergeCell ref="BN139:BP140"/>
    <mergeCell ref="BQ139:BS140"/>
    <mergeCell ref="BT139:BV140"/>
    <mergeCell ref="BW139:BY140"/>
    <mergeCell ref="AL146:AO146"/>
    <mergeCell ref="C147:D148"/>
    <mergeCell ref="G147:R148"/>
    <mergeCell ref="T147:AJ148"/>
    <mergeCell ref="AL147:AO148"/>
    <mergeCell ref="DL143:DS144"/>
    <mergeCell ref="C145:D145"/>
    <mergeCell ref="AL145:AO145"/>
    <mergeCell ref="DH145:DK145"/>
    <mergeCell ref="DL145:DS145"/>
    <mergeCell ref="AR143:BG144"/>
    <mergeCell ref="CR143:CT144"/>
    <mergeCell ref="CU143:CW144"/>
    <mergeCell ref="CX143:CZ144"/>
    <mergeCell ref="DA143:DC144"/>
    <mergeCell ref="DD143:DF144"/>
    <mergeCell ref="DH143:DK144"/>
    <mergeCell ref="BZ143:CB144"/>
    <mergeCell ref="CC143:CE144"/>
    <mergeCell ref="CF143:CH144"/>
    <mergeCell ref="CI143:CK144"/>
    <mergeCell ref="CL143:CN144"/>
    <mergeCell ref="CO143:CQ144"/>
    <mergeCell ref="BK143:BM144"/>
    <mergeCell ref="BN143:BP144"/>
    <mergeCell ref="BQ143:BS144"/>
    <mergeCell ref="BT143:BV144"/>
    <mergeCell ref="BW143:BY144"/>
    <mergeCell ref="AL151:AO152"/>
    <mergeCell ref="DL147:DS148"/>
    <mergeCell ref="C149:D149"/>
    <mergeCell ref="AL149:AO149"/>
    <mergeCell ref="DH149:DK149"/>
    <mergeCell ref="DL149:DS149"/>
    <mergeCell ref="AR147:BG148"/>
    <mergeCell ref="CR147:CT148"/>
    <mergeCell ref="CU147:CW148"/>
    <mergeCell ref="CX147:CZ148"/>
    <mergeCell ref="DA147:DC148"/>
    <mergeCell ref="DD147:DF148"/>
    <mergeCell ref="DH147:DK148"/>
    <mergeCell ref="BZ147:CB148"/>
    <mergeCell ref="CC147:CE148"/>
    <mergeCell ref="CF147:CH148"/>
    <mergeCell ref="CI147:CK148"/>
    <mergeCell ref="CL147:CN148"/>
    <mergeCell ref="CO147:CQ148"/>
    <mergeCell ref="BK147:BM148"/>
    <mergeCell ref="BN147:BP148"/>
    <mergeCell ref="BQ147:BS148"/>
    <mergeCell ref="BT147:BV148"/>
    <mergeCell ref="BW147:BY148"/>
    <mergeCell ref="AL154:AO154"/>
    <mergeCell ref="C155:D156"/>
    <mergeCell ref="G155:R156"/>
    <mergeCell ref="T155:AJ156"/>
    <mergeCell ref="AL155:AO156"/>
    <mergeCell ref="DD151:DF152"/>
    <mergeCell ref="DH151:DK152"/>
    <mergeCell ref="DL151:DS152"/>
    <mergeCell ref="DH153:DK153"/>
    <mergeCell ref="DL153:DS153"/>
    <mergeCell ref="CL151:CN152"/>
    <mergeCell ref="CO151:CQ152"/>
    <mergeCell ref="CR151:CT152"/>
    <mergeCell ref="CU151:CW152"/>
    <mergeCell ref="CX151:CZ152"/>
    <mergeCell ref="DA151:DC152"/>
    <mergeCell ref="BT151:BV152"/>
    <mergeCell ref="BW151:BY152"/>
    <mergeCell ref="BZ151:CB152"/>
    <mergeCell ref="CC151:CE152"/>
    <mergeCell ref="CF151:CH152"/>
    <mergeCell ref="CI151:CK152"/>
    <mergeCell ref="BK151:BM152"/>
    <mergeCell ref="BN151:BP152"/>
    <mergeCell ref="BQ151:BS152"/>
    <mergeCell ref="AR151:BG152"/>
    <mergeCell ref="C151:D152"/>
    <mergeCell ref="G151:R152"/>
    <mergeCell ref="T151:AD152"/>
    <mergeCell ref="AE151:AE152"/>
    <mergeCell ref="AF151:AH152"/>
    <mergeCell ref="AI151:AJ152"/>
    <mergeCell ref="C158:D158"/>
    <mergeCell ref="AL158:AO158"/>
    <mergeCell ref="DH158:DK158"/>
    <mergeCell ref="DL158:DS158"/>
    <mergeCell ref="DL155:DS156"/>
    <mergeCell ref="C157:D157"/>
    <mergeCell ref="AL157:AO157"/>
    <mergeCell ref="DH157:DK157"/>
    <mergeCell ref="DL157:DS157"/>
    <mergeCell ref="AR155:BG156"/>
    <mergeCell ref="CR155:CT156"/>
    <mergeCell ref="CU155:CW156"/>
    <mergeCell ref="CX155:CZ156"/>
    <mergeCell ref="DA155:DC156"/>
    <mergeCell ref="DD155:DF156"/>
    <mergeCell ref="DH155:DK156"/>
    <mergeCell ref="BZ155:CB156"/>
    <mergeCell ref="CC155:CE156"/>
    <mergeCell ref="CF155:CH156"/>
    <mergeCell ref="CI155:CK156"/>
    <mergeCell ref="CL155:CN156"/>
    <mergeCell ref="CO155:CQ156"/>
    <mergeCell ref="BK155:BM156"/>
    <mergeCell ref="BN155:BP156"/>
    <mergeCell ref="BQ155:BS156"/>
    <mergeCell ref="BT155:BV156"/>
    <mergeCell ref="BW155:BY156"/>
    <mergeCell ref="AL162:AO162"/>
    <mergeCell ref="C163:D164"/>
    <mergeCell ref="G163:R164"/>
    <mergeCell ref="T163:AJ164"/>
    <mergeCell ref="AL163:AO164"/>
    <mergeCell ref="DH159:DK160"/>
    <mergeCell ref="DL159:DS160"/>
    <mergeCell ref="C161:D161"/>
    <mergeCell ref="AL161:AO161"/>
    <mergeCell ref="DH161:DK161"/>
    <mergeCell ref="DL161:DS161"/>
    <mergeCell ref="AR159:BG160"/>
    <mergeCell ref="CO159:CQ160"/>
    <mergeCell ref="CR159:CT160"/>
    <mergeCell ref="CU159:CW160"/>
    <mergeCell ref="CX159:CZ160"/>
    <mergeCell ref="DA159:DC160"/>
    <mergeCell ref="DD159:DF160"/>
    <mergeCell ref="BW159:BY160"/>
    <mergeCell ref="BZ159:CB160"/>
    <mergeCell ref="CC159:CE160"/>
    <mergeCell ref="CF159:CH160"/>
    <mergeCell ref="CI159:CK160"/>
    <mergeCell ref="CL159:CN160"/>
    <mergeCell ref="BK159:BM160"/>
    <mergeCell ref="BN159:BP160"/>
    <mergeCell ref="BQ159:BS160"/>
    <mergeCell ref="BT159:BV160"/>
    <mergeCell ref="C159:D160"/>
    <mergeCell ref="G159:R160"/>
    <mergeCell ref="T159:AJ160"/>
    <mergeCell ref="AL159:AO160"/>
    <mergeCell ref="C166:D166"/>
    <mergeCell ref="AL166:AO166"/>
    <mergeCell ref="DH166:DK166"/>
    <mergeCell ref="DL166:DS166"/>
    <mergeCell ref="DL163:DS164"/>
    <mergeCell ref="C165:D165"/>
    <mergeCell ref="AL165:AO165"/>
    <mergeCell ref="DH165:DK165"/>
    <mergeCell ref="DL165:DS165"/>
    <mergeCell ref="AR163:BG164"/>
    <mergeCell ref="CR163:CT164"/>
    <mergeCell ref="CU163:CW164"/>
    <mergeCell ref="CX163:CZ164"/>
    <mergeCell ref="DA163:DC164"/>
    <mergeCell ref="DD163:DF164"/>
    <mergeCell ref="DH163:DK164"/>
    <mergeCell ref="BZ163:CB164"/>
    <mergeCell ref="CC163:CE164"/>
    <mergeCell ref="CF163:CH164"/>
    <mergeCell ref="CI163:CK164"/>
    <mergeCell ref="CL163:CN164"/>
    <mergeCell ref="CO163:CQ164"/>
    <mergeCell ref="BK163:BM164"/>
    <mergeCell ref="BN163:BP164"/>
    <mergeCell ref="BQ163:BS164"/>
    <mergeCell ref="BT163:BV164"/>
    <mergeCell ref="BW163:BY164"/>
    <mergeCell ref="C170:D170"/>
    <mergeCell ref="AL170:AO170"/>
    <mergeCell ref="DH170:DK170"/>
    <mergeCell ref="DL170:DS170"/>
    <mergeCell ref="DH167:DK168"/>
    <mergeCell ref="DL167:DS168"/>
    <mergeCell ref="C169:D169"/>
    <mergeCell ref="AL169:AO169"/>
    <mergeCell ref="DH169:DK169"/>
    <mergeCell ref="DL169:DS169"/>
    <mergeCell ref="AR167:BG168"/>
    <mergeCell ref="CO167:CQ168"/>
    <mergeCell ref="CR167:CT168"/>
    <mergeCell ref="CU167:CW168"/>
    <mergeCell ref="CX167:CZ168"/>
    <mergeCell ref="DA167:DC168"/>
    <mergeCell ref="DD167:DF168"/>
    <mergeCell ref="BW167:BY168"/>
    <mergeCell ref="BZ167:CB168"/>
    <mergeCell ref="CC167:CE168"/>
    <mergeCell ref="CF167:CH168"/>
    <mergeCell ref="CI167:CK168"/>
    <mergeCell ref="CL167:CN168"/>
    <mergeCell ref="BK167:BM168"/>
    <mergeCell ref="BN167:BP168"/>
    <mergeCell ref="BQ167:BS168"/>
    <mergeCell ref="BT167:BV168"/>
    <mergeCell ref="C167:D168"/>
    <mergeCell ref="G167:R168"/>
    <mergeCell ref="T167:AJ168"/>
    <mergeCell ref="AL167:AO168"/>
    <mergeCell ref="C174:D174"/>
    <mergeCell ref="AL174:AO174"/>
    <mergeCell ref="DH174:DK174"/>
    <mergeCell ref="DL174:DS174"/>
    <mergeCell ref="DH171:DK172"/>
    <mergeCell ref="DL171:DS172"/>
    <mergeCell ref="C173:D173"/>
    <mergeCell ref="AL173:AO173"/>
    <mergeCell ref="DH173:DK173"/>
    <mergeCell ref="DL173:DS173"/>
    <mergeCell ref="AR171:BG172"/>
    <mergeCell ref="CO171:CQ172"/>
    <mergeCell ref="CR171:CT172"/>
    <mergeCell ref="CU171:CW172"/>
    <mergeCell ref="CX171:CZ172"/>
    <mergeCell ref="DA171:DC172"/>
    <mergeCell ref="DD171:DF172"/>
    <mergeCell ref="BW171:BY172"/>
    <mergeCell ref="BZ171:CB172"/>
    <mergeCell ref="CC171:CE172"/>
    <mergeCell ref="CF171:CH172"/>
    <mergeCell ref="CI171:CK172"/>
    <mergeCell ref="CL171:CN172"/>
    <mergeCell ref="BK171:BM172"/>
    <mergeCell ref="BN171:BP172"/>
    <mergeCell ref="BQ171:BS172"/>
    <mergeCell ref="BT171:BV172"/>
    <mergeCell ref="C171:D172"/>
    <mergeCell ref="G171:R172"/>
    <mergeCell ref="T171:AJ172"/>
    <mergeCell ref="AL171:AO172"/>
    <mergeCell ref="C178:D178"/>
    <mergeCell ref="AL178:AO178"/>
    <mergeCell ref="DH178:DK178"/>
    <mergeCell ref="DL178:DS178"/>
    <mergeCell ref="DH175:DK176"/>
    <mergeCell ref="DL175:DS176"/>
    <mergeCell ref="C177:D177"/>
    <mergeCell ref="AL177:AO177"/>
    <mergeCell ref="DH177:DK177"/>
    <mergeCell ref="DL177:DS177"/>
    <mergeCell ref="AR175:BG176"/>
    <mergeCell ref="CO175:CQ176"/>
    <mergeCell ref="CR175:CT176"/>
    <mergeCell ref="CU175:CW176"/>
    <mergeCell ref="CX175:CZ176"/>
    <mergeCell ref="DA175:DC176"/>
    <mergeCell ref="DD175:DF176"/>
    <mergeCell ref="BW175:BY176"/>
    <mergeCell ref="BZ175:CB176"/>
    <mergeCell ref="CC175:CE176"/>
    <mergeCell ref="CF175:CH176"/>
    <mergeCell ref="CI175:CK176"/>
    <mergeCell ref="CL175:CN176"/>
    <mergeCell ref="BK175:BM176"/>
    <mergeCell ref="BN175:BP176"/>
    <mergeCell ref="BQ175:BS176"/>
    <mergeCell ref="BT175:BV176"/>
    <mergeCell ref="C175:D176"/>
    <mergeCell ref="G175:R176"/>
    <mergeCell ref="T175:AJ176"/>
    <mergeCell ref="AL175:AO176"/>
    <mergeCell ref="C182:D182"/>
    <mergeCell ref="AL182:AO182"/>
    <mergeCell ref="DH182:DK182"/>
    <mergeCell ref="DL182:DS182"/>
    <mergeCell ref="DH179:DK180"/>
    <mergeCell ref="DL179:DS180"/>
    <mergeCell ref="C181:D181"/>
    <mergeCell ref="AL181:AO181"/>
    <mergeCell ref="DH181:DK181"/>
    <mergeCell ref="DL181:DS181"/>
    <mergeCell ref="AR179:BG180"/>
    <mergeCell ref="CO179:CQ180"/>
    <mergeCell ref="CR179:CT180"/>
    <mergeCell ref="CU179:CW180"/>
    <mergeCell ref="CX179:CZ180"/>
    <mergeCell ref="DA179:DC180"/>
    <mergeCell ref="DD179:DF180"/>
    <mergeCell ref="BW179:BY180"/>
    <mergeCell ref="BZ179:CB180"/>
    <mergeCell ref="CC179:CE180"/>
    <mergeCell ref="CF179:CH180"/>
    <mergeCell ref="CI179:CK180"/>
    <mergeCell ref="CL179:CN180"/>
    <mergeCell ref="BK179:BM180"/>
    <mergeCell ref="BN179:BP180"/>
    <mergeCell ref="BQ179:BS180"/>
    <mergeCell ref="BT179:BV180"/>
    <mergeCell ref="C179:D180"/>
    <mergeCell ref="G179:R180"/>
    <mergeCell ref="T179:AJ180"/>
    <mergeCell ref="AL179:AO180"/>
    <mergeCell ref="AL187:AO188"/>
    <mergeCell ref="C186:D186"/>
    <mergeCell ref="AL186:AO186"/>
    <mergeCell ref="DH186:DK186"/>
    <mergeCell ref="DL186:DS186"/>
    <mergeCell ref="DH183:DK184"/>
    <mergeCell ref="DL183:DS184"/>
    <mergeCell ref="C185:D185"/>
    <mergeCell ref="AL185:AO185"/>
    <mergeCell ref="DH185:DK185"/>
    <mergeCell ref="DL185:DS185"/>
    <mergeCell ref="AR183:BG184"/>
    <mergeCell ref="CO183:CQ184"/>
    <mergeCell ref="CR183:CT184"/>
    <mergeCell ref="CU183:CW184"/>
    <mergeCell ref="CX183:CZ184"/>
    <mergeCell ref="DA183:DC184"/>
    <mergeCell ref="DD183:DF184"/>
    <mergeCell ref="BW183:BY184"/>
    <mergeCell ref="BZ183:CB184"/>
    <mergeCell ref="CC183:CE184"/>
    <mergeCell ref="CF183:CH184"/>
    <mergeCell ref="CI183:CK184"/>
    <mergeCell ref="CL183:CN184"/>
    <mergeCell ref="BK183:BM184"/>
    <mergeCell ref="BN183:BP184"/>
    <mergeCell ref="BQ183:BS184"/>
    <mergeCell ref="BT183:BV184"/>
    <mergeCell ref="C183:D184"/>
    <mergeCell ref="G183:R184"/>
    <mergeCell ref="T183:AJ184"/>
    <mergeCell ref="AL183:AO184"/>
    <mergeCell ref="T191:AJ192"/>
    <mergeCell ref="AL191:AO192"/>
    <mergeCell ref="C190:D190"/>
    <mergeCell ref="AL190:AO190"/>
    <mergeCell ref="DH190:DK190"/>
    <mergeCell ref="DL190:DS190"/>
    <mergeCell ref="DH187:DK188"/>
    <mergeCell ref="DL187:DS188"/>
    <mergeCell ref="C189:D189"/>
    <mergeCell ref="AL189:AO189"/>
    <mergeCell ref="DH189:DK189"/>
    <mergeCell ref="DL189:DS189"/>
    <mergeCell ref="AR187:BG188"/>
    <mergeCell ref="CO187:CQ188"/>
    <mergeCell ref="CR187:CT188"/>
    <mergeCell ref="CU187:CW188"/>
    <mergeCell ref="CX187:CZ188"/>
    <mergeCell ref="DA187:DC188"/>
    <mergeCell ref="DD187:DF188"/>
    <mergeCell ref="BW187:BY188"/>
    <mergeCell ref="BZ187:CB188"/>
    <mergeCell ref="CC187:CE188"/>
    <mergeCell ref="CF187:CH188"/>
    <mergeCell ref="CI187:CK188"/>
    <mergeCell ref="CL187:CN188"/>
    <mergeCell ref="BK187:BM188"/>
    <mergeCell ref="BN187:BP188"/>
    <mergeCell ref="BQ187:BS188"/>
    <mergeCell ref="BT187:BV188"/>
    <mergeCell ref="C187:D188"/>
    <mergeCell ref="G187:R188"/>
    <mergeCell ref="T187:AJ188"/>
    <mergeCell ref="AL194:AO194"/>
    <mergeCell ref="DH194:DK194"/>
    <mergeCell ref="DL194:DS194"/>
    <mergeCell ref="C195:D196"/>
    <mergeCell ref="G195:R196"/>
    <mergeCell ref="T195:AJ196"/>
    <mergeCell ref="AL195:AO196"/>
    <mergeCell ref="DH191:DK192"/>
    <mergeCell ref="DL191:DS192"/>
    <mergeCell ref="C193:D193"/>
    <mergeCell ref="AL193:AO193"/>
    <mergeCell ref="DH193:DK193"/>
    <mergeCell ref="DL193:DS193"/>
    <mergeCell ref="AR191:BG192"/>
    <mergeCell ref="CO191:CQ192"/>
    <mergeCell ref="CR191:CT192"/>
    <mergeCell ref="CU191:CW192"/>
    <mergeCell ref="CX191:CZ192"/>
    <mergeCell ref="DA191:DC192"/>
    <mergeCell ref="DD191:DF192"/>
    <mergeCell ref="BW191:BY192"/>
    <mergeCell ref="BZ191:CB192"/>
    <mergeCell ref="CC191:CE192"/>
    <mergeCell ref="CF191:CH192"/>
    <mergeCell ref="CI191:CK192"/>
    <mergeCell ref="CL191:CN192"/>
    <mergeCell ref="BK191:BM192"/>
    <mergeCell ref="BN191:BP192"/>
    <mergeCell ref="BQ191:BS192"/>
    <mergeCell ref="BT191:BV192"/>
    <mergeCell ref="C191:D192"/>
    <mergeCell ref="G191:R192"/>
    <mergeCell ref="AL199:AO200"/>
    <mergeCell ref="C198:D198"/>
    <mergeCell ref="AL198:AO198"/>
    <mergeCell ref="DH198:DK198"/>
    <mergeCell ref="DL198:DS198"/>
    <mergeCell ref="DD195:DF196"/>
    <mergeCell ref="DH195:DK196"/>
    <mergeCell ref="DL195:DS196"/>
    <mergeCell ref="C197:D197"/>
    <mergeCell ref="AL197:AO197"/>
    <mergeCell ref="DH197:DK197"/>
    <mergeCell ref="DL197:DS197"/>
    <mergeCell ref="AR195:BG196"/>
    <mergeCell ref="CL195:CN196"/>
    <mergeCell ref="CO195:CQ196"/>
    <mergeCell ref="CR195:CT196"/>
    <mergeCell ref="CU195:CW196"/>
    <mergeCell ref="CX195:CZ196"/>
    <mergeCell ref="DA195:DC196"/>
    <mergeCell ref="BT195:BV196"/>
    <mergeCell ref="BW195:BY196"/>
    <mergeCell ref="BZ195:CB196"/>
    <mergeCell ref="CC195:CE196"/>
    <mergeCell ref="CF195:CH196"/>
    <mergeCell ref="CI195:CK196"/>
    <mergeCell ref="BK195:BM196"/>
    <mergeCell ref="BN195:BP196"/>
    <mergeCell ref="BQ195:BS196"/>
    <mergeCell ref="AL202:AO202"/>
    <mergeCell ref="DH202:DK202"/>
    <mergeCell ref="DL202:DS202"/>
    <mergeCell ref="C203:D204"/>
    <mergeCell ref="G203:R204"/>
    <mergeCell ref="T203:AJ204"/>
    <mergeCell ref="AL203:AO204"/>
    <mergeCell ref="DH199:DK200"/>
    <mergeCell ref="DL199:DS200"/>
    <mergeCell ref="AL201:AO201"/>
    <mergeCell ref="DH201:DK201"/>
    <mergeCell ref="DL201:DS201"/>
    <mergeCell ref="AR199:BG200"/>
    <mergeCell ref="CO199:CQ200"/>
    <mergeCell ref="CR199:CT200"/>
    <mergeCell ref="CU199:CW200"/>
    <mergeCell ref="CX199:CZ200"/>
    <mergeCell ref="DA199:DC200"/>
    <mergeCell ref="DD199:DF200"/>
    <mergeCell ref="BW199:BY200"/>
    <mergeCell ref="BZ199:CB200"/>
    <mergeCell ref="CC199:CE200"/>
    <mergeCell ref="CF199:CH200"/>
    <mergeCell ref="CI199:CK200"/>
    <mergeCell ref="CL199:CN200"/>
    <mergeCell ref="BK199:BM200"/>
    <mergeCell ref="BN199:BP200"/>
    <mergeCell ref="BQ199:BS200"/>
    <mergeCell ref="BT199:BV200"/>
    <mergeCell ref="C199:D200"/>
    <mergeCell ref="G199:R200"/>
    <mergeCell ref="T199:AJ200"/>
    <mergeCell ref="AL206:AO206"/>
    <mergeCell ref="DH206:DK206"/>
    <mergeCell ref="DL206:DS206"/>
    <mergeCell ref="C207:D208"/>
    <mergeCell ref="G207:R208"/>
    <mergeCell ref="T207:AJ208"/>
    <mergeCell ref="AL207:AO208"/>
    <mergeCell ref="DD203:DF204"/>
    <mergeCell ref="DH203:DK204"/>
    <mergeCell ref="DL203:DS204"/>
    <mergeCell ref="AL205:AO205"/>
    <mergeCell ref="DH205:DK205"/>
    <mergeCell ref="DL205:DS205"/>
    <mergeCell ref="AR203:BG204"/>
    <mergeCell ref="CL203:CN204"/>
    <mergeCell ref="CO203:CQ204"/>
    <mergeCell ref="CR203:CT204"/>
    <mergeCell ref="CU203:CW204"/>
    <mergeCell ref="CX203:CZ204"/>
    <mergeCell ref="DA203:DC204"/>
    <mergeCell ref="BT203:BV204"/>
    <mergeCell ref="BW203:BY204"/>
    <mergeCell ref="BZ203:CB204"/>
    <mergeCell ref="CC203:CE204"/>
    <mergeCell ref="CF203:CH204"/>
    <mergeCell ref="CI203:CK204"/>
    <mergeCell ref="BK203:BM204"/>
    <mergeCell ref="BN203:BP204"/>
    <mergeCell ref="BQ203:BS204"/>
    <mergeCell ref="AL210:AO210"/>
    <mergeCell ref="DH210:DK210"/>
    <mergeCell ref="DL210:DS210"/>
    <mergeCell ref="C211:D212"/>
    <mergeCell ref="G211:R212"/>
    <mergeCell ref="T211:AJ212"/>
    <mergeCell ref="AL211:AO212"/>
    <mergeCell ref="DD207:DF208"/>
    <mergeCell ref="DH207:DK208"/>
    <mergeCell ref="DL207:DS208"/>
    <mergeCell ref="AL209:AO209"/>
    <mergeCell ref="DH209:DK209"/>
    <mergeCell ref="DL209:DS209"/>
    <mergeCell ref="AR207:BG208"/>
    <mergeCell ref="CL207:CN208"/>
    <mergeCell ref="CO207:CQ208"/>
    <mergeCell ref="CR207:CT208"/>
    <mergeCell ref="CU207:CW208"/>
    <mergeCell ref="CX207:CZ208"/>
    <mergeCell ref="DA207:DC208"/>
    <mergeCell ref="BT207:BV208"/>
    <mergeCell ref="BW207:BY208"/>
    <mergeCell ref="BZ207:CB208"/>
    <mergeCell ref="CC207:CE208"/>
    <mergeCell ref="CF207:CH208"/>
    <mergeCell ref="CI207:CK208"/>
    <mergeCell ref="BK207:BM208"/>
    <mergeCell ref="BN207:BP208"/>
    <mergeCell ref="BQ207:BS208"/>
    <mergeCell ref="DD211:DF212"/>
    <mergeCell ref="DH211:DK212"/>
    <mergeCell ref="DL211:DS212"/>
    <mergeCell ref="AL213:AO213"/>
    <mergeCell ref="DH213:DK213"/>
    <mergeCell ref="DL213:DS213"/>
    <mergeCell ref="AR211:BG212"/>
    <mergeCell ref="CL211:CN212"/>
    <mergeCell ref="CO211:CQ212"/>
    <mergeCell ref="CR211:CT212"/>
    <mergeCell ref="CU211:CW212"/>
    <mergeCell ref="CX211:CZ212"/>
    <mergeCell ref="DA211:DC212"/>
    <mergeCell ref="BT211:BV212"/>
    <mergeCell ref="BW211:BY212"/>
    <mergeCell ref="BZ211:CB212"/>
    <mergeCell ref="CC211:CE212"/>
    <mergeCell ref="CF211:CH212"/>
    <mergeCell ref="CI211:CK212"/>
    <mergeCell ref="BK211:BM212"/>
    <mergeCell ref="BN211:BP212"/>
    <mergeCell ref="BQ211:BS212"/>
    <mergeCell ref="CX215:CZ216"/>
    <mergeCell ref="DA215:DC216"/>
    <mergeCell ref="BT215:BV216"/>
    <mergeCell ref="BW215:BY216"/>
    <mergeCell ref="BZ215:CB216"/>
    <mergeCell ref="CC215:CE216"/>
    <mergeCell ref="CF215:CH216"/>
    <mergeCell ref="CI215:CK216"/>
    <mergeCell ref="BK215:BM216"/>
    <mergeCell ref="BN215:BP216"/>
    <mergeCell ref="BQ215:BS216"/>
    <mergeCell ref="AL214:AO214"/>
    <mergeCell ref="DH214:DK214"/>
    <mergeCell ref="DL214:DS214"/>
    <mergeCell ref="C215:D216"/>
    <mergeCell ref="G215:R216"/>
    <mergeCell ref="T215:AJ216"/>
    <mergeCell ref="AL215:AO216"/>
    <mergeCell ref="AR223:BG224"/>
    <mergeCell ref="A228:BI229"/>
    <mergeCell ref="A231:BI232"/>
    <mergeCell ref="AQ114:BH117"/>
    <mergeCell ref="AR119:BG120"/>
    <mergeCell ref="AR123:BG124"/>
    <mergeCell ref="AR127:BG128"/>
    <mergeCell ref="AR131:BG132"/>
    <mergeCell ref="AR135:BG136"/>
    <mergeCell ref="DH223:DK223"/>
    <mergeCell ref="DL223:DS223"/>
    <mergeCell ref="AL226:AO226"/>
    <mergeCell ref="DH226:DK226"/>
    <mergeCell ref="DL226:DS226"/>
    <mergeCell ref="C223:D224"/>
    <mergeCell ref="G223:R224"/>
    <mergeCell ref="T223:AJ224"/>
    <mergeCell ref="AL223:AO224"/>
    <mergeCell ref="AL218:AO218"/>
    <mergeCell ref="DH218:DK218"/>
    <mergeCell ref="DL218:DS218"/>
    <mergeCell ref="DD215:DF216"/>
    <mergeCell ref="DH215:DK216"/>
    <mergeCell ref="DL215:DS216"/>
    <mergeCell ref="AL217:AO217"/>
    <mergeCell ref="DH217:DK217"/>
    <mergeCell ref="DL217:DS217"/>
    <mergeCell ref="AR215:BG216"/>
    <mergeCell ref="CL215:CN216"/>
    <mergeCell ref="CO215:CQ216"/>
    <mergeCell ref="CR215:CT216"/>
    <mergeCell ref="CU215:CW216"/>
  </mergeCells>
  <dataValidations count="6">
    <dataValidation type="list" allowBlank="1" showInputMessage="1" showErrorMessage="1" sqref="N93" xr:uid="{15F38B8B-6147-4F35-8A8E-355567B91EDD}">
      <formula1>"Not Included,Cables,Angles,Gripple"</formula1>
    </dataValidation>
    <dataValidation type="list" allowBlank="1" showInputMessage="1" showErrorMessage="1" sqref="CI111:CN112" xr:uid="{1890BFE9-E602-419D-8BDC-33ED8AC5D68A}">
      <formula1>"EUR,USD,ZAR"</formula1>
    </dataValidation>
    <dataValidation type="list" allowBlank="1" showInputMessage="1" showErrorMessage="1" sqref="AO35" xr:uid="{18819977-6FFC-4F68-81AF-0101F3E8CC73}">
      <formula1>$BK$1:$BK$27</formula1>
    </dataValidation>
    <dataValidation type="list" allowBlank="1" showInputMessage="1" showErrorMessage="1" sqref="N81:R82" xr:uid="{5A14123F-9AC7-4FCB-9489-8BCFFB6D8C1A}">
      <formula1>$DW$111:$DW$113</formula1>
    </dataValidation>
    <dataValidation type="list" allowBlank="1" showInputMessage="1" showErrorMessage="1" sqref="AI85 AI81 AI89 AI93" xr:uid="{EC618410-3EAC-4341-864D-3AA2C077DA45}">
      <formula1>"Included,Not Included"</formula1>
    </dataValidation>
    <dataValidation type="list" allowBlank="1" showInputMessage="1" showErrorMessage="1" sqref="AO31" xr:uid="{23DF8791-62DE-4A99-B571-E03148A4FE18}">
      <formula1>"10,15,20,25"</formula1>
    </dataValidation>
  </dataValidations>
  <pageMargins left="0.7" right="0.7" top="0.75" bottom="0.75" header="0.3" footer="0.3"/>
  <pageSetup paperSize="9" scale="72" fitToWidth="0" fitToHeight="0" orientation="portrait" r:id="rId1"/>
  <headerFooter>
    <oddFooter>&amp;R&amp;"Yu Gothic Medium,Regular"&amp;10Page &amp;P of &amp;N</oddFooter>
  </headerFooter>
  <rowBreaks count="1" manualBreakCount="1">
    <brk id="108" max="6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346B3-AB35-4247-A282-F47E788CFCE8}">
  <sheetPr codeName="Sheet9">
    <tabColor rgb="FFC00000"/>
  </sheetPr>
  <dimension ref="A1:ME276"/>
  <sheetViews>
    <sheetView view="pageBreakPreview" topLeftCell="A175" zoomScaleNormal="100" zoomScaleSheetLayoutView="100" workbookViewId="0">
      <selection activeCell="BF84" sqref="BF84:BH85"/>
    </sheetView>
  </sheetViews>
  <sheetFormatPr defaultColWidth="1.54296875" defaultRowHeight="7.4" customHeight="1" x14ac:dyDescent="0.5"/>
  <cols>
    <col min="1" max="2" width="1.54296875" style="24"/>
    <col min="3" max="3" width="1.54296875" style="24" customWidth="1"/>
    <col min="4" max="6" width="1.54296875" style="24"/>
    <col min="7" max="7" width="1.453125" style="24" customWidth="1"/>
    <col min="8" max="19" width="1.54296875" style="24"/>
    <col min="20" max="20" width="1.453125" style="24" customWidth="1"/>
    <col min="21" max="22" width="1.54296875" style="24"/>
    <col min="23" max="23" width="1.453125" style="24" customWidth="1"/>
    <col min="24" max="30" width="1.54296875" style="24"/>
    <col min="31" max="31" width="2.453125" style="24" bestFit="1" customWidth="1"/>
    <col min="32" max="42" width="1.54296875" style="24"/>
    <col min="43" max="44" width="1.54296875" style="24" customWidth="1"/>
    <col min="45" max="47" width="1.54296875" style="24"/>
    <col min="48" max="48" width="1.54296875" style="24" customWidth="1"/>
    <col min="49" max="49" width="1.54296875" style="24"/>
    <col min="50" max="51" width="1.54296875" style="24" customWidth="1"/>
    <col min="52" max="54" width="1.54296875" style="24"/>
    <col min="55" max="55" width="1.453125" style="24" customWidth="1"/>
    <col min="56" max="61" width="1.54296875" style="24"/>
    <col min="62" max="62" width="0" style="24" hidden="1" customWidth="1"/>
    <col min="63" max="63" width="1.54296875" style="24" hidden="1" customWidth="1"/>
    <col min="64" max="64" width="0" style="24" hidden="1" customWidth="1"/>
    <col min="65" max="65" width="1.54296875" style="24" hidden="1" customWidth="1"/>
    <col min="66" max="67" width="0" style="24" hidden="1" customWidth="1"/>
    <col min="68" max="68" width="1.453125" style="24" hidden="1" customWidth="1"/>
    <col min="69" max="75" width="0" style="24" hidden="1" customWidth="1"/>
    <col min="76" max="76" width="1.54296875" style="24" hidden="1" customWidth="1"/>
    <col min="77" max="92" width="0" style="24" hidden="1" customWidth="1"/>
    <col min="93" max="93" width="1.453125" style="24" hidden="1" customWidth="1"/>
    <col min="94" max="111" width="0" style="24" hidden="1" customWidth="1"/>
    <col min="112" max="116" width="0" style="75" hidden="1" customWidth="1"/>
    <col min="117" max="126" width="0" style="24" hidden="1" customWidth="1"/>
    <col min="127" max="127" width="4" style="24" hidden="1" customWidth="1"/>
    <col min="128" max="343" width="3.54296875" style="24" hidden="1" customWidth="1"/>
    <col min="344" max="16384" width="1.54296875" style="24"/>
  </cols>
  <sheetData>
    <row r="1" spans="1:63" ht="7.4" customHeight="1" x14ac:dyDescent="0.5">
      <c r="C1" s="333" t="e" vm="4">
        <v>#VALUE!</v>
      </c>
      <c r="D1" s="333"/>
      <c r="E1" s="333"/>
      <c r="F1" s="333"/>
      <c r="G1" s="333"/>
      <c r="H1" s="333"/>
      <c r="I1" s="333"/>
      <c r="J1" s="333"/>
      <c r="K1" s="333"/>
      <c r="L1" s="333"/>
      <c r="M1" s="333"/>
      <c r="N1" s="333"/>
      <c r="O1" s="333"/>
      <c r="P1" s="333"/>
      <c r="Q1" s="333"/>
      <c r="R1" s="333"/>
      <c r="S1" s="333"/>
      <c r="T1" s="333"/>
      <c r="U1" s="333"/>
      <c r="V1" s="333"/>
      <c r="W1" s="333"/>
      <c r="X1" s="333"/>
      <c r="Y1" s="333"/>
      <c r="Z1" s="333"/>
      <c r="AA1" s="333"/>
      <c r="AB1" s="333"/>
      <c r="AC1" s="333"/>
      <c r="AD1" s="333"/>
      <c r="AE1" s="333"/>
      <c r="AF1" s="333"/>
      <c r="AG1" s="333"/>
      <c r="AH1" s="333"/>
      <c r="AI1" s="333"/>
      <c r="AN1" s="405" t="s">
        <v>0</v>
      </c>
      <c r="AO1" s="405"/>
      <c r="AP1" s="405"/>
      <c r="AQ1" s="405"/>
      <c r="AR1" s="405"/>
      <c r="AS1" s="405"/>
      <c r="AT1" s="405"/>
      <c r="AU1" s="405"/>
      <c r="AV1" s="405"/>
      <c r="AW1" s="405"/>
      <c r="AX1" s="405"/>
      <c r="AY1" s="405"/>
      <c r="AZ1" s="405"/>
      <c r="BA1" s="405"/>
      <c r="BB1" s="405"/>
      <c r="BC1" s="405"/>
      <c r="BD1" s="405"/>
      <c r="BE1" s="405"/>
      <c r="BF1" s="405"/>
      <c r="BG1" s="405"/>
      <c r="BH1" s="405"/>
      <c r="BK1" s="24" t="s">
        <v>1</v>
      </c>
    </row>
    <row r="2" spans="1:63" ht="7.4" customHeight="1" x14ac:dyDescent="0.5">
      <c r="C2" s="333"/>
      <c r="D2" s="333"/>
      <c r="E2" s="333"/>
      <c r="F2" s="333"/>
      <c r="G2" s="333"/>
      <c r="H2" s="333"/>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N2" s="405"/>
      <c r="AO2" s="405"/>
      <c r="AP2" s="405"/>
      <c r="AQ2" s="405"/>
      <c r="AR2" s="405"/>
      <c r="AS2" s="405"/>
      <c r="AT2" s="405"/>
      <c r="AU2" s="405"/>
      <c r="AV2" s="405"/>
      <c r="AW2" s="405"/>
      <c r="AX2" s="405"/>
      <c r="AY2" s="405"/>
      <c r="AZ2" s="405"/>
      <c r="BA2" s="405"/>
      <c r="BB2" s="405"/>
      <c r="BC2" s="405"/>
      <c r="BD2" s="405"/>
      <c r="BE2" s="405"/>
      <c r="BF2" s="405"/>
      <c r="BG2" s="405"/>
      <c r="BH2" s="405"/>
      <c r="BK2" s="24" t="s">
        <v>2</v>
      </c>
    </row>
    <row r="3" spans="1:63" ht="7.4" customHeight="1" x14ac:dyDescent="0.5">
      <c r="C3" s="333"/>
      <c r="D3" s="333"/>
      <c r="E3" s="333"/>
      <c r="F3" s="333"/>
      <c r="G3" s="333"/>
      <c r="H3" s="333"/>
      <c r="I3" s="333"/>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N3" s="314" t="s">
        <v>3</v>
      </c>
      <c r="AO3" s="314"/>
      <c r="AP3" s="314"/>
      <c r="AQ3" s="314"/>
      <c r="AR3" s="314"/>
      <c r="AS3" s="314"/>
      <c r="AT3" s="314"/>
      <c r="AU3" s="314"/>
      <c r="AV3" s="314"/>
      <c r="AW3" s="314"/>
      <c r="AX3" s="314"/>
      <c r="AY3" s="314"/>
      <c r="AZ3" s="314"/>
      <c r="BA3" s="314"/>
      <c r="BB3" s="314"/>
      <c r="BC3" s="314"/>
      <c r="BD3" s="314"/>
      <c r="BE3" s="314"/>
      <c r="BF3" s="314"/>
      <c r="BG3" s="314"/>
      <c r="BH3" s="314"/>
      <c r="BK3" s="24" t="s">
        <v>4</v>
      </c>
    </row>
    <row r="4" spans="1:63" ht="7.4" customHeight="1" x14ac:dyDescent="0.5">
      <c r="C4" s="333"/>
      <c r="D4" s="333"/>
      <c r="E4" s="333"/>
      <c r="F4" s="333"/>
      <c r="G4" s="333"/>
      <c r="H4" s="333"/>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N4" s="314"/>
      <c r="AO4" s="314"/>
      <c r="AP4" s="314"/>
      <c r="AQ4" s="314"/>
      <c r="AR4" s="314"/>
      <c r="AS4" s="314"/>
      <c r="AT4" s="314"/>
      <c r="AU4" s="314"/>
      <c r="AV4" s="314"/>
      <c r="AW4" s="314"/>
      <c r="AX4" s="314"/>
      <c r="AY4" s="314"/>
      <c r="AZ4" s="314"/>
      <c r="BA4" s="314"/>
      <c r="BB4" s="314"/>
      <c r="BC4" s="314"/>
      <c r="BD4" s="314"/>
      <c r="BE4" s="314"/>
      <c r="BF4" s="314"/>
      <c r="BG4" s="314"/>
      <c r="BH4" s="314"/>
      <c r="BK4" s="24" t="s">
        <v>122</v>
      </c>
    </row>
    <row r="5" spans="1:63" ht="7.4" customHeight="1" x14ac:dyDescent="0.5">
      <c r="C5" s="333"/>
      <c r="D5" s="333"/>
      <c r="E5" s="333"/>
      <c r="F5" s="333"/>
      <c r="G5" s="333"/>
      <c r="H5" s="333"/>
      <c r="I5" s="333"/>
      <c r="J5" s="333"/>
      <c r="K5" s="333"/>
      <c r="L5" s="333"/>
      <c r="M5" s="333"/>
      <c r="N5" s="333"/>
      <c r="O5" s="333"/>
      <c r="P5" s="333"/>
      <c r="Q5" s="333"/>
      <c r="R5" s="333"/>
      <c r="S5" s="333"/>
      <c r="T5" s="333"/>
      <c r="U5" s="333"/>
      <c r="V5" s="333"/>
      <c r="W5" s="333"/>
      <c r="X5" s="333"/>
      <c r="Y5" s="333"/>
      <c r="Z5" s="333"/>
      <c r="AA5" s="333"/>
      <c r="AB5" s="333"/>
      <c r="AC5" s="333"/>
      <c r="AD5" s="333"/>
      <c r="AE5" s="333"/>
      <c r="AF5" s="333"/>
      <c r="AG5" s="333"/>
      <c r="AH5" s="333"/>
      <c r="AI5" s="333"/>
      <c r="AN5" s="406" t="s">
        <v>6</v>
      </c>
      <c r="AO5" s="314"/>
      <c r="AP5" s="314"/>
      <c r="AQ5" s="314"/>
      <c r="AR5" s="314"/>
      <c r="AS5" s="314"/>
      <c r="AT5" s="314"/>
      <c r="AU5" s="314"/>
      <c r="AV5" s="314"/>
      <c r="AW5" s="314"/>
      <c r="AX5" s="314"/>
      <c r="AY5" s="314"/>
      <c r="AZ5" s="314"/>
      <c r="BA5" s="314"/>
      <c r="BB5" s="314"/>
      <c r="BC5" s="314"/>
      <c r="BD5" s="314"/>
      <c r="BE5" s="314"/>
      <c r="BF5" s="314"/>
      <c r="BG5" s="314"/>
      <c r="BH5" s="314"/>
      <c r="BK5" s="24" t="s">
        <v>5</v>
      </c>
    </row>
    <row r="6" spans="1:63" ht="7.4" customHeight="1" x14ac:dyDescent="0.5">
      <c r="C6" s="333"/>
      <c r="D6" s="333"/>
      <c r="E6" s="333"/>
      <c r="F6" s="333"/>
      <c r="G6" s="333"/>
      <c r="H6" s="333"/>
      <c r="I6" s="333"/>
      <c r="J6" s="333"/>
      <c r="K6" s="333"/>
      <c r="L6" s="333"/>
      <c r="M6" s="333"/>
      <c r="N6" s="333"/>
      <c r="O6" s="333"/>
      <c r="P6" s="333"/>
      <c r="Q6" s="333"/>
      <c r="R6" s="333"/>
      <c r="S6" s="333"/>
      <c r="T6" s="333"/>
      <c r="U6" s="333"/>
      <c r="V6" s="333"/>
      <c r="W6" s="333"/>
      <c r="X6" s="333"/>
      <c r="Y6" s="333"/>
      <c r="Z6" s="333"/>
      <c r="AA6" s="333"/>
      <c r="AB6" s="333"/>
      <c r="AC6" s="333"/>
      <c r="AD6" s="333"/>
      <c r="AE6" s="333"/>
      <c r="AF6" s="333"/>
      <c r="AG6" s="333"/>
      <c r="AH6" s="333"/>
      <c r="AI6" s="333"/>
      <c r="AN6" s="314"/>
      <c r="AO6" s="314"/>
      <c r="AP6" s="314"/>
      <c r="AQ6" s="314"/>
      <c r="AR6" s="314"/>
      <c r="AS6" s="314"/>
      <c r="AT6" s="314"/>
      <c r="AU6" s="314"/>
      <c r="AV6" s="314"/>
      <c r="AW6" s="314"/>
      <c r="AX6" s="314"/>
      <c r="AY6" s="314"/>
      <c r="AZ6" s="314"/>
      <c r="BA6" s="314"/>
      <c r="BB6" s="314"/>
      <c r="BC6" s="314"/>
      <c r="BD6" s="314"/>
      <c r="BE6" s="314"/>
      <c r="BF6" s="314"/>
      <c r="BG6" s="314"/>
      <c r="BH6" s="314"/>
      <c r="BK6" s="24" t="s">
        <v>123</v>
      </c>
    </row>
    <row r="7" spans="1:63" ht="7.4" customHeight="1" x14ac:dyDescent="0.5">
      <c r="C7" s="333"/>
      <c r="D7" s="333"/>
      <c r="E7" s="333"/>
      <c r="F7" s="333"/>
      <c r="G7" s="333"/>
      <c r="H7" s="333"/>
      <c r="I7" s="333"/>
      <c r="J7" s="333"/>
      <c r="K7" s="333"/>
      <c r="L7" s="333"/>
      <c r="M7" s="333"/>
      <c r="N7" s="333"/>
      <c r="O7" s="333"/>
      <c r="P7" s="333"/>
      <c r="Q7" s="333"/>
      <c r="R7" s="333"/>
      <c r="S7" s="333"/>
      <c r="T7" s="333"/>
      <c r="U7" s="333"/>
      <c r="V7" s="333"/>
      <c r="W7" s="333"/>
      <c r="X7" s="333"/>
      <c r="Y7" s="333"/>
      <c r="Z7" s="333"/>
      <c r="AA7" s="333"/>
      <c r="AB7" s="333"/>
      <c r="AC7" s="333"/>
      <c r="AD7" s="333"/>
      <c r="AE7" s="333"/>
      <c r="AF7" s="333"/>
      <c r="AG7" s="333"/>
      <c r="AH7" s="333"/>
      <c r="AI7" s="333"/>
      <c r="AN7" s="405" t="s">
        <v>9</v>
      </c>
      <c r="AO7" s="405"/>
      <c r="AP7" s="405"/>
      <c r="AQ7" s="405"/>
      <c r="AR7" s="405"/>
      <c r="AS7" s="405"/>
      <c r="AT7" s="405"/>
      <c r="AU7" s="405"/>
      <c r="AV7" s="405"/>
      <c r="AW7" s="405"/>
      <c r="AX7" s="405"/>
      <c r="AY7" s="405"/>
      <c r="AZ7" s="405"/>
      <c r="BA7" s="405"/>
      <c r="BB7" s="405"/>
      <c r="BC7" s="405"/>
      <c r="BD7" s="405"/>
      <c r="BE7" s="405"/>
      <c r="BF7" s="405"/>
      <c r="BG7" s="405"/>
      <c r="BH7" s="405"/>
      <c r="BK7" s="24" t="s">
        <v>8</v>
      </c>
    </row>
    <row r="8" spans="1:63" ht="7.4" customHeight="1" x14ac:dyDescent="0.5">
      <c r="C8" s="333"/>
      <c r="D8" s="333"/>
      <c r="E8" s="333"/>
      <c r="F8" s="333"/>
      <c r="G8" s="333"/>
      <c r="H8" s="333"/>
      <c r="I8" s="333"/>
      <c r="J8" s="333"/>
      <c r="K8" s="333"/>
      <c r="L8" s="333"/>
      <c r="M8" s="333"/>
      <c r="N8" s="333"/>
      <c r="O8" s="333"/>
      <c r="P8" s="333"/>
      <c r="Q8" s="333"/>
      <c r="R8" s="333"/>
      <c r="S8" s="333"/>
      <c r="T8" s="333"/>
      <c r="U8" s="333"/>
      <c r="V8" s="333"/>
      <c r="W8" s="333"/>
      <c r="X8" s="333"/>
      <c r="Y8" s="333"/>
      <c r="Z8" s="333"/>
      <c r="AA8" s="333"/>
      <c r="AB8" s="333"/>
      <c r="AC8" s="333"/>
      <c r="AD8" s="333"/>
      <c r="AE8" s="333"/>
      <c r="AF8" s="333"/>
      <c r="AG8" s="333"/>
      <c r="AH8" s="333"/>
      <c r="AI8" s="333"/>
      <c r="AN8" s="405"/>
      <c r="AO8" s="405"/>
      <c r="AP8" s="405"/>
      <c r="AQ8" s="405"/>
      <c r="AR8" s="405"/>
      <c r="AS8" s="405"/>
      <c r="AT8" s="405"/>
      <c r="AU8" s="405"/>
      <c r="AV8" s="405"/>
      <c r="AW8" s="405"/>
      <c r="AX8" s="405"/>
      <c r="AY8" s="405"/>
      <c r="AZ8" s="405"/>
      <c r="BA8" s="405"/>
      <c r="BB8" s="405"/>
      <c r="BC8" s="405"/>
      <c r="BD8" s="405"/>
      <c r="BE8" s="405"/>
      <c r="BF8" s="405"/>
      <c r="BG8" s="405"/>
      <c r="BH8" s="405"/>
      <c r="BK8" s="24" t="s">
        <v>10</v>
      </c>
    </row>
    <row r="9" spans="1:63" ht="7.4" customHeight="1" x14ac:dyDescent="0.5">
      <c r="C9" s="404"/>
      <c r="D9" s="404"/>
      <c r="E9" s="404"/>
      <c r="F9" s="404"/>
      <c r="G9" s="404"/>
      <c r="H9" s="404"/>
      <c r="I9" s="404"/>
      <c r="J9" s="404"/>
      <c r="K9" s="404"/>
      <c r="L9" s="404"/>
      <c r="M9" s="404"/>
      <c r="N9" s="404"/>
      <c r="O9" s="404"/>
      <c r="P9" s="404"/>
      <c r="Q9" s="404"/>
      <c r="R9" s="404"/>
      <c r="S9" s="404"/>
      <c r="T9" s="404"/>
      <c r="U9" s="404"/>
      <c r="V9" s="404"/>
      <c r="W9" s="404"/>
      <c r="X9" s="404"/>
      <c r="Y9" s="404"/>
      <c r="Z9" s="404"/>
      <c r="AA9" s="404"/>
      <c r="AB9" s="404"/>
      <c r="AC9" s="404"/>
      <c r="AD9" s="404"/>
      <c r="AE9" s="404"/>
      <c r="AF9" s="404"/>
      <c r="AG9" s="404"/>
      <c r="AH9" s="404"/>
      <c r="AI9" s="404"/>
      <c r="BK9" s="24" t="s">
        <v>11</v>
      </c>
    </row>
    <row r="10" spans="1:63" ht="7.4" customHeight="1" x14ac:dyDescent="0.5">
      <c r="A10" s="407" t="s">
        <v>13</v>
      </c>
      <c r="B10" s="407"/>
      <c r="C10" s="407"/>
      <c r="D10" s="407"/>
      <c r="E10" s="407"/>
      <c r="F10" s="407"/>
      <c r="G10" s="407"/>
      <c r="H10" s="407"/>
      <c r="I10" s="407"/>
      <c r="J10" s="407"/>
      <c r="K10" s="407"/>
      <c r="L10" s="407"/>
      <c r="M10" s="407"/>
      <c r="N10" s="407"/>
      <c r="O10" s="407"/>
      <c r="P10" s="407"/>
      <c r="Q10" s="407"/>
      <c r="R10" s="407"/>
      <c r="S10" s="407"/>
      <c r="T10" s="407"/>
      <c r="U10" s="407"/>
      <c r="V10" s="407"/>
      <c r="W10" s="407"/>
      <c r="X10" s="407"/>
      <c r="Y10" s="407"/>
      <c r="Z10" s="407"/>
      <c r="AA10" s="407"/>
      <c r="AB10" s="407"/>
      <c r="AC10" s="407"/>
      <c r="AD10" s="407"/>
      <c r="AE10" s="407"/>
      <c r="AF10" s="407"/>
      <c r="AG10" s="407"/>
      <c r="AH10" s="407"/>
      <c r="AI10" s="407"/>
      <c r="AJ10" s="407"/>
      <c r="AK10" s="407"/>
      <c r="AL10" s="407"/>
      <c r="AM10" s="30"/>
      <c r="AN10" s="30"/>
      <c r="AO10" s="30"/>
      <c r="AP10" s="30"/>
      <c r="AQ10" s="30"/>
      <c r="AR10" s="30"/>
      <c r="AS10" s="30"/>
      <c r="AT10" s="30"/>
      <c r="AU10" s="30"/>
      <c r="AV10" s="30"/>
      <c r="AW10" s="30"/>
      <c r="AX10" s="30"/>
      <c r="AY10" s="30"/>
      <c r="AZ10" s="30"/>
      <c r="BA10" s="30"/>
      <c r="BB10" s="30"/>
      <c r="BC10" s="30"/>
      <c r="BD10" s="30"/>
      <c r="BE10" s="30"/>
      <c r="BF10" s="30"/>
      <c r="BG10" s="30"/>
      <c r="BH10" s="30"/>
      <c r="BI10" s="31"/>
      <c r="BK10" s="24" t="s">
        <v>12</v>
      </c>
    </row>
    <row r="11" spans="1:63" ht="7.4" customHeight="1" x14ac:dyDescent="0.5">
      <c r="A11" s="407"/>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407"/>
      <c r="AE11" s="407"/>
      <c r="AF11" s="407"/>
      <c r="AG11" s="407"/>
      <c r="AH11" s="407"/>
      <c r="AI11" s="407"/>
      <c r="AJ11" s="407"/>
      <c r="AK11" s="407"/>
      <c r="AL11" s="407"/>
      <c r="AM11" s="33"/>
      <c r="AN11" s="408" t="s">
        <v>15</v>
      </c>
      <c r="AO11" s="408"/>
      <c r="AP11" s="408"/>
      <c r="AQ11" s="408"/>
      <c r="AR11" s="408"/>
      <c r="AS11" s="408"/>
      <c r="AT11" s="408"/>
      <c r="AU11" s="408"/>
      <c r="AV11" s="408"/>
      <c r="AW11" s="33"/>
      <c r="AX11" s="409" t="s">
        <v>155</v>
      </c>
      <c r="AY11" s="409"/>
      <c r="AZ11" s="409"/>
      <c r="BA11" s="409"/>
      <c r="BB11" s="409"/>
      <c r="BC11" s="409"/>
      <c r="BD11" s="409"/>
      <c r="BE11" s="409"/>
      <c r="BF11" s="409"/>
      <c r="BG11" s="409"/>
      <c r="BH11" s="409"/>
      <c r="BI11" s="34"/>
      <c r="BK11" s="24" t="s">
        <v>125</v>
      </c>
    </row>
    <row r="12" spans="1:63" ht="7.4" customHeight="1" x14ac:dyDescent="0.5">
      <c r="A12" s="407"/>
      <c r="B12" s="407"/>
      <c r="C12" s="407"/>
      <c r="D12" s="407"/>
      <c r="E12" s="407"/>
      <c r="F12" s="407"/>
      <c r="G12" s="407"/>
      <c r="H12" s="407"/>
      <c r="I12" s="407"/>
      <c r="J12" s="407"/>
      <c r="K12" s="407"/>
      <c r="L12" s="407"/>
      <c r="M12" s="407"/>
      <c r="N12" s="407"/>
      <c r="O12" s="407"/>
      <c r="P12" s="407"/>
      <c r="Q12" s="407"/>
      <c r="R12" s="407"/>
      <c r="S12" s="407"/>
      <c r="T12" s="407"/>
      <c r="U12" s="407"/>
      <c r="V12" s="407"/>
      <c r="W12" s="407"/>
      <c r="X12" s="407"/>
      <c r="Y12" s="407"/>
      <c r="Z12" s="407"/>
      <c r="AA12" s="407"/>
      <c r="AB12" s="407"/>
      <c r="AC12" s="407"/>
      <c r="AD12" s="407"/>
      <c r="AE12" s="407"/>
      <c r="AF12" s="407"/>
      <c r="AG12" s="407"/>
      <c r="AH12" s="407"/>
      <c r="AI12" s="407"/>
      <c r="AJ12" s="407"/>
      <c r="AK12" s="407"/>
      <c r="AL12" s="407"/>
      <c r="AM12" s="33"/>
      <c r="AN12" s="408"/>
      <c r="AO12" s="408"/>
      <c r="AP12" s="408"/>
      <c r="AQ12" s="408"/>
      <c r="AR12" s="408"/>
      <c r="AS12" s="408"/>
      <c r="AT12" s="408"/>
      <c r="AU12" s="408"/>
      <c r="AV12" s="408"/>
      <c r="AW12" s="33"/>
      <c r="AX12" s="409"/>
      <c r="AY12" s="409"/>
      <c r="AZ12" s="409"/>
      <c r="BA12" s="409"/>
      <c r="BB12" s="409"/>
      <c r="BC12" s="409"/>
      <c r="BD12" s="409"/>
      <c r="BE12" s="409"/>
      <c r="BF12" s="409"/>
      <c r="BG12" s="409"/>
      <c r="BH12" s="409"/>
      <c r="BI12" s="34"/>
      <c r="BK12" s="24" t="s">
        <v>14</v>
      </c>
    </row>
    <row r="13" spans="1:63" ht="7.4" customHeight="1" x14ac:dyDescent="0.5">
      <c r="A13" s="407"/>
      <c r="B13" s="407"/>
      <c r="C13" s="407"/>
      <c r="D13" s="407"/>
      <c r="E13" s="407"/>
      <c r="F13" s="407"/>
      <c r="G13" s="407"/>
      <c r="H13" s="407"/>
      <c r="I13" s="407"/>
      <c r="J13" s="407"/>
      <c r="K13" s="407"/>
      <c r="L13" s="407"/>
      <c r="M13" s="407"/>
      <c r="N13" s="407"/>
      <c r="O13" s="407"/>
      <c r="P13" s="407"/>
      <c r="Q13" s="407"/>
      <c r="R13" s="407"/>
      <c r="S13" s="407"/>
      <c r="T13" s="407"/>
      <c r="U13" s="407"/>
      <c r="V13" s="407"/>
      <c r="W13" s="407"/>
      <c r="X13" s="407"/>
      <c r="Y13" s="407"/>
      <c r="Z13" s="407"/>
      <c r="AA13" s="407"/>
      <c r="AB13" s="407"/>
      <c r="AC13" s="407"/>
      <c r="AD13" s="407"/>
      <c r="AE13" s="407"/>
      <c r="AF13" s="407"/>
      <c r="AG13" s="407"/>
      <c r="AH13" s="407"/>
      <c r="AI13" s="407"/>
      <c r="AJ13" s="407"/>
      <c r="AK13" s="407"/>
      <c r="AL13" s="407"/>
      <c r="AM13" s="33"/>
      <c r="AN13" s="408" t="s">
        <v>19</v>
      </c>
      <c r="AO13" s="408"/>
      <c r="AP13" s="408"/>
      <c r="AQ13" s="408"/>
      <c r="AR13" s="408"/>
      <c r="AS13" s="408"/>
      <c r="AT13" s="408"/>
      <c r="AU13" s="408"/>
      <c r="AV13" s="408"/>
      <c r="AW13" s="33"/>
      <c r="AX13" s="410" t="s">
        <v>20</v>
      </c>
      <c r="AY13" s="410"/>
      <c r="AZ13" s="410"/>
      <c r="BA13" s="410"/>
      <c r="BB13" s="410"/>
      <c r="BC13" s="410"/>
      <c r="BD13" s="410"/>
      <c r="BE13" s="410"/>
      <c r="BF13" s="410"/>
      <c r="BG13" s="410"/>
      <c r="BH13" s="410"/>
      <c r="BI13" s="34"/>
      <c r="BK13" s="24" t="s">
        <v>126</v>
      </c>
    </row>
    <row r="14" spans="1:63" ht="7.4" customHeight="1" x14ac:dyDescent="0.5">
      <c r="A14" s="407"/>
      <c r="B14" s="407"/>
      <c r="C14" s="407"/>
      <c r="D14" s="407"/>
      <c r="E14" s="407"/>
      <c r="F14" s="407"/>
      <c r="G14" s="407"/>
      <c r="H14" s="407"/>
      <c r="I14" s="407"/>
      <c r="J14" s="407"/>
      <c r="K14" s="407"/>
      <c r="L14" s="407"/>
      <c r="M14" s="407"/>
      <c r="N14" s="407"/>
      <c r="O14" s="407"/>
      <c r="P14" s="407"/>
      <c r="Q14" s="407"/>
      <c r="R14" s="407"/>
      <c r="S14" s="407"/>
      <c r="T14" s="407"/>
      <c r="U14" s="407"/>
      <c r="V14" s="407"/>
      <c r="W14" s="407"/>
      <c r="X14" s="407"/>
      <c r="Y14" s="407"/>
      <c r="Z14" s="407"/>
      <c r="AA14" s="407"/>
      <c r="AB14" s="407"/>
      <c r="AC14" s="407"/>
      <c r="AD14" s="407"/>
      <c r="AE14" s="407"/>
      <c r="AF14" s="407"/>
      <c r="AG14" s="407"/>
      <c r="AH14" s="407"/>
      <c r="AI14" s="407"/>
      <c r="AJ14" s="407"/>
      <c r="AK14" s="407"/>
      <c r="AL14" s="407"/>
      <c r="AM14" s="33"/>
      <c r="AN14" s="408"/>
      <c r="AO14" s="408"/>
      <c r="AP14" s="408"/>
      <c r="AQ14" s="408"/>
      <c r="AR14" s="408"/>
      <c r="AS14" s="408"/>
      <c r="AT14" s="408"/>
      <c r="AU14" s="408"/>
      <c r="AV14" s="408"/>
      <c r="AW14" s="33"/>
      <c r="AX14" s="410"/>
      <c r="AY14" s="410"/>
      <c r="AZ14" s="410"/>
      <c r="BA14" s="410"/>
      <c r="BB14" s="410"/>
      <c r="BC14" s="410"/>
      <c r="BD14" s="410"/>
      <c r="BE14" s="410"/>
      <c r="BF14" s="410"/>
      <c r="BG14" s="410"/>
      <c r="BH14" s="410"/>
      <c r="BI14" s="34"/>
      <c r="BK14" s="24" t="s">
        <v>17</v>
      </c>
    </row>
    <row r="15" spans="1:63" ht="7.4" customHeight="1" x14ac:dyDescent="0.5">
      <c r="A15" s="407"/>
      <c r="B15" s="407"/>
      <c r="C15" s="407"/>
      <c r="D15" s="407"/>
      <c r="E15" s="407"/>
      <c r="F15" s="407"/>
      <c r="G15" s="407"/>
      <c r="H15" s="407"/>
      <c r="I15" s="407"/>
      <c r="J15" s="407"/>
      <c r="K15" s="407"/>
      <c r="L15" s="407"/>
      <c r="M15" s="407"/>
      <c r="N15" s="407"/>
      <c r="O15" s="407"/>
      <c r="P15" s="407"/>
      <c r="Q15" s="407"/>
      <c r="R15" s="407"/>
      <c r="S15" s="407"/>
      <c r="T15" s="407"/>
      <c r="U15" s="407"/>
      <c r="V15" s="407"/>
      <c r="W15" s="407"/>
      <c r="X15" s="407"/>
      <c r="Y15" s="407"/>
      <c r="Z15" s="407"/>
      <c r="AA15" s="407"/>
      <c r="AB15" s="407"/>
      <c r="AC15" s="407"/>
      <c r="AD15" s="407"/>
      <c r="AE15" s="407"/>
      <c r="AF15" s="407"/>
      <c r="AG15" s="407"/>
      <c r="AH15" s="407"/>
      <c r="AI15" s="407"/>
      <c r="AJ15" s="407"/>
      <c r="AK15" s="407"/>
      <c r="AL15" s="407"/>
      <c r="AM15" s="36"/>
      <c r="AN15" s="36"/>
      <c r="AO15" s="36"/>
      <c r="AP15" s="36"/>
      <c r="AQ15" s="36"/>
      <c r="AR15" s="36"/>
      <c r="AS15" s="36"/>
      <c r="AT15" s="36"/>
      <c r="AU15" s="36"/>
      <c r="AV15" s="36"/>
      <c r="AW15" s="36"/>
      <c r="AX15" s="36"/>
      <c r="AY15" s="36"/>
      <c r="AZ15" s="36"/>
      <c r="BA15" s="36"/>
      <c r="BB15" s="36"/>
      <c r="BC15" s="36"/>
      <c r="BD15" s="36"/>
      <c r="BE15" s="36"/>
      <c r="BF15" s="36"/>
      <c r="BG15" s="36"/>
      <c r="BH15" s="36"/>
      <c r="BI15" s="37"/>
      <c r="BK15" s="24" t="s">
        <v>127</v>
      </c>
    </row>
    <row r="16" spans="1:63" ht="7.4" customHeight="1" x14ac:dyDescent="0.5">
      <c r="A16" s="58"/>
      <c r="B16" s="59"/>
      <c r="C16" s="59"/>
      <c r="D16" s="59"/>
      <c r="E16" s="59"/>
      <c r="F16" s="59"/>
      <c r="G16" s="59"/>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60"/>
      <c r="BK16" s="24" t="s">
        <v>18</v>
      </c>
    </row>
    <row r="17" spans="1:70" ht="7.4" customHeight="1" x14ac:dyDescent="0.5">
      <c r="A17" s="61"/>
      <c r="B17" s="62"/>
      <c r="C17" s="400" t="s">
        <v>25</v>
      </c>
      <c r="D17" s="400"/>
      <c r="E17" s="400"/>
      <c r="F17" s="400"/>
      <c r="G17" s="401"/>
      <c r="H17" s="401"/>
      <c r="I17" s="401"/>
      <c r="J17" s="401"/>
      <c r="K17" s="401"/>
      <c r="L17" s="401"/>
      <c r="M17" s="401"/>
      <c r="N17" s="401"/>
      <c r="O17" s="401"/>
      <c r="P17" s="401"/>
      <c r="Q17" s="401"/>
      <c r="R17" s="401"/>
      <c r="S17" s="401"/>
      <c r="T17" s="401"/>
      <c r="U17" s="401"/>
      <c r="V17" s="401"/>
      <c r="W17" s="401"/>
      <c r="X17" s="401"/>
      <c r="Y17" s="400" t="s">
        <v>26</v>
      </c>
      <c r="Z17" s="400"/>
      <c r="AA17" s="400"/>
      <c r="AB17" s="400"/>
      <c r="AC17" s="400"/>
      <c r="AD17" s="401"/>
      <c r="AE17" s="401"/>
      <c r="AF17" s="401"/>
      <c r="AG17" s="401"/>
      <c r="AH17" s="401"/>
      <c r="AI17" s="401"/>
      <c r="AJ17" s="401"/>
      <c r="AK17" s="401"/>
      <c r="AL17" s="401"/>
      <c r="AM17" s="401"/>
      <c r="AN17" s="401"/>
      <c r="AO17" s="401"/>
      <c r="AP17" s="401"/>
      <c r="AQ17" s="401"/>
      <c r="AR17" s="401"/>
      <c r="AS17" s="401"/>
      <c r="AT17" s="400" t="s">
        <v>27</v>
      </c>
      <c r="AU17" s="400"/>
      <c r="AV17" s="400"/>
      <c r="AW17" s="400"/>
      <c r="AX17" s="402">
        <f ca="1">TODAY()</f>
        <v>45960</v>
      </c>
      <c r="AY17" s="402"/>
      <c r="AZ17" s="402"/>
      <c r="BA17" s="402"/>
      <c r="BB17" s="402"/>
      <c r="BC17" s="402"/>
      <c r="BD17" s="402"/>
      <c r="BE17" s="402"/>
      <c r="BF17" s="402"/>
      <c r="BG17" s="402"/>
      <c r="BH17" s="402"/>
      <c r="BI17" s="63"/>
      <c r="BK17" s="24" t="s">
        <v>21</v>
      </c>
    </row>
    <row r="18" spans="1:70" ht="7.4" customHeight="1" x14ac:dyDescent="0.5">
      <c r="A18" s="61"/>
      <c r="B18" s="62"/>
      <c r="C18" s="400"/>
      <c r="D18" s="400"/>
      <c r="E18" s="400"/>
      <c r="F18" s="400"/>
      <c r="G18" s="401"/>
      <c r="H18" s="401"/>
      <c r="I18" s="401"/>
      <c r="J18" s="401"/>
      <c r="K18" s="401"/>
      <c r="L18" s="401"/>
      <c r="M18" s="401"/>
      <c r="N18" s="401"/>
      <c r="O18" s="401"/>
      <c r="P18" s="401"/>
      <c r="Q18" s="401"/>
      <c r="R18" s="401"/>
      <c r="S18" s="401"/>
      <c r="T18" s="401"/>
      <c r="U18" s="401"/>
      <c r="V18" s="401"/>
      <c r="W18" s="401"/>
      <c r="X18" s="401"/>
      <c r="Y18" s="400"/>
      <c r="Z18" s="400"/>
      <c r="AA18" s="400"/>
      <c r="AB18" s="400"/>
      <c r="AC18" s="400"/>
      <c r="AD18" s="401"/>
      <c r="AE18" s="401"/>
      <c r="AF18" s="401"/>
      <c r="AG18" s="401"/>
      <c r="AH18" s="401"/>
      <c r="AI18" s="401"/>
      <c r="AJ18" s="401"/>
      <c r="AK18" s="401"/>
      <c r="AL18" s="401"/>
      <c r="AM18" s="401"/>
      <c r="AN18" s="401"/>
      <c r="AO18" s="401"/>
      <c r="AP18" s="401"/>
      <c r="AQ18" s="401"/>
      <c r="AR18" s="401"/>
      <c r="AS18" s="401"/>
      <c r="AT18" s="400"/>
      <c r="AU18" s="400"/>
      <c r="AV18" s="400"/>
      <c r="AW18" s="400"/>
      <c r="AX18" s="402"/>
      <c r="AY18" s="402"/>
      <c r="AZ18" s="402"/>
      <c r="BA18" s="402"/>
      <c r="BB18" s="402"/>
      <c r="BC18" s="402"/>
      <c r="BD18" s="402"/>
      <c r="BE18" s="402"/>
      <c r="BF18" s="402"/>
      <c r="BG18" s="402"/>
      <c r="BH18" s="402"/>
      <c r="BI18" s="63"/>
      <c r="BK18" s="24" t="s">
        <v>22</v>
      </c>
    </row>
    <row r="19" spans="1:70" ht="7.4" customHeight="1" x14ac:dyDescent="0.5">
      <c r="A19" s="64"/>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6"/>
      <c r="BK19" s="24" t="s">
        <v>23</v>
      </c>
    </row>
    <row r="20" spans="1:70" ht="7.4" customHeight="1" x14ac:dyDescent="0.5">
      <c r="A20" s="38"/>
      <c r="B20" s="39"/>
      <c r="C20" s="39"/>
      <c r="D20" s="39"/>
      <c r="E20" s="39"/>
      <c r="F20" s="39"/>
      <c r="G20" s="39"/>
      <c r="H20" s="39"/>
      <c r="I20" s="39"/>
      <c r="J20" s="39"/>
      <c r="K20" s="39"/>
      <c r="L20" s="39"/>
      <c r="M20" s="39"/>
      <c r="N20" s="39"/>
      <c r="O20" s="39"/>
      <c r="P20" s="39"/>
      <c r="Q20" s="39"/>
      <c r="R20" s="39"/>
      <c r="S20" s="67"/>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9"/>
      <c r="AR20" s="39"/>
      <c r="AS20" s="39"/>
      <c r="AT20" s="39"/>
      <c r="AU20" s="39"/>
      <c r="AV20" s="39"/>
      <c r="AW20" s="39"/>
      <c r="AX20" s="39"/>
      <c r="AY20" s="39"/>
      <c r="AZ20" s="39"/>
      <c r="BA20" s="39"/>
      <c r="BB20" s="39"/>
      <c r="BC20" s="39"/>
      <c r="BD20" s="39"/>
      <c r="BE20" s="39"/>
      <c r="BF20" s="39"/>
      <c r="BG20" s="39"/>
      <c r="BH20" s="39"/>
      <c r="BI20" s="40"/>
      <c r="BK20" s="24" t="s">
        <v>24</v>
      </c>
    </row>
    <row r="21" spans="1:70" ht="7.4" customHeight="1" x14ac:dyDescent="0.5">
      <c r="A21" s="42"/>
      <c r="S21" s="70"/>
      <c r="T21" s="509" t="str">
        <f>"Roof Top Tilted Railed ("&amp;$AO$35&amp;")"</f>
        <v>Roof Top Tilted Railed (IBR)</v>
      </c>
      <c r="U21" s="509"/>
      <c r="V21" s="509"/>
      <c r="W21" s="509"/>
      <c r="X21" s="509"/>
      <c r="Y21" s="509"/>
      <c r="Z21" s="509"/>
      <c r="AA21" s="509"/>
      <c r="AB21" s="509"/>
      <c r="AC21" s="509"/>
      <c r="AD21" s="509"/>
      <c r="AE21" s="509"/>
      <c r="AF21" s="509"/>
      <c r="AG21" s="509"/>
      <c r="AH21" s="509"/>
      <c r="AI21" s="509"/>
      <c r="AJ21" s="509"/>
      <c r="AK21" s="509"/>
      <c r="AL21" s="509"/>
      <c r="AM21" s="509"/>
      <c r="AN21" s="509"/>
      <c r="AO21" s="509"/>
      <c r="AP21" s="509"/>
      <c r="AQ21" s="71"/>
      <c r="BI21" s="41"/>
      <c r="BK21" s="24" t="s">
        <v>28</v>
      </c>
    </row>
    <row r="22" spans="1:70" ht="7.4" customHeight="1" x14ac:dyDescent="0.5">
      <c r="A22" s="42"/>
      <c r="S22" s="70"/>
      <c r="T22" s="509"/>
      <c r="U22" s="509"/>
      <c r="V22" s="509"/>
      <c r="W22" s="509"/>
      <c r="X22" s="509"/>
      <c r="Y22" s="509"/>
      <c r="Z22" s="509"/>
      <c r="AA22" s="509"/>
      <c r="AB22" s="509"/>
      <c r="AC22" s="509"/>
      <c r="AD22" s="509"/>
      <c r="AE22" s="509"/>
      <c r="AF22" s="509"/>
      <c r="AG22" s="509"/>
      <c r="AH22" s="509"/>
      <c r="AI22" s="509"/>
      <c r="AJ22" s="509"/>
      <c r="AK22" s="509"/>
      <c r="AL22" s="509"/>
      <c r="AM22" s="509"/>
      <c r="AN22" s="509"/>
      <c r="AO22" s="509"/>
      <c r="AP22" s="509"/>
      <c r="AQ22" s="71"/>
      <c r="BI22" s="41"/>
    </row>
    <row r="23" spans="1:70" ht="7.4" customHeight="1" x14ac:dyDescent="0.5">
      <c r="A23" s="42"/>
      <c r="S23" s="72"/>
      <c r="T23" s="73"/>
      <c r="U23" s="73"/>
      <c r="V23" s="73"/>
      <c r="W23" s="73"/>
      <c r="X23" s="73"/>
      <c r="Y23" s="73"/>
      <c r="Z23" s="73"/>
      <c r="AA23" s="73"/>
      <c r="AB23" s="73"/>
      <c r="AC23" s="73"/>
      <c r="AD23" s="73"/>
      <c r="AE23" s="73"/>
      <c r="AF23" s="73"/>
      <c r="AG23" s="73"/>
      <c r="AH23" s="73"/>
      <c r="AI23" s="73"/>
      <c r="AJ23" s="73"/>
      <c r="AK23" s="73"/>
      <c r="AL23" s="73"/>
      <c r="AM23" s="73"/>
      <c r="AN23" s="73"/>
      <c r="AO23" s="73"/>
      <c r="AP23" s="73"/>
      <c r="AQ23" s="74"/>
      <c r="BI23" s="41"/>
    </row>
    <row r="24" spans="1:70" ht="7.4" customHeight="1" x14ac:dyDescent="0.5">
      <c r="A24" s="42"/>
      <c r="BI24" s="41"/>
    </row>
    <row r="25" spans="1:70" ht="7.4" customHeight="1" x14ac:dyDescent="0.5">
      <c r="A25" s="42"/>
      <c r="B25" s="299" t="s">
        <v>59</v>
      </c>
      <c r="C25" s="363"/>
      <c r="D25" s="363"/>
      <c r="E25" s="363"/>
      <c r="F25" s="363"/>
      <c r="G25" s="363"/>
      <c r="H25" s="363"/>
      <c r="I25" s="363"/>
      <c r="J25" s="363"/>
      <c r="K25" s="363"/>
      <c r="L25" s="363"/>
      <c r="M25" s="363"/>
      <c r="N25" s="363"/>
      <c r="O25" s="363"/>
      <c r="P25" s="363"/>
      <c r="Q25" s="363"/>
      <c r="R25" s="363"/>
      <c r="S25" s="363"/>
      <c r="T25" s="363"/>
      <c r="U25" s="363"/>
      <c r="V25" s="363"/>
      <c r="W25" s="363"/>
      <c r="X25" s="363"/>
      <c r="Y25" s="363"/>
      <c r="Z25" s="363"/>
      <c r="AA25" s="363"/>
      <c r="AB25" s="363"/>
      <c r="AC25" s="364"/>
      <c r="AE25" s="299" t="s">
        <v>60</v>
      </c>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4"/>
      <c r="BI25" s="41"/>
    </row>
    <row r="26" spans="1:70" ht="7.4" customHeight="1" x14ac:dyDescent="0.5">
      <c r="A26" s="42"/>
      <c r="B26" s="365"/>
      <c r="C26" s="366"/>
      <c r="D26" s="366"/>
      <c r="E26" s="366"/>
      <c r="F26" s="366"/>
      <c r="G26" s="366"/>
      <c r="H26" s="366"/>
      <c r="I26" s="366"/>
      <c r="J26" s="366"/>
      <c r="K26" s="366"/>
      <c r="L26" s="366"/>
      <c r="M26" s="366"/>
      <c r="N26" s="366"/>
      <c r="O26" s="366"/>
      <c r="P26" s="366"/>
      <c r="Q26" s="366"/>
      <c r="R26" s="366"/>
      <c r="S26" s="366"/>
      <c r="T26" s="366"/>
      <c r="U26" s="366"/>
      <c r="V26" s="366"/>
      <c r="W26" s="366"/>
      <c r="X26" s="366"/>
      <c r="Y26" s="366"/>
      <c r="Z26" s="366"/>
      <c r="AA26" s="366"/>
      <c r="AB26" s="366"/>
      <c r="AC26" s="367"/>
      <c r="AE26" s="365"/>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7"/>
      <c r="BI26" s="41"/>
    </row>
    <row r="27" spans="1:70" ht="7.4" customHeight="1" x14ac:dyDescent="0.5">
      <c r="A27" s="42"/>
      <c r="B27" s="368"/>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70"/>
      <c r="AE27" s="368"/>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70"/>
      <c r="BI27" s="41"/>
    </row>
    <row r="28" spans="1:70" ht="7.4" customHeight="1" x14ac:dyDescent="0.5">
      <c r="A28" s="42"/>
      <c r="B28" s="58"/>
      <c r="C28" s="503" t="s">
        <v>61</v>
      </c>
      <c r="D28" s="503"/>
      <c r="E28" s="503"/>
      <c r="F28" s="503"/>
      <c r="G28" s="503"/>
      <c r="H28" s="503"/>
      <c r="I28" s="503"/>
      <c r="J28" s="503"/>
      <c r="K28" s="503"/>
      <c r="L28" s="503"/>
      <c r="M28" s="503"/>
      <c r="N28" s="503"/>
      <c r="O28" s="503"/>
      <c r="P28" s="503"/>
      <c r="Q28" s="503"/>
      <c r="R28" s="504"/>
      <c r="S28" s="39"/>
      <c r="T28" s="380" t="str">
        <f>(J43*BC43)/1000 &amp; " kWp"</f>
        <v>150 kWp</v>
      </c>
      <c r="U28" s="380"/>
      <c r="V28" s="380"/>
      <c r="W28" s="380"/>
      <c r="X28" s="380"/>
      <c r="Y28" s="380"/>
      <c r="Z28" s="380"/>
      <c r="AA28" s="380"/>
      <c r="AB28" s="380"/>
      <c r="AC28" s="381"/>
      <c r="AD28" s="108"/>
      <c r="AE28" s="137"/>
      <c r="AF28" s="503" t="s">
        <v>62</v>
      </c>
      <c r="AG28" s="503"/>
      <c r="AH28" s="503"/>
      <c r="AI28" s="503"/>
      <c r="AJ28" s="503"/>
      <c r="AK28" s="503"/>
      <c r="AL28" s="503"/>
      <c r="AM28" s="504"/>
      <c r="AN28" s="77"/>
      <c r="AO28" s="489" t="s">
        <v>128</v>
      </c>
      <c r="AP28" s="489"/>
      <c r="AQ28" s="489"/>
      <c r="AR28" s="489"/>
      <c r="AS28" s="489"/>
      <c r="AT28" s="489"/>
      <c r="AU28" s="489"/>
      <c r="AV28" s="489"/>
      <c r="AW28" s="489"/>
      <c r="AX28" s="489"/>
      <c r="AY28" s="489"/>
      <c r="AZ28" s="489"/>
      <c r="BA28" s="489"/>
      <c r="BB28" s="489"/>
      <c r="BC28" s="489"/>
      <c r="BD28" s="489"/>
      <c r="BE28" s="489"/>
      <c r="BF28" s="489"/>
      <c r="BG28" s="489"/>
      <c r="BH28" s="490"/>
      <c r="BI28" s="124"/>
    </row>
    <row r="29" spans="1:70" ht="7.4" customHeight="1" x14ac:dyDescent="0.5">
      <c r="A29" s="42"/>
      <c r="B29" s="61"/>
      <c r="C29" s="400"/>
      <c r="D29" s="400"/>
      <c r="E29" s="400"/>
      <c r="F29" s="400"/>
      <c r="G29" s="400"/>
      <c r="H29" s="400"/>
      <c r="I29" s="400"/>
      <c r="J29" s="400"/>
      <c r="K29" s="400"/>
      <c r="L29" s="400"/>
      <c r="M29" s="400"/>
      <c r="N29" s="400"/>
      <c r="O29" s="400"/>
      <c r="P29" s="400"/>
      <c r="Q29" s="400"/>
      <c r="R29" s="448"/>
      <c r="S29" s="108"/>
      <c r="T29" s="382"/>
      <c r="U29" s="382"/>
      <c r="V29" s="382"/>
      <c r="W29" s="382"/>
      <c r="X29" s="382"/>
      <c r="Y29" s="382"/>
      <c r="Z29" s="382"/>
      <c r="AA29" s="382"/>
      <c r="AB29" s="382"/>
      <c r="AC29" s="383"/>
      <c r="AD29" s="25"/>
      <c r="AE29" s="139"/>
      <c r="AF29" s="400"/>
      <c r="AG29" s="400"/>
      <c r="AH29" s="400"/>
      <c r="AI29" s="400"/>
      <c r="AJ29" s="400"/>
      <c r="AK29" s="400"/>
      <c r="AL29" s="400"/>
      <c r="AM29" s="448"/>
      <c r="AN29" s="25"/>
      <c r="AO29" s="405"/>
      <c r="AP29" s="405"/>
      <c r="AQ29" s="405"/>
      <c r="AR29" s="405"/>
      <c r="AS29" s="405"/>
      <c r="AT29" s="405"/>
      <c r="AU29" s="405"/>
      <c r="AV29" s="405"/>
      <c r="AW29" s="405"/>
      <c r="AX29" s="405"/>
      <c r="AY29" s="405"/>
      <c r="AZ29" s="405"/>
      <c r="BA29" s="405"/>
      <c r="BB29" s="405"/>
      <c r="BC29" s="405"/>
      <c r="BD29" s="405"/>
      <c r="BE29" s="405"/>
      <c r="BF29" s="405"/>
      <c r="BG29" s="405"/>
      <c r="BH29" s="411"/>
      <c r="BI29" s="41"/>
    </row>
    <row r="30" spans="1:70" ht="7.4" customHeight="1" x14ac:dyDescent="0.5">
      <c r="A30" s="42"/>
      <c r="B30" s="61"/>
      <c r="C30" s="400"/>
      <c r="D30" s="400"/>
      <c r="E30" s="400"/>
      <c r="F30" s="400"/>
      <c r="G30" s="400"/>
      <c r="H30" s="400"/>
      <c r="I30" s="400"/>
      <c r="J30" s="400"/>
      <c r="K30" s="400"/>
      <c r="L30" s="400"/>
      <c r="M30" s="400"/>
      <c r="N30" s="400"/>
      <c r="O30" s="400"/>
      <c r="P30" s="400"/>
      <c r="Q30" s="400"/>
      <c r="R30" s="448"/>
      <c r="T30" s="388"/>
      <c r="U30" s="388"/>
      <c r="V30" s="388"/>
      <c r="W30" s="388"/>
      <c r="X30" s="388"/>
      <c r="Y30" s="388"/>
      <c r="Z30" s="388"/>
      <c r="AA30" s="388"/>
      <c r="AB30" s="388"/>
      <c r="AC30" s="389"/>
      <c r="AD30" s="25"/>
      <c r="AE30" s="139"/>
      <c r="AF30" s="400"/>
      <c r="AG30" s="400"/>
      <c r="AH30" s="400"/>
      <c r="AI30" s="400"/>
      <c r="AJ30" s="400"/>
      <c r="AK30" s="400"/>
      <c r="AL30" s="400"/>
      <c r="AM30" s="448"/>
      <c r="AN30" s="79"/>
      <c r="AO30" s="491"/>
      <c r="AP30" s="491"/>
      <c r="AQ30" s="491"/>
      <c r="AR30" s="491"/>
      <c r="AS30" s="491"/>
      <c r="AT30" s="491"/>
      <c r="AU30" s="491"/>
      <c r="AV30" s="491"/>
      <c r="AW30" s="491"/>
      <c r="AX30" s="491"/>
      <c r="AY30" s="491"/>
      <c r="AZ30" s="491"/>
      <c r="BA30" s="491"/>
      <c r="BB30" s="491"/>
      <c r="BC30" s="491"/>
      <c r="BD30" s="491"/>
      <c r="BE30" s="491"/>
      <c r="BF30" s="491"/>
      <c r="BG30" s="491"/>
      <c r="BH30" s="492"/>
      <c r="BI30" s="41"/>
      <c r="BK30" s="311">
        <v>10</v>
      </c>
      <c r="BL30" s="311"/>
      <c r="BM30" s="311">
        <v>1446</v>
      </c>
      <c r="BN30" s="311"/>
      <c r="BO30" s="311"/>
      <c r="BP30" s="311">
        <v>1720</v>
      </c>
      <c r="BQ30" s="311"/>
      <c r="BR30" s="311"/>
    </row>
    <row r="31" spans="1:70" ht="7.4" customHeight="1" x14ac:dyDescent="0.5">
      <c r="A31" s="42"/>
      <c r="B31" s="61"/>
      <c r="C31" s="400" t="s">
        <v>65</v>
      </c>
      <c r="D31" s="400"/>
      <c r="E31" s="400"/>
      <c r="F31" s="400"/>
      <c r="G31" s="400"/>
      <c r="H31" s="400"/>
      <c r="I31" s="400"/>
      <c r="J31" s="400"/>
      <c r="K31" s="400"/>
      <c r="L31" s="400"/>
      <c r="M31" s="400"/>
      <c r="N31" s="400"/>
      <c r="O31" s="400"/>
      <c r="P31" s="400"/>
      <c r="Q31" s="400"/>
      <c r="R31" s="448"/>
      <c r="S31" s="39"/>
      <c r="T31" s="489" t="s">
        <v>156</v>
      </c>
      <c r="U31" s="489"/>
      <c r="V31" s="489"/>
      <c r="W31" s="489"/>
      <c r="X31" s="489"/>
      <c r="Y31" s="489"/>
      <c r="Z31" s="489"/>
      <c r="AA31" s="489"/>
      <c r="AB31" s="489"/>
      <c r="AC31" s="490"/>
      <c r="AD31" s="25"/>
      <c r="AE31" s="139"/>
      <c r="AF31" s="400" t="s">
        <v>67</v>
      </c>
      <c r="AG31" s="400"/>
      <c r="AH31" s="400"/>
      <c r="AI31" s="400"/>
      <c r="AJ31" s="400"/>
      <c r="AK31" s="400"/>
      <c r="AL31" s="400"/>
      <c r="AM31" s="448"/>
      <c r="AN31" s="77"/>
      <c r="AO31" s="493">
        <v>10</v>
      </c>
      <c r="AP31" s="493"/>
      <c r="AQ31" s="495" t="s">
        <v>68</v>
      </c>
      <c r="AR31" s="495"/>
      <c r="AS31" s="495"/>
      <c r="AT31" s="495"/>
      <c r="AU31" s="495"/>
      <c r="AV31" s="495"/>
      <c r="AW31" s="495"/>
      <c r="AX31" s="380">
        <f>LOOKUP(AO31,BK30:BK35,IF(W45&lt;2200,BM30:BM35,BP30:BP35))</f>
        <v>1720</v>
      </c>
      <c r="AY31" s="380"/>
      <c r="AZ31" s="380"/>
      <c r="BA31" s="497" t="s">
        <v>69</v>
      </c>
      <c r="BB31" s="497"/>
      <c r="BC31" s="481" t="s">
        <v>130</v>
      </c>
      <c r="BD31" s="481"/>
      <c r="BE31" s="481"/>
      <c r="BF31" s="481"/>
      <c r="BG31" s="481"/>
      <c r="BH31" s="482"/>
      <c r="BI31" s="41"/>
      <c r="BK31" s="311">
        <v>15</v>
      </c>
      <c r="BL31" s="311"/>
      <c r="BM31" s="311">
        <v>1474</v>
      </c>
      <c r="BN31" s="311"/>
      <c r="BO31" s="311"/>
      <c r="BP31" s="311">
        <v>1754</v>
      </c>
      <c r="BQ31" s="311"/>
      <c r="BR31" s="311"/>
    </row>
    <row r="32" spans="1:70" ht="7.4" customHeight="1" x14ac:dyDescent="0.5">
      <c r="A32" s="42"/>
      <c r="B32" s="61"/>
      <c r="C32" s="400"/>
      <c r="D32" s="400"/>
      <c r="E32" s="400"/>
      <c r="F32" s="400"/>
      <c r="G32" s="400"/>
      <c r="H32" s="400"/>
      <c r="I32" s="400"/>
      <c r="J32" s="400"/>
      <c r="K32" s="400"/>
      <c r="L32" s="400"/>
      <c r="M32" s="400"/>
      <c r="N32" s="400"/>
      <c r="O32" s="400"/>
      <c r="P32" s="400"/>
      <c r="Q32" s="400"/>
      <c r="R32" s="448"/>
      <c r="S32" s="25"/>
      <c r="T32" s="405"/>
      <c r="U32" s="405"/>
      <c r="V32" s="405"/>
      <c r="W32" s="405"/>
      <c r="X32" s="405"/>
      <c r="Y32" s="405"/>
      <c r="Z32" s="405"/>
      <c r="AA32" s="405"/>
      <c r="AB32" s="405"/>
      <c r="AC32" s="411"/>
      <c r="AD32" s="25"/>
      <c r="AE32" s="139"/>
      <c r="AF32" s="400"/>
      <c r="AG32" s="400"/>
      <c r="AH32" s="400"/>
      <c r="AI32" s="400"/>
      <c r="AJ32" s="400"/>
      <c r="AK32" s="400"/>
      <c r="AL32" s="400"/>
      <c r="AM32" s="448"/>
      <c r="AN32" s="25"/>
      <c r="AO32" s="480"/>
      <c r="AP32" s="480"/>
      <c r="AQ32" s="314"/>
      <c r="AR32" s="314"/>
      <c r="AS32" s="314"/>
      <c r="AT32" s="314"/>
      <c r="AU32" s="314"/>
      <c r="AV32" s="314"/>
      <c r="AW32" s="314"/>
      <c r="AX32" s="382"/>
      <c r="AY32" s="382"/>
      <c r="AZ32" s="382"/>
      <c r="BA32" s="498"/>
      <c r="BB32" s="498"/>
      <c r="BC32" s="483"/>
      <c r="BD32" s="483"/>
      <c r="BE32" s="483"/>
      <c r="BF32" s="483"/>
      <c r="BG32" s="483"/>
      <c r="BH32" s="484"/>
      <c r="BI32" s="41"/>
      <c r="BK32" s="311">
        <v>20</v>
      </c>
      <c r="BL32" s="311"/>
      <c r="BM32" s="311">
        <v>1515</v>
      </c>
      <c r="BN32" s="311"/>
      <c r="BO32" s="311"/>
      <c r="BP32" s="311">
        <v>1803</v>
      </c>
      <c r="BQ32" s="311"/>
      <c r="BR32" s="311"/>
    </row>
    <row r="33" spans="1:70" ht="7.4" customHeight="1" x14ac:dyDescent="0.5">
      <c r="A33" s="42"/>
      <c r="B33" s="64"/>
      <c r="C33" s="487"/>
      <c r="D33" s="487"/>
      <c r="E33" s="487"/>
      <c r="F33" s="487"/>
      <c r="G33" s="487"/>
      <c r="H33" s="487"/>
      <c r="I33" s="487"/>
      <c r="J33" s="487"/>
      <c r="K33" s="487"/>
      <c r="L33" s="487"/>
      <c r="M33" s="487"/>
      <c r="N33" s="487"/>
      <c r="O33" s="487"/>
      <c r="P33" s="487"/>
      <c r="Q33" s="487"/>
      <c r="R33" s="488"/>
      <c r="S33" s="51"/>
      <c r="T33" s="491"/>
      <c r="U33" s="491"/>
      <c r="V33" s="491"/>
      <c r="W33" s="491"/>
      <c r="X33" s="491"/>
      <c r="Y33" s="491"/>
      <c r="Z33" s="491"/>
      <c r="AA33" s="491"/>
      <c r="AB33" s="491"/>
      <c r="AC33" s="492"/>
      <c r="AD33" s="25"/>
      <c r="AE33" s="139"/>
      <c r="AF33" s="400"/>
      <c r="AG33" s="400"/>
      <c r="AH33" s="400"/>
      <c r="AI33" s="400"/>
      <c r="AJ33" s="400"/>
      <c r="AK33" s="400"/>
      <c r="AL33" s="400"/>
      <c r="AM33" s="448"/>
      <c r="AN33" s="135"/>
      <c r="AO33" s="494"/>
      <c r="AP33" s="494"/>
      <c r="AQ33" s="496"/>
      <c r="AR33" s="496"/>
      <c r="AS33" s="496"/>
      <c r="AT33" s="496"/>
      <c r="AU33" s="496"/>
      <c r="AV33" s="496"/>
      <c r="AW33" s="496"/>
      <c r="AX33" s="388"/>
      <c r="AY33" s="388"/>
      <c r="AZ33" s="388"/>
      <c r="BA33" s="499"/>
      <c r="BB33" s="499"/>
      <c r="BC33" s="485"/>
      <c r="BD33" s="485"/>
      <c r="BE33" s="485"/>
      <c r="BF33" s="485"/>
      <c r="BG33" s="485"/>
      <c r="BH33" s="486"/>
      <c r="BI33" s="41"/>
      <c r="BK33" s="311">
        <v>25</v>
      </c>
      <c r="BL33" s="311"/>
      <c r="BM33" s="311">
        <v>1571</v>
      </c>
      <c r="BN33" s="311"/>
      <c r="BO33" s="311"/>
      <c r="BP33" s="311">
        <v>1869</v>
      </c>
      <c r="BQ33" s="311"/>
      <c r="BR33" s="311"/>
    </row>
    <row r="34" spans="1:70" ht="7.4" customHeight="1" x14ac:dyDescent="0.5">
      <c r="A34" s="42"/>
      <c r="C34" s="79"/>
      <c r="D34" s="79"/>
      <c r="E34" s="79"/>
      <c r="F34" s="79"/>
      <c r="G34" s="79"/>
      <c r="H34" s="79"/>
      <c r="I34" s="79"/>
      <c r="J34" s="79"/>
      <c r="K34" s="79"/>
      <c r="L34" s="79"/>
      <c r="M34" s="79"/>
      <c r="N34" s="79"/>
      <c r="O34" s="79"/>
      <c r="P34" s="79"/>
      <c r="Q34" s="79"/>
      <c r="R34" s="79"/>
      <c r="T34" s="141"/>
      <c r="U34" s="141"/>
      <c r="V34" s="141"/>
      <c r="W34" s="141"/>
      <c r="X34" s="141"/>
      <c r="Y34" s="141"/>
      <c r="Z34" s="141"/>
      <c r="AA34" s="141"/>
      <c r="AB34" s="141"/>
      <c r="AC34" s="141"/>
      <c r="AD34" s="108"/>
      <c r="AE34" s="142"/>
      <c r="AF34" s="400" t="s">
        <v>132</v>
      </c>
      <c r="AG34" s="400"/>
      <c r="AH34" s="400"/>
      <c r="AI34" s="400"/>
      <c r="AJ34" s="400"/>
      <c r="AK34" s="400"/>
      <c r="AL34" s="400"/>
      <c r="AM34" s="448"/>
      <c r="AN34" s="79"/>
      <c r="AO34" s="79"/>
      <c r="AP34" s="79"/>
      <c r="AQ34" s="79"/>
      <c r="AR34" s="79"/>
      <c r="AS34" s="79"/>
      <c r="AT34" s="79"/>
      <c r="AU34" s="79"/>
      <c r="AV34" s="79"/>
      <c r="AW34" s="79"/>
      <c r="AX34" s="79"/>
      <c r="AY34" s="79"/>
      <c r="AZ34" s="79"/>
      <c r="BA34" s="79"/>
      <c r="BB34" s="79"/>
      <c r="BC34" s="481" t="s">
        <v>157</v>
      </c>
      <c r="BD34" s="481"/>
      <c r="BE34" s="481"/>
      <c r="BF34" s="481"/>
      <c r="BG34" s="481"/>
      <c r="BH34" s="482"/>
      <c r="BI34" s="124"/>
      <c r="BK34" s="311">
        <v>30</v>
      </c>
      <c r="BL34" s="311"/>
      <c r="BM34" s="311">
        <v>1644</v>
      </c>
      <c r="BN34" s="311"/>
      <c r="BO34" s="311"/>
      <c r="BP34" s="311">
        <v>1955</v>
      </c>
      <c r="BQ34" s="311"/>
      <c r="BR34" s="311"/>
    </row>
    <row r="35" spans="1:70" ht="7.4" customHeight="1" x14ac:dyDescent="0.5">
      <c r="A35" s="42"/>
      <c r="C35" s="79"/>
      <c r="D35" s="79"/>
      <c r="E35" s="79"/>
      <c r="F35" s="79"/>
      <c r="G35" s="79"/>
      <c r="H35" s="79"/>
      <c r="I35" s="79"/>
      <c r="J35" s="79"/>
      <c r="K35" s="79"/>
      <c r="L35" s="79"/>
      <c r="M35" s="79"/>
      <c r="N35" s="79"/>
      <c r="O35" s="79"/>
      <c r="P35" s="79"/>
      <c r="Q35" s="79"/>
      <c r="R35" s="79"/>
      <c r="S35" s="293"/>
      <c r="T35" s="141"/>
      <c r="U35" s="141"/>
      <c r="V35" s="141"/>
      <c r="W35" s="141"/>
      <c r="X35" s="141"/>
      <c r="Y35" s="141"/>
      <c r="Z35" s="141"/>
      <c r="AA35" s="141"/>
      <c r="AB35" s="141"/>
      <c r="AC35" s="141"/>
      <c r="AD35" s="25"/>
      <c r="AE35" s="139"/>
      <c r="AF35" s="400"/>
      <c r="AG35" s="400"/>
      <c r="AH35" s="400"/>
      <c r="AI35" s="400"/>
      <c r="AJ35" s="400"/>
      <c r="AK35" s="400"/>
      <c r="AL35" s="400"/>
      <c r="AM35" s="448"/>
      <c r="AN35" s="25"/>
      <c r="AO35" s="347" t="s">
        <v>14</v>
      </c>
      <c r="AP35" s="347"/>
      <c r="AQ35" s="347"/>
      <c r="AR35" s="347"/>
      <c r="AS35" s="347"/>
      <c r="AT35" s="347"/>
      <c r="AU35" s="347"/>
      <c r="AV35" s="347"/>
      <c r="AW35" s="333" t="s">
        <v>133</v>
      </c>
      <c r="AX35" s="318">
        <v>1500</v>
      </c>
      <c r="AY35" s="318"/>
      <c r="AZ35" s="318"/>
      <c r="BA35" s="460" t="s">
        <v>69</v>
      </c>
      <c r="BB35" s="460"/>
      <c r="BC35" s="483"/>
      <c r="BD35" s="483"/>
      <c r="BE35" s="483"/>
      <c r="BF35" s="483"/>
      <c r="BG35" s="483"/>
      <c r="BH35" s="484"/>
      <c r="BI35" s="41"/>
      <c r="BK35" s="311"/>
      <c r="BL35" s="311"/>
    </row>
    <row r="36" spans="1:70" ht="7.4" customHeight="1" x14ac:dyDescent="0.5">
      <c r="A36" s="42"/>
      <c r="C36" s="79"/>
      <c r="D36" s="79"/>
      <c r="E36" s="79"/>
      <c r="F36" s="79"/>
      <c r="G36" s="79"/>
      <c r="H36" s="79"/>
      <c r="I36" s="79"/>
      <c r="J36" s="79"/>
      <c r="K36" s="79"/>
      <c r="L36" s="79"/>
      <c r="M36" s="79"/>
      <c r="N36" s="79"/>
      <c r="O36" s="79"/>
      <c r="P36" s="79"/>
      <c r="Q36" s="79"/>
      <c r="R36" s="79"/>
      <c r="S36" s="293"/>
      <c r="T36" s="141"/>
      <c r="U36" s="141"/>
      <c r="V36" s="141"/>
      <c r="W36" s="141"/>
      <c r="X36" s="141"/>
      <c r="Y36" s="141"/>
      <c r="Z36" s="141"/>
      <c r="AA36" s="141"/>
      <c r="AB36" s="141"/>
      <c r="AC36" s="141"/>
      <c r="AD36" s="25"/>
      <c r="AE36" s="139"/>
      <c r="AF36" s="400"/>
      <c r="AG36" s="400"/>
      <c r="AH36" s="400"/>
      <c r="AI36" s="400"/>
      <c r="AJ36" s="400"/>
      <c r="AK36" s="400"/>
      <c r="AL36" s="400"/>
      <c r="AM36" s="448"/>
      <c r="AN36" s="25"/>
      <c r="AO36" s="347"/>
      <c r="AP36" s="347"/>
      <c r="AQ36" s="347"/>
      <c r="AR36" s="347"/>
      <c r="AS36" s="347"/>
      <c r="AT36" s="347"/>
      <c r="AU36" s="347"/>
      <c r="AV36" s="347"/>
      <c r="AW36" s="333"/>
      <c r="AX36" s="318"/>
      <c r="AY36" s="318"/>
      <c r="AZ36" s="318"/>
      <c r="BA36" s="460"/>
      <c r="BB36" s="460"/>
      <c r="BC36" s="483"/>
      <c r="BD36" s="483"/>
      <c r="BE36" s="483"/>
      <c r="BF36" s="483"/>
      <c r="BG36" s="483"/>
      <c r="BH36" s="484"/>
      <c r="BI36" s="41"/>
      <c r="BK36" s="75"/>
      <c r="BL36" s="75"/>
    </row>
    <row r="37" spans="1:70" ht="7.4" customHeight="1" x14ac:dyDescent="0.5">
      <c r="A37" s="42"/>
      <c r="C37" s="79"/>
      <c r="D37" s="79"/>
      <c r="E37" s="79"/>
      <c r="F37" s="79"/>
      <c r="G37" s="79"/>
      <c r="H37" s="79"/>
      <c r="I37" s="79"/>
      <c r="J37" s="79"/>
      <c r="K37" s="79"/>
      <c r="L37" s="79"/>
      <c r="M37" s="79"/>
      <c r="N37" s="79"/>
      <c r="O37" s="79"/>
      <c r="P37" s="79"/>
      <c r="Q37" s="79"/>
      <c r="R37" s="79"/>
      <c r="T37" s="141"/>
      <c r="U37" s="141"/>
      <c r="V37" s="141"/>
      <c r="W37" s="141"/>
      <c r="X37" s="141"/>
      <c r="Y37" s="141"/>
      <c r="Z37" s="141"/>
      <c r="AA37" s="141"/>
      <c r="AB37" s="141"/>
      <c r="AC37" s="141"/>
      <c r="AD37" s="25"/>
      <c r="AE37" s="145"/>
      <c r="AF37" s="487"/>
      <c r="AG37" s="487"/>
      <c r="AH37" s="487"/>
      <c r="AI37" s="487"/>
      <c r="AJ37" s="487"/>
      <c r="AK37" s="487"/>
      <c r="AL37" s="487"/>
      <c r="AM37" s="488"/>
      <c r="AN37" s="135"/>
      <c r="AO37" s="135"/>
      <c r="AP37" s="135"/>
      <c r="AQ37" s="51"/>
      <c r="AR37" s="51"/>
      <c r="AS37" s="135"/>
      <c r="AT37" s="135"/>
      <c r="AU37" s="135"/>
      <c r="AV37" s="135"/>
      <c r="AW37" s="135"/>
      <c r="AX37" s="135"/>
      <c r="AY37" s="135"/>
      <c r="AZ37" s="135"/>
      <c r="BA37" s="135"/>
      <c r="BB37" s="135"/>
      <c r="BC37" s="485"/>
      <c r="BD37" s="485"/>
      <c r="BE37" s="485"/>
      <c r="BF37" s="485"/>
      <c r="BG37" s="485"/>
      <c r="BH37" s="486"/>
      <c r="BI37" s="41"/>
    </row>
    <row r="38" spans="1:70" ht="7.4" customHeight="1" x14ac:dyDescent="0.5">
      <c r="A38" s="42"/>
      <c r="X38" s="25"/>
      <c r="Y38" s="25"/>
      <c r="Z38" s="25"/>
      <c r="AA38" s="25"/>
      <c r="AB38" s="25"/>
      <c r="AC38" s="25"/>
      <c r="AD38" s="25"/>
      <c r="AE38" s="25"/>
      <c r="AF38" s="25"/>
      <c r="AG38" s="25"/>
      <c r="AH38" s="25"/>
      <c r="AI38" s="25"/>
      <c r="AJ38" s="25"/>
      <c r="AL38" s="79"/>
      <c r="AM38" s="79"/>
      <c r="AN38" s="79"/>
      <c r="AO38" s="79"/>
      <c r="AP38" s="79"/>
      <c r="AQ38" s="79"/>
      <c r="AR38" s="79"/>
      <c r="AS38" s="79"/>
      <c r="AV38" s="79"/>
      <c r="AW38" s="79"/>
      <c r="AX38" s="79"/>
      <c r="AY38" s="79"/>
      <c r="AZ38" s="79"/>
      <c r="BA38" s="79"/>
      <c r="BB38" s="79"/>
      <c r="BC38" s="79"/>
      <c r="BD38" s="79"/>
      <c r="BE38" s="79"/>
      <c r="BF38" s="79"/>
      <c r="BG38" s="79"/>
      <c r="BH38" s="79"/>
      <c r="BI38" s="41"/>
    </row>
    <row r="39" spans="1:70" ht="7.4" customHeight="1" x14ac:dyDescent="0.5">
      <c r="A39" s="42"/>
      <c r="B39" s="299" t="s">
        <v>73</v>
      </c>
      <c r="C39" s="363"/>
      <c r="D39" s="363"/>
      <c r="E39" s="363"/>
      <c r="F39" s="363"/>
      <c r="G39" s="363"/>
      <c r="H39" s="363"/>
      <c r="I39" s="363"/>
      <c r="J39" s="363"/>
      <c r="K39" s="363"/>
      <c r="L39" s="363"/>
      <c r="M39" s="363"/>
      <c r="N39" s="363"/>
      <c r="O39" s="363"/>
      <c r="P39" s="363"/>
      <c r="Q39" s="363"/>
      <c r="R39" s="363"/>
      <c r="S39" s="363"/>
      <c r="T39" s="363"/>
      <c r="U39" s="363"/>
      <c r="V39" s="363"/>
      <c r="W39" s="363"/>
      <c r="X39" s="363"/>
      <c r="Y39" s="363"/>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363"/>
      <c r="BC39" s="363"/>
      <c r="BD39" s="363"/>
      <c r="BE39" s="363"/>
      <c r="BF39" s="363"/>
      <c r="BG39" s="363"/>
      <c r="BH39" s="364"/>
      <c r="BI39" s="41"/>
    </row>
    <row r="40" spans="1:70" ht="7.4" customHeight="1" x14ac:dyDescent="0.5">
      <c r="A40" s="42"/>
      <c r="B40" s="365"/>
      <c r="C40" s="366"/>
      <c r="D40" s="366"/>
      <c r="E40" s="366"/>
      <c r="F40" s="366"/>
      <c r="G40" s="366"/>
      <c r="H40" s="366"/>
      <c r="I40" s="366"/>
      <c r="J40" s="366"/>
      <c r="K40" s="366"/>
      <c r="L40" s="366"/>
      <c r="M40" s="366"/>
      <c r="N40" s="366"/>
      <c r="O40" s="366"/>
      <c r="P40" s="366"/>
      <c r="Q40" s="366"/>
      <c r="R40" s="366"/>
      <c r="S40" s="366"/>
      <c r="T40" s="366"/>
      <c r="U40" s="366"/>
      <c r="V40" s="366"/>
      <c r="W40" s="366"/>
      <c r="X40" s="366"/>
      <c r="Y40" s="366"/>
      <c r="Z40" s="366"/>
      <c r="AA40" s="366"/>
      <c r="AB40" s="366"/>
      <c r="AC40" s="366"/>
      <c r="AD40" s="366"/>
      <c r="AE40" s="366"/>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7"/>
      <c r="BI40" s="41"/>
    </row>
    <row r="41" spans="1:70" ht="7.4" customHeight="1" x14ac:dyDescent="0.5">
      <c r="A41" s="42"/>
      <c r="B41" s="368"/>
      <c r="C41" s="369"/>
      <c r="D41" s="369"/>
      <c r="E41" s="369"/>
      <c r="F41" s="369"/>
      <c r="G41" s="369"/>
      <c r="H41" s="369"/>
      <c r="I41" s="369"/>
      <c r="J41" s="369"/>
      <c r="K41" s="369"/>
      <c r="L41" s="369"/>
      <c r="M41" s="369"/>
      <c r="N41" s="369"/>
      <c r="O41" s="369"/>
      <c r="P41" s="369"/>
      <c r="Q41" s="369"/>
      <c r="R41" s="369"/>
      <c r="S41" s="369"/>
      <c r="T41" s="369"/>
      <c r="U41" s="369"/>
      <c r="V41" s="369"/>
      <c r="W41" s="369"/>
      <c r="X41" s="369"/>
      <c r="Y41" s="369"/>
      <c r="Z41" s="369"/>
      <c r="AA41" s="369"/>
      <c r="AB41" s="369"/>
      <c r="AC41" s="369"/>
      <c r="AD41" s="369"/>
      <c r="AE41" s="369"/>
      <c r="AF41" s="369"/>
      <c r="AG41" s="369"/>
      <c r="AH41" s="369"/>
      <c r="AI41" s="369"/>
      <c r="AJ41" s="369"/>
      <c r="AK41" s="369"/>
      <c r="AL41" s="369"/>
      <c r="AM41" s="369"/>
      <c r="AN41" s="369"/>
      <c r="AO41" s="369"/>
      <c r="AP41" s="369"/>
      <c r="AQ41" s="369"/>
      <c r="AR41" s="369"/>
      <c r="AS41" s="369"/>
      <c r="AT41" s="369"/>
      <c r="AU41" s="369"/>
      <c r="AV41" s="369"/>
      <c r="AW41" s="369"/>
      <c r="AX41" s="369"/>
      <c r="AY41" s="369"/>
      <c r="AZ41" s="369"/>
      <c r="BA41" s="369"/>
      <c r="BB41" s="369"/>
      <c r="BC41" s="369"/>
      <c r="BD41" s="369"/>
      <c r="BE41" s="369"/>
      <c r="BF41" s="369"/>
      <c r="BG41" s="369"/>
      <c r="BH41" s="370"/>
      <c r="BI41" s="41"/>
    </row>
    <row r="42" spans="1:70" ht="7.4" customHeight="1" x14ac:dyDescent="0.5">
      <c r="A42" s="42"/>
      <c r="B42" s="58"/>
      <c r="C42" s="59"/>
      <c r="D42" s="59"/>
      <c r="E42" s="59"/>
      <c r="F42" s="59"/>
      <c r="G42" s="59"/>
      <c r="H42" s="60"/>
      <c r="I42" s="38"/>
      <c r="J42" s="39"/>
      <c r="K42" s="39"/>
      <c r="L42" s="39"/>
      <c r="M42" s="39"/>
      <c r="N42" s="39"/>
      <c r="O42" s="39"/>
      <c r="P42" s="58"/>
      <c r="Q42" s="59"/>
      <c r="R42" s="59"/>
      <c r="S42" s="148"/>
      <c r="T42" s="148"/>
      <c r="U42" s="149"/>
      <c r="V42" s="39"/>
      <c r="W42" s="89"/>
      <c r="X42" s="89"/>
      <c r="Y42" s="89"/>
      <c r="Z42" s="89"/>
      <c r="AA42" s="39"/>
      <c r="AB42" s="39"/>
      <c r="AC42" s="89"/>
      <c r="AD42" s="89"/>
      <c r="AE42" s="89"/>
      <c r="AF42" s="89"/>
      <c r="AG42" s="89"/>
      <c r="AH42" s="39"/>
      <c r="AI42" s="77"/>
      <c r="AJ42" s="77"/>
      <c r="AK42" s="77"/>
      <c r="AL42" s="77"/>
      <c r="AM42" s="77"/>
      <c r="AN42" s="77"/>
      <c r="AO42" s="77"/>
      <c r="AP42" s="77"/>
      <c r="AQ42" s="39"/>
      <c r="AR42" s="39"/>
      <c r="AS42" s="77"/>
      <c r="AT42" s="77"/>
      <c r="AU42" s="58"/>
      <c r="AV42" s="59"/>
      <c r="AW42" s="59"/>
      <c r="AX42" s="148"/>
      <c r="AY42" s="148"/>
      <c r="AZ42" s="148"/>
      <c r="BA42" s="150"/>
      <c r="BB42" s="39"/>
      <c r="BC42" s="39"/>
      <c r="BD42" s="39"/>
      <c r="BE42" s="77"/>
      <c r="BF42" s="77"/>
      <c r="BG42" s="77"/>
      <c r="BH42" s="138"/>
      <c r="BI42" s="41"/>
    </row>
    <row r="43" spans="1:70" ht="7.4" customHeight="1" x14ac:dyDescent="0.5">
      <c r="A43" s="42"/>
      <c r="B43" s="61"/>
      <c r="C43" s="344" t="s">
        <v>74</v>
      </c>
      <c r="D43" s="344"/>
      <c r="E43" s="344"/>
      <c r="F43" s="344"/>
      <c r="G43" s="344"/>
      <c r="H43" s="63"/>
      <c r="I43" s="42"/>
      <c r="J43" s="311">
        <f>M54*M58+P54*P58+S54*S58+V54*V58+Y54*Y58+AB54*AB58+AE54*AE58+AH54*AH58+AK54*AK58+AN54*AN58+AQ54*AQ58+AT54*AT58+AW54*AW58+AZ54*AZ58+BC54*BC58+BF54*BF58</f>
        <v>250</v>
      </c>
      <c r="K43" s="311"/>
      <c r="L43" s="311"/>
      <c r="M43" s="311"/>
      <c r="N43" s="311"/>
      <c r="P43" s="61"/>
      <c r="Q43" s="344" t="s">
        <v>75</v>
      </c>
      <c r="R43" s="344"/>
      <c r="S43" s="344"/>
      <c r="T43" s="344"/>
      <c r="U43" s="151"/>
      <c r="W43" s="453" t="s">
        <v>134</v>
      </c>
      <c r="X43" s="453"/>
      <c r="Y43" s="453"/>
      <c r="Z43" s="453"/>
      <c r="AA43" s="453"/>
      <c r="AB43" s="453"/>
      <c r="AC43" s="453"/>
      <c r="AD43" s="453"/>
      <c r="AE43" s="453"/>
      <c r="AF43" s="453"/>
      <c r="AG43" s="453"/>
      <c r="AH43" s="453"/>
      <c r="AI43" s="453"/>
      <c r="AJ43" s="453"/>
      <c r="AK43" s="453"/>
      <c r="AL43" s="453"/>
      <c r="AM43" s="453"/>
      <c r="AN43" s="453"/>
      <c r="AO43" s="453"/>
      <c r="AP43" s="453"/>
      <c r="AQ43" s="453"/>
      <c r="AR43" s="453"/>
      <c r="AS43" s="453"/>
      <c r="AT43" s="79"/>
      <c r="AU43" s="61"/>
      <c r="AV43" s="400" t="s">
        <v>77</v>
      </c>
      <c r="AW43" s="400"/>
      <c r="AX43" s="400"/>
      <c r="AY43" s="400"/>
      <c r="AZ43" s="400"/>
      <c r="BA43" s="152"/>
      <c r="BC43" s="471">
        <v>600</v>
      </c>
      <c r="BD43" s="471"/>
      <c r="BE43" s="471"/>
      <c r="BF43" s="471"/>
      <c r="BG43" s="471"/>
      <c r="BH43" s="124"/>
      <c r="BI43" s="41"/>
    </row>
    <row r="44" spans="1:70" ht="7.4" customHeight="1" x14ac:dyDescent="0.5">
      <c r="A44" s="42"/>
      <c r="B44" s="61"/>
      <c r="C44" s="344"/>
      <c r="D44" s="344"/>
      <c r="E44" s="344"/>
      <c r="F44" s="344"/>
      <c r="G44" s="344"/>
      <c r="H44" s="63"/>
      <c r="I44" s="42"/>
      <c r="J44" s="311"/>
      <c r="K44" s="311"/>
      <c r="L44" s="311"/>
      <c r="M44" s="311"/>
      <c r="N44" s="311"/>
      <c r="P44" s="61"/>
      <c r="Q44" s="344"/>
      <c r="R44" s="344"/>
      <c r="S44" s="344"/>
      <c r="T44" s="344"/>
      <c r="U44" s="151"/>
      <c r="W44" s="453"/>
      <c r="X44" s="453"/>
      <c r="Y44" s="453"/>
      <c r="Z44" s="453"/>
      <c r="AA44" s="453"/>
      <c r="AB44" s="453"/>
      <c r="AC44" s="453"/>
      <c r="AD44" s="453"/>
      <c r="AE44" s="453"/>
      <c r="AF44" s="453"/>
      <c r="AG44" s="453"/>
      <c r="AH44" s="453"/>
      <c r="AI44" s="453"/>
      <c r="AJ44" s="453"/>
      <c r="AK44" s="453"/>
      <c r="AL44" s="453"/>
      <c r="AM44" s="453"/>
      <c r="AN44" s="453"/>
      <c r="AO44" s="453"/>
      <c r="AP44" s="453"/>
      <c r="AQ44" s="453"/>
      <c r="AR44" s="453"/>
      <c r="AS44" s="453"/>
      <c r="AT44" s="79"/>
      <c r="AU44" s="61"/>
      <c r="AV44" s="400"/>
      <c r="AW44" s="400"/>
      <c r="AX44" s="400"/>
      <c r="AY44" s="400"/>
      <c r="AZ44" s="400"/>
      <c r="BA44" s="152"/>
      <c r="BC44" s="471"/>
      <c r="BD44" s="471"/>
      <c r="BE44" s="471"/>
      <c r="BF44" s="471"/>
      <c r="BG44" s="471"/>
      <c r="BH44" s="124"/>
      <c r="BI44" s="41"/>
    </row>
    <row r="45" spans="1:70" ht="7.4" customHeight="1" x14ac:dyDescent="0.5">
      <c r="A45" s="42"/>
      <c r="B45" s="61"/>
      <c r="C45" s="344"/>
      <c r="D45" s="344"/>
      <c r="E45" s="344"/>
      <c r="F45" s="344"/>
      <c r="G45" s="344"/>
      <c r="H45" s="63"/>
      <c r="I45" s="42"/>
      <c r="J45" s="311"/>
      <c r="K45" s="311"/>
      <c r="L45" s="311"/>
      <c r="M45" s="311"/>
      <c r="N45" s="311"/>
      <c r="P45" s="61"/>
      <c r="Q45" s="344"/>
      <c r="R45" s="344"/>
      <c r="S45" s="344"/>
      <c r="T45" s="344"/>
      <c r="U45" s="151"/>
      <c r="W45" s="472">
        <v>2278</v>
      </c>
      <c r="X45" s="472"/>
      <c r="Y45" s="472"/>
      <c r="Z45" s="472"/>
      <c r="AA45" s="153" t="s">
        <v>78</v>
      </c>
      <c r="AB45" s="153"/>
      <c r="AC45" s="154"/>
      <c r="AD45" s="154"/>
      <c r="AE45" s="472">
        <v>1134</v>
      </c>
      <c r="AF45" s="472"/>
      <c r="AG45" s="472"/>
      <c r="AH45" s="472"/>
      <c r="AI45" s="155" t="s">
        <v>79</v>
      </c>
      <c r="AJ45" s="155"/>
      <c r="AK45" s="155"/>
      <c r="AL45" s="155"/>
      <c r="AM45" s="472">
        <v>30</v>
      </c>
      <c r="AN45" s="472"/>
      <c r="AO45" s="472"/>
      <c r="AP45" s="472"/>
      <c r="AQ45" s="153" t="s">
        <v>80</v>
      </c>
      <c r="AR45" s="153"/>
      <c r="AS45" s="155"/>
      <c r="AT45" s="79"/>
      <c r="AU45" s="61"/>
      <c r="AV45" s="400"/>
      <c r="AW45" s="400"/>
      <c r="AX45" s="400"/>
      <c r="AY45" s="400"/>
      <c r="AZ45" s="400"/>
      <c r="BA45" s="152"/>
      <c r="BC45" s="471"/>
      <c r="BD45" s="471"/>
      <c r="BE45" s="471"/>
      <c r="BF45" s="471"/>
      <c r="BG45" s="471"/>
      <c r="BH45" s="124"/>
      <c r="BI45" s="41"/>
    </row>
    <row r="46" spans="1:70" ht="7.4" customHeight="1" x14ac:dyDescent="0.5">
      <c r="A46" s="42"/>
      <c r="B46" s="64"/>
      <c r="C46" s="65"/>
      <c r="D46" s="65"/>
      <c r="E46" s="65"/>
      <c r="F46" s="65"/>
      <c r="G46" s="65"/>
      <c r="H46" s="66"/>
      <c r="I46" s="50"/>
      <c r="J46" s="51"/>
      <c r="K46" s="51"/>
      <c r="L46" s="51"/>
      <c r="M46" s="51"/>
      <c r="N46" s="51"/>
      <c r="O46" s="51"/>
      <c r="P46" s="64"/>
      <c r="Q46" s="65"/>
      <c r="R46" s="65"/>
      <c r="S46" s="96"/>
      <c r="T46" s="96"/>
      <c r="U46" s="156"/>
      <c r="V46" s="51"/>
      <c r="W46" s="97"/>
      <c r="X46" s="97"/>
      <c r="Y46" s="97"/>
      <c r="Z46" s="97"/>
      <c r="AA46" s="51"/>
      <c r="AB46" s="51"/>
      <c r="AC46" s="97"/>
      <c r="AD46" s="97"/>
      <c r="AE46" s="97"/>
      <c r="AF46" s="97"/>
      <c r="AG46" s="97"/>
      <c r="AH46" s="51"/>
      <c r="AI46" s="135"/>
      <c r="AJ46" s="135"/>
      <c r="AK46" s="135"/>
      <c r="AL46" s="135"/>
      <c r="AM46" s="135"/>
      <c r="AN46" s="135"/>
      <c r="AO46" s="135"/>
      <c r="AP46" s="135"/>
      <c r="AQ46" s="51"/>
      <c r="AR46" s="51"/>
      <c r="AS46" s="135"/>
      <c r="AT46" s="135"/>
      <c r="AU46" s="64"/>
      <c r="AV46" s="65"/>
      <c r="AW46" s="65"/>
      <c r="AX46" s="96"/>
      <c r="AY46" s="96"/>
      <c r="AZ46" s="96"/>
      <c r="BA46" s="157"/>
      <c r="BB46" s="51"/>
      <c r="BC46" s="51"/>
      <c r="BD46" s="51"/>
      <c r="BE46" s="135"/>
      <c r="BF46" s="135"/>
      <c r="BG46" s="135"/>
      <c r="BH46" s="158"/>
      <c r="BI46" s="41"/>
    </row>
    <row r="47" spans="1:70" ht="7.4" customHeight="1" x14ac:dyDescent="0.5">
      <c r="A47" s="42"/>
      <c r="X47" s="25"/>
      <c r="Y47" s="25"/>
      <c r="Z47" s="25"/>
      <c r="AA47" s="25"/>
      <c r="AB47" s="25"/>
      <c r="AC47" s="25"/>
      <c r="AD47" s="25"/>
      <c r="AE47" s="25"/>
      <c r="AF47" s="25"/>
      <c r="AG47" s="25"/>
      <c r="AI47" s="79"/>
      <c r="AJ47" s="79"/>
      <c r="AK47" s="79"/>
      <c r="AL47" s="79"/>
      <c r="AM47" s="79"/>
      <c r="AN47" s="79"/>
      <c r="AO47" s="79"/>
      <c r="AP47" s="79"/>
      <c r="AS47" s="79"/>
      <c r="AT47" s="79"/>
      <c r="AU47" s="79"/>
      <c r="AV47" s="79"/>
      <c r="AW47" s="79"/>
      <c r="AX47" s="79"/>
      <c r="AY47" s="79"/>
      <c r="AZ47" s="79"/>
      <c r="BA47" s="79"/>
      <c r="BB47" s="79"/>
      <c r="BC47" s="79"/>
      <c r="BD47" s="79"/>
      <c r="BE47" s="79"/>
      <c r="BF47" s="79"/>
      <c r="BG47" s="79"/>
      <c r="BH47" s="79"/>
      <c r="BI47" s="41"/>
    </row>
    <row r="48" spans="1:70" ht="7.4" customHeight="1" x14ac:dyDescent="0.5">
      <c r="A48" s="42"/>
      <c r="B48" s="243"/>
      <c r="C48" s="363" t="s">
        <v>81</v>
      </c>
      <c r="D48" s="363"/>
      <c r="E48" s="363"/>
      <c r="F48" s="363"/>
      <c r="G48" s="363"/>
      <c r="H48" s="363"/>
      <c r="I48" s="363"/>
      <c r="J48" s="363"/>
      <c r="K48" s="363"/>
      <c r="L48" s="363"/>
      <c r="M48" s="363"/>
      <c r="N48" s="363"/>
      <c r="O48" s="363"/>
      <c r="P48" s="363"/>
      <c r="Q48" s="363"/>
      <c r="R48" s="363"/>
      <c r="S48" s="363"/>
      <c r="T48" s="363"/>
      <c r="U48" s="363"/>
      <c r="V48" s="363"/>
      <c r="W48" s="363"/>
      <c r="X48" s="363"/>
      <c r="Y48" s="363"/>
      <c r="Z48" s="363"/>
      <c r="AA48" s="363"/>
      <c r="AB48" s="363"/>
      <c r="AC48" s="363"/>
      <c r="AD48" s="363"/>
      <c r="AE48" s="363"/>
      <c r="AF48" s="363"/>
      <c r="AG48" s="363"/>
      <c r="AH48" s="363"/>
      <c r="AI48" s="363"/>
      <c r="AJ48" s="363"/>
      <c r="AK48" s="363"/>
      <c r="AL48" s="363"/>
      <c r="AM48" s="363"/>
      <c r="AN48" s="363"/>
      <c r="AO48" s="363"/>
      <c r="AP48" s="363"/>
      <c r="AQ48" s="363"/>
      <c r="AR48" s="363"/>
      <c r="AS48" s="363"/>
      <c r="AT48" s="363"/>
      <c r="AU48" s="363"/>
      <c r="AV48" s="363"/>
      <c r="AW48" s="363"/>
      <c r="AX48" s="363"/>
      <c r="AY48" s="363"/>
      <c r="AZ48" s="363"/>
      <c r="BA48" s="363"/>
      <c r="BB48" s="363"/>
      <c r="BC48" s="363"/>
      <c r="BD48" s="363"/>
      <c r="BE48" s="363"/>
      <c r="BF48" s="363"/>
      <c r="BG48" s="363"/>
      <c r="BH48" s="242"/>
      <c r="BI48" s="41"/>
    </row>
    <row r="49" spans="1:69" ht="7.4" customHeight="1" x14ac:dyDescent="0.5">
      <c r="A49" s="42"/>
      <c r="B49" s="241"/>
      <c r="C49" s="366"/>
      <c r="D49" s="366"/>
      <c r="E49" s="366"/>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240"/>
      <c r="BI49" s="41"/>
    </row>
    <row r="50" spans="1:69" ht="7.4" customHeight="1" x14ac:dyDescent="0.5">
      <c r="A50" s="42"/>
      <c r="B50" s="239"/>
      <c r="C50" s="369"/>
      <c r="D50" s="369"/>
      <c r="E50" s="369"/>
      <c r="F50" s="369"/>
      <c r="G50" s="369"/>
      <c r="H50" s="369"/>
      <c r="I50" s="369"/>
      <c r="J50" s="369"/>
      <c r="K50" s="369"/>
      <c r="L50" s="369"/>
      <c r="M50" s="369"/>
      <c r="N50" s="369"/>
      <c r="O50" s="369"/>
      <c r="P50" s="369"/>
      <c r="Q50" s="369"/>
      <c r="R50" s="369"/>
      <c r="S50" s="369"/>
      <c r="T50" s="369"/>
      <c r="U50" s="369"/>
      <c r="V50" s="369"/>
      <c r="W50" s="369"/>
      <c r="X50" s="369"/>
      <c r="Y50" s="369"/>
      <c r="Z50" s="369"/>
      <c r="AA50" s="369"/>
      <c r="AB50" s="369"/>
      <c r="AC50" s="369"/>
      <c r="AD50" s="369"/>
      <c r="AE50" s="369"/>
      <c r="AF50" s="369"/>
      <c r="AG50" s="369"/>
      <c r="AH50" s="369"/>
      <c r="AI50" s="369"/>
      <c r="AJ50" s="369"/>
      <c r="AK50" s="369"/>
      <c r="AL50" s="369"/>
      <c r="AM50" s="369"/>
      <c r="AN50" s="369"/>
      <c r="AO50" s="369"/>
      <c r="AP50" s="369"/>
      <c r="AQ50" s="369"/>
      <c r="AR50" s="369"/>
      <c r="AS50" s="369"/>
      <c r="AT50" s="369"/>
      <c r="AU50" s="369"/>
      <c r="AV50" s="369"/>
      <c r="AW50" s="369"/>
      <c r="AX50" s="369"/>
      <c r="AY50" s="369"/>
      <c r="AZ50" s="369"/>
      <c r="BA50" s="369"/>
      <c r="BB50" s="369"/>
      <c r="BC50" s="369"/>
      <c r="BD50" s="369"/>
      <c r="BE50" s="369"/>
      <c r="BF50" s="369"/>
      <c r="BG50" s="369"/>
      <c r="BH50" s="238"/>
      <c r="BI50" s="41"/>
    </row>
    <row r="51" spans="1:69" ht="7.4" customHeight="1" x14ac:dyDescent="0.5">
      <c r="A51" s="42"/>
      <c r="B51" s="61"/>
      <c r="C51" s="159"/>
      <c r="D51" s="159"/>
      <c r="E51" s="159"/>
      <c r="F51" s="159"/>
      <c r="G51" s="159"/>
      <c r="H51" s="159"/>
      <c r="I51" s="159"/>
      <c r="J51" s="159"/>
      <c r="K51" s="159"/>
      <c r="L51" s="151"/>
      <c r="M51" s="473">
        <v>1</v>
      </c>
      <c r="N51" s="474"/>
      <c r="O51" s="475"/>
      <c r="P51" s="473">
        <v>2</v>
      </c>
      <c r="Q51" s="474"/>
      <c r="R51" s="475"/>
      <c r="S51" s="473">
        <v>3</v>
      </c>
      <c r="T51" s="474"/>
      <c r="U51" s="475"/>
      <c r="V51" s="473">
        <v>4</v>
      </c>
      <c r="W51" s="474"/>
      <c r="X51" s="475"/>
      <c r="Y51" s="473">
        <v>5</v>
      </c>
      <c r="Z51" s="474"/>
      <c r="AA51" s="475"/>
      <c r="AB51" s="473">
        <v>6</v>
      </c>
      <c r="AC51" s="474"/>
      <c r="AD51" s="475"/>
      <c r="AE51" s="473">
        <v>7</v>
      </c>
      <c r="AF51" s="474"/>
      <c r="AG51" s="475"/>
      <c r="AH51" s="473">
        <v>8</v>
      </c>
      <c r="AI51" s="474"/>
      <c r="AJ51" s="475"/>
      <c r="AK51" s="473">
        <v>9</v>
      </c>
      <c r="AL51" s="474"/>
      <c r="AM51" s="475"/>
      <c r="AN51" s="473">
        <v>10</v>
      </c>
      <c r="AO51" s="474"/>
      <c r="AP51" s="475"/>
      <c r="AQ51" s="473">
        <v>11</v>
      </c>
      <c r="AR51" s="474"/>
      <c r="AS51" s="475"/>
      <c r="AT51" s="473">
        <v>12</v>
      </c>
      <c r="AU51" s="474"/>
      <c r="AV51" s="475"/>
      <c r="AW51" s="473">
        <v>13</v>
      </c>
      <c r="AX51" s="474"/>
      <c r="AY51" s="475"/>
      <c r="AZ51" s="473">
        <v>14</v>
      </c>
      <c r="BA51" s="474"/>
      <c r="BB51" s="475"/>
      <c r="BC51" s="473">
        <v>15</v>
      </c>
      <c r="BD51" s="474"/>
      <c r="BE51" s="475"/>
      <c r="BF51" s="473">
        <v>16</v>
      </c>
      <c r="BG51" s="474"/>
      <c r="BH51" s="475"/>
      <c r="BI51" s="41"/>
    </row>
    <row r="52" spans="1:69" ht="7.4" customHeight="1" x14ac:dyDescent="0.5">
      <c r="A52" s="42"/>
      <c r="B52" s="61"/>
      <c r="C52" s="159"/>
      <c r="D52" s="159"/>
      <c r="E52" s="159"/>
      <c r="F52" s="159"/>
      <c r="G52" s="159"/>
      <c r="H52" s="159"/>
      <c r="I52" s="159"/>
      <c r="J52" s="159"/>
      <c r="K52" s="159"/>
      <c r="L52" s="151"/>
      <c r="M52" s="473"/>
      <c r="N52" s="474"/>
      <c r="O52" s="475"/>
      <c r="P52" s="473"/>
      <c r="Q52" s="474"/>
      <c r="R52" s="475"/>
      <c r="S52" s="473"/>
      <c r="T52" s="474"/>
      <c r="U52" s="475"/>
      <c r="V52" s="473"/>
      <c r="W52" s="474"/>
      <c r="X52" s="475"/>
      <c r="Y52" s="473"/>
      <c r="Z52" s="474"/>
      <c r="AA52" s="475"/>
      <c r="AB52" s="473"/>
      <c r="AC52" s="474"/>
      <c r="AD52" s="475"/>
      <c r="AE52" s="473"/>
      <c r="AF52" s="474"/>
      <c r="AG52" s="475"/>
      <c r="AH52" s="473"/>
      <c r="AI52" s="474"/>
      <c r="AJ52" s="475"/>
      <c r="AK52" s="473"/>
      <c r="AL52" s="474"/>
      <c r="AM52" s="475"/>
      <c r="AN52" s="473"/>
      <c r="AO52" s="474"/>
      <c r="AP52" s="475"/>
      <c r="AQ52" s="473"/>
      <c r="AR52" s="474"/>
      <c r="AS52" s="475"/>
      <c r="AT52" s="473"/>
      <c r="AU52" s="474"/>
      <c r="AV52" s="475"/>
      <c r="AW52" s="473"/>
      <c r="AX52" s="474"/>
      <c r="AY52" s="475"/>
      <c r="AZ52" s="473"/>
      <c r="BA52" s="474"/>
      <c r="BB52" s="475"/>
      <c r="BC52" s="473"/>
      <c r="BD52" s="474"/>
      <c r="BE52" s="475"/>
      <c r="BF52" s="473"/>
      <c r="BG52" s="474"/>
      <c r="BH52" s="475"/>
      <c r="BI52" s="41"/>
    </row>
    <row r="53" spans="1:69" ht="7.4" customHeight="1" x14ac:dyDescent="0.5">
      <c r="A53" s="42"/>
      <c r="B53" s="61"/>
      <c r="C53" s="159"/>
      <c r="D53" s="159"/>
      <c r="E53" s="159"/>
      <c r="F53" s="159"/>
      <c r="G53" s="62"/>
      <c r="H53" s="160"/>
      <c r="I53" s="160"/>
      <c r="J53" s="160"/>
      <c r="K53" s="160"/>
      <c r="L53" s="152"/>
      <c r="M53" s="81"/>
      <c r="N53" s="77"/>
      <c r="O53" s="40"/>
      <c r="P53" s="81"/>
      <c r="Q53" s="77"/>
      <c r="R53" s="40"/>
      <c r="S53" s="81"/>
      <c r="T53" s="77"/>
      <c r="U53" s="40"/>
      <c r="V53" s="81"/>
      <c r="W53" s="77"/>
      <c r="X53" s="40"/>
      <c r="Y53" s="81"/>
      <c r="Z53" s="77"/>
      <c r="AA53" s="40"/>
      <c r="AB53" s="81"/>
      <c r="AC53" s="77"/>
      <c r="AD53" s="40"/>
      <c r="AE53" s="81"/>
      <c r="AF53" s="77"/>
      <c r="AG53" s="40"/>
      <c r="AH53" s="81"/>
      <c r="AI53" s="77"/>
      <c r="AJ53" s="40"/>
      <c r="AK53" s="81"/>
      <c r="AL53" s="77"/>
      <c r="AM53" s="40"/>
      <c r="AN53" s="81"/>
      <c r="AO53" s="77"/>
      <c r="AP53" s="40"/>
      <c r="AQ53" s="81"/>
      <c r="AR53" s="77"/>
      <c r="AS53" s="40"/>
      <c r="AT53" s="81"/>
      <c r="AU53" s="77"/>
      <c r="AV53" s="40"/>
      <c r="AW53" s="81"/>
      <c r="AX53" s="77"/>
      <c r="AY53" s="40"/>
      <c r="AZ53" s="81"/>
      <c r="BA53" s="77"/>
      <c r="BB53" s="40"/>
      <c r="BC53" s="81"/>
      <c r="BD53" s="77"/>
      <c r="BE53" s="40"/>
      <c r="BF53" s="81"/>
      <c r="BG53" s="77"/>
      <c r="BH53" s="40"/>
      <c r="BI53" s="41"/>
    </row>
    <row r="54" spans="1:69" ht="7.4" customHeight="1" x14ac:dyDescent="0.5">
      <c r="A54" s="42"/>
      <c r="B54" s="61"/>
      <c r="C54" s="400" t="s">
        <v>135</v>
      </c>
      <c r="D54" s="400"/>
      <c r="E54" s="400"/>
      <c r="F54" s="400"/>
      <c r="G54" s="400"/>
      <c r="H54" s="400"/>
      <c r="I54" s="400"/>
      <c r="J54" s="400"/>
      <c r="K54" s="400"/>
      <c r="L54" s="448"/>
      <c r="M54" s="349">
        <v>10</v>
      </c>
      <c r="N54" s="318"/>
      <c r="O54" s="350"/>
      <c r="P54" s="349">
        <v>0</v>
      </c>
      <c r="Q54" s="318"/>
      <c r="R54" s="350"/>
      <c r="S54" s="349">
        <v>0</v>
      </c>
      <c r="T54" s="318"/>
      <c r="U54" s="350"/>
      <c r="V54" s="349">
        <v>0</v>
      </c>
      <c r="W54" s="318"/>
      <c r="X54" s="350"/>
      <c r="Y54" s="349">
        <v>0</v>
      </c>
      <c r="Z54" s="318"/>
      <c r="AA54" s="350"/>
      <c r="AB54" s="349">
        <v>0</v>
      </c>
      <c r="AC54" s="318"/>
      <c r="AD54" s="350"/>
      <c r="AE54" s="349">
        <v>0</v>
      </c>
      <c r="AF54" s="318"/>
      <c r="AG54" s="350"/>
      <c r="AH54" s="349">
        <v>0</v>
      </c>
      <c r="AI54" s="318"/>
      <c r="AJ54" s="350"/>
      <c r="AK54" s="349">
        <v>0</v>
      </c>
      <c r="AL54" s="318"/>
      <c r="AM54" s="350"/>
      <c r="AN54" s="349">
        <v>0</v>
      </c>
      <c r="AO54" s="318"/>
      <c r="AP54" s="350"/>
      <c r="AQ54" s="349">
        <v>0</v>
      </c>
      <c r="AR54" s="318"/>
      <c r="AS54" s="350"/>
      <c r="AT54" s="349">
        <v>0</v>
      </c>
      <c r="AU54" s="318"/>
      <c r="AV54" s="350"/>
      <c r="AW54" s="349">
        <v>0</v>
      </c>
      <c r="AX54" s="318"/>
      <c r="AY54" s="350"/>
      <c r="AZ54" s="349">
        <v>0</v>
      </c>
      <c r="BA54" s="318"/>
      <c r="BB54" s="350"/>
      <c r="BC54" s="349">
        <v>0</v>
      </c>
      <c r="BD54" s="318"/>
      <c r="BE54" s="350"/>
      <c r="BF54" s="349">
        <v>0</v>
      </c>
      <c r="BG54" s="318"/>
      <c r="BH54" s="350"/>
      <c r="BI54" s="41"/>
    </row>
    <row r="55" spans="1:69" ht="7.4" customHeight="1" x14ac:dyDescent="0.5">
      <c r="A55" s="42"/>
      <c r="B55" s="61"/>
      <c r="C55" s="400"/>
      <c r="D55" s="400"/>
      <c r="E55" s="400"/>
      <c r="F55" s="400"/>
      <c r="G55" s="400"/>
      <c r="H55" s="400"/>
      <c r="I55" s="400"/>
      <c r="J55" s="400"/>
      <c r="K55" s="400"/>
      <c r="L55" s="448"/>
      <c r="M55" s="349"/>
      <c r="N55" s="318"/>
      <c r="O55" s="350"/>
      <c r="P55" s="349"/>
      <c r="Q55" s="318"/>
      <c r="R55" s="350"/>
      <c r="S55" s="349"/>
      <c r="T55" s="318"/>
      <c r="U55" s="350"/>
      <c r="V55" s="349"/>
      <c r="W55" s="318"/>
      <c r="X55" s="350"/>
      <c r="Y55" s="349"/>
      <c r="Z55" s="318"/>
      <c r="AA55" s="350"/>
      <c r="AB55" s="349"/>
      <c r="AC55" s="318"/>
      <c r="AD55" s="350"/>
      <c r="AE55" s="349"/>
      <c r="AF55" s="318"/>
      <c r="AG55" s="350"/>
      <c r="AH55" s="349"/>
      <c r="AI55" s="318"/>
      <c r="AJ55" s="350"/>
      <c r="AK55" s="349"/>
      <c r="AL55" s="318"/>
      <c r="AM55" s="350"/>
      <c r="AN55" s="349"/>
      <c r="AO55" s="318"/>
      <c r="AP55" s="350"/>
      <c r="AQ55" s="349"/>
      <c r="AR55" s="318"/>
      <c r="AS55" s="350"/>
      <c r="AT55" s="349"/>
      <c r="AU55" s="318"/>
      <c r="AV55" s="350"/>
      <c r="AW55" s="349"/>
      <c r="AX55" s="318"/>
      <c r="AY55" s="350"/>
      <c r="AZ55" s="349"/>
      <c r="BA55" s="318"/>
      <c r="BB55" s="350"/>
      <c r="BC55" s="349"/>
      <c r="BD55" s="318"/>
      <c r="BE55" s="350"/>
      <c r="BF55" s="349"/>
      <c r="BG55" s="318"/>
      <c r="BH55" s="350"/>
      <c r="BI55" s="41"/>
    </row>
    <row r="56" spans="1:69" ht="7.4" customHeight="1" x14ac:dyDescent="0.5">
      <c r="A56" s="42"/>
      <c r="B56" s="61"/>
      <c r="C56" s="159"/>
      <c r="D56" s="159"/>
      <c r="E56" s="159"/>
      <c r="F56" s="159"/>
      <c r="G56" s="62"/>
      <c r="H56" s="160"/>
      <c r="I56" s="160"/>
      <c r="J56" s="160"/>
      <c r="K56" s="160"/>
      <c r="L56" s="152"/>
      <c r="M56" s="161"/>
      <c r="N56" s="162"/>
      <c r="O56" s="163"/>
      <c r="P56" s="161"/>
      <c r="Q56" s="162"/>
      <c r="R56" s="163"/>
      <c r="S56" s="161"/>
      <c r="T56" s="162"/>
      <c r="U56" s="163"/>
      <c r="V56" s="161"/>
      <c r="W56" s="162"/>
      <c r="X56" s="163"/>
      <c r="Y56" s="161"/>
      <c r="Z56" s="162"/>
      <c r="AA56" s="163"/>
      <c r="AB56" s="164"/>
      <c r="AC56" s="165"/>
      <c r="AD56" s="166"/>
      <c r="AE56" s="164"/>
      <c r="AF56" s="165"/>
      <c r="AG56" s="166"/>
      <c r="AH56" s="164"/>
      <c r="AI56" s="165"/>
      <c r="AJ56" s="166"/>
      <c r="AK56" s="164"/>
      <c r="AL56" s="165"/>
      <c r="AM56" s="166"/>
      <c r="AN56" s="164"/>
      <c r="AO56" s="165"/>
      <c r="AP56" s="166"/>
      <c r="AQ56" s="164"/>
      <c r="AR56" s="165"/>
      <c r="AS56" s="166"/>
      <c r="AT56" s="164"/>
      <c r="AU56" s="165"/>
      <c r="AV56" s="166"/>
      <c r="AW56" s="164"/>
      <c r="AX56" s="165"/>
      <c r="AY56" s="166"/>
      <c r="AZ56" s="164"/>
      <c r="BA56" s="165"/>
      <c r="BB56" s="166"/>
      <c r="BC56" s="164"/>
      <c r="BD56" s="165"/>
      <c r="BE56" s="166"/>
      <c r="BF56" s="164"/>
      <c r="BG56" s="165"/>
      <c r="BH56" s="166"/>
      <c r="BI56" s="41"/>
    </row>
    <row r="57" spans="1:69" ht="7.4" customHeight="1" x14ac:dyDescent="0.5">
      <c r="A57" s="42"/>
      <c r="B57" s="61"/>
      <c r="C57" s="159"/>
      <c r="D57" s="159"/>
      <c r="E57" s="159"/>
      <c r="F57" s="159"/>
      <c r="G57" s="62"/>
      <c r="H57" s="160"/>
      <c r="I57" s="160"/>
      <c r="J57" s="160"/>
      <c r="K57" s="160"/>
      <c r="L57" s="152"/>
      <c r="M57" s="167"/>
      <c r="N57" s="168"/>
      <c r="O57" s="169"/>
      <c r="P57" s="167"/>
      <c r="Q57" s="168"/>
      <c r="R57" s="169"/>
      <c r="S57" s="167"/>
      <c r="T57" s="168"/>
      <c r="U57" s="169"/>
      <c r="V57" s="167"/>
      <c r="W57" s="168"/>
      <c r="X57" s="169"/>
      <c r="Y57" s="167"/>
      <c r="Z57" s="168"/>
      <c r="AA57" s="169"/>
      <c r="AB57" s="170"/>
      <c r="AC57" s="171"/>
      <c r="AD57" s="172"/>
      <c r="AE57" s="170"/>
      <c r="AF57" s="171"/>
      <c r="AG57" s="172"/>
      <c r="AH57" s="170"/>
      <c r="AI57" s="171"/>
      <c r="AJ57" s="172"/>
      <c r="AK57" s="170"/>
      <c r="AL57" s="171"/>
      <c r="AM57" s="172"/>
      <c r="AN57" s="170"/>
      <c r="AO57" s="171"/>
      <c r="AP57" s="172"/>
      <c r="AQ57" s="170"/>
      <c r="AR57" s="171"/>
      <c r="AS57" s="172"/>
      <c r="AT57" s="170"/>
      <c r="AU57" s="171"/>
      <c r="AV57" s="172"/>
      <c r="AW57" s="170"/>
      <c r="AX57" s="171"/>
      <c r="AY57" s="172"/>
      <c r="AZ57" s="170"/>
      <c r="BA57" s="171"/>
      <c r="BB57" s="172"/>
      <c r="BC57" s="170"/>
      <c r="BD57" s="171"/>
      <c r="BE57" s="172"/>
      <c r="BF57" s="170"/>
      <c r="BG57" s="171"/>
      <c r="BH57" s="172"/>
      <c r="BI57" s="41"/>
    </row>
    <row r="58" spans="1:69" ht="7.4" customHeight="1" x14ac:dyDescent="0.5">
      <c r="A58" s="42"/>
      <c r="B58" s="61"/>
      <c r="C58" s="400" t="s">
        <v>136</v>
      </c>
      <c r="D58" s="400"/>
      <c r="E58" s="400"/>
      <c r="F58" s="400"/>
      <c r="G58" s="400"/>
      <c r="H58" s="400"/>
      <c r="I58" s="400"/>
      <c r="J58" s="400"/>
      <c r="K58" s="400"/>
      <c r="L58" s="448"/>
      <c r="M58" s="349">
        <v>25</v>
      </c>
      <c r="N58" s="318"/>
      <c r="O58" s="350"/>
      <c r="P58" s="349">
        <v>0</v>
      </c>
      <c r="Q58" s="318"/>
      <c r="R58" s="350"/>
      <c r="S58" s="349">
        <v>0</v>
      </c>
      <c r="T58" s="318"/>
      <c r="U58" s="350"/>
      <c r="V58" s="349">
        <v>0</v>
      </c>
      <c r="W58" s="318"/>
      <c r="X58" s="350"/>
      <c r="Y58" s="349">
        <v>0</v>
      </c>
      <c r="Z58" s="318"/>
      <c r="AA58" s="350"/>
      <c r="AB58" s="349">
        <v>0</v>
      </c>
      <c r="AC58" s="318"/>
      <c r="AD58" s="350"/>
      <c r="AE58" s="349">
        <v>0</v>
      </c>
      <c r="AF58" s="318"/>
      <c r="AG58" s="350"/>
      <c r="AH58" s="349">
        <v>0</v>
      </c>
      <c r="AI58" s="318"/>
      <c r="AJ58" s="350"/>
      <c r="AK58" s="349">
        <v>0</v>
      </c>
      <c r="AL58" s="318"/>
      <c r="AM58" s="350"/>
      <c r="AN58" s="349">
        <v>0</v>
      </c>
      <c r="AO58" s="318"/>
      <c r="AP58" s="350"/>
      <c r="AQ58" s="349">
        <v>0</v>
      </c>
      <c r="AR58" s="318"/>
      <c r="AS58" s="350"/>
      <c r="AT58" s="349">
        <v>0</v>
      </c>
      <c r="AU58" s="318"/>
      <c r="AV58" s="350"/>
      <c r="AW58" s="349">
        <v>0</v>
      </c>
      <c r="AX58" s="318"/>
      <c r="AY58" s="350"/>
      <c r="AZ58" s="349">
        <v>0</v>
      </c>
      <c r="BA58" s="318"/>
      <c r="BB58" s="350"/>
      <c r="BC58" s="349">
        <v>0</v>
      </c>
      <c r="BD58" s="318"/>
      <c r="BE58" s="350"/>
      <c r="BF58" s="349">
        <v>0</v>
      </c>
      <c r="BG58" s="318"/>
      <c r="BH58" s="350"/>
      <c r="BI58" s="41"/>
    </row>
    <row r="59" spans="1:69" ht="7.4" customHeight="1" x14ac:dyDescent="0.5">
      <c r="A59" s="42"/>
      <c r="B59" s="61"/>
      <c r="C59" s="400"/>
      <c r="D59" s="400"/>
      <c r="E59" s="400"/>
      <c r="F59" s="400"/>
      <c r="G59" s="400"/>
      <c r="H59" s="400"/>
      <c r="I59" s="400"/>
      <c r="J59" s="400"/>
      <c r="K59" s="400"/>
      <c r="L59" s="448"/>
      <c r="M59" s="349"/>
      <c r="N59" s="318"/>
      <c r="O59" s="350"/>
      <c r="P59" s="349"/>
      <c r="Q59" s="318"/>
      <c r="R59" s="350"/>
      <c r="S59" s="349"/>
      <c r="T59" s="318"/>
      <c r="U59" s="350"/>
      <c r="V59" s="349"/>
      <c r="W59" s="318"/>
      <c r="X59" s="350"/>
      <c r="Y59" s="349"/>
      <c r="Z59" s="318"/>
      <c r="AA59" s="350"/>
      <c r="AB59" s="349"/>
      <c r="AC59" s="318"/>
      <c r="AD59" s="350"/>
      <c r="AE59" s="349"/>
      <c r="AF59" s="318"/>
      <c r="AG59" s="350"/>
      <c r="AH59" s="349"/>
      <c r="AI59" s="318"/>
      <c r="AJ59" s="350"/>
      <c r="AK59" s="349"/>
      <c r="AL59" s="318"/>
      <c r="AM59" s="350"/>
      <c r="AN59" s="349"/>
      <c r="AO59" s="318"/>
      <c r="AP59" s="350"/>
      <c r="AQ59" s="349"/>
      <c r="AR59" s="318"/>
      <c r="AS59" s="350"/>
      <c r="AT59" s="349"/>
      <c r="AU59" s="318"/>
      <c r="AV59" s="350"/>
      <c r="AW59" s="349"/>
      <c r="AX59" s="318"/>
      <c r="AY59" s="350"/>
      <c r="AZ59" s="349"/>
      <c r="BA59" s="318"/>
      <c r="BB59" s="350"/>
      <c r="BC59" s="349"/>
      <c r="BD59" s="318"/>
      <c r="BE59" s="350"/>
      <c r="BF59" s="349"/>
      <c r="BG59" s="318"/>
      <c r="BH59" s="350"/>
      <c r="BI59" s="41"/>
    </row>
    <row r="60" spans="1:69" ht="7.4" customHeight="1" x14ac:dyDescent="0.5">
      <c r="A60" s="42"/>
      <c r="B60" s="61"/>
      <c r="C60" s="159"/>
      <c r="D60" s="159"/>
      <c r="E60" s="159"/>
      <c r="F60" s="159"/>
      <c r="G60" s="62"/>
      <c r="H60" s="160"/>
      <c r="I60" s="160"/>
      <c r="J60" s="160"/>
      <c r="K60" s="160"/>
      <c r="L60" s="152"/>
      <c r="M60" s="174"/>
      <c r="N60" s="135"/>
      <c r="O60" s="52"/>
      <c r="P60" s="174"/>
      <c r="Q60" s="135"/>
      <c r="R60" s="52"/>
      <c r="S60" s="174"/>
      <c r="T60" s="135"/>
      <c r="U60" s="52"/>
      <c r="V60" s="174"/>
      <c r="W60" s="135"/>
      <c r="X60" s="52"/>
      <c r="Y60" s="174"/>
      <c r="Z60" s="135"/>
      <c r="AA60" s="52"/>
      <c r="AB60" s="174"/>
      <c r="AC60" s="135"/>
      <c r="AD60" s="52"/>
      <c r="AE60" s="174"/>
      <c r="AF60" s="135"/>
      <c r="AG60" s="52"/>
      <c r="AH60" s="174"/>
      <c r="AI60" s="135"/>
      <c r="AJ60" s="52"/>
      <c r="AK60" s="174"/>
      <c r="AL60" s="135"/>
      <c r="AM60" s="52"/>
      <c r="AN60" s="174"/>
      <c r="AO60" s="135"/>
      <c r="AP60" s="52"/>
      <c r="AQ60" s="174"/>
      <c r="AR60" s="135"/>
      <c r="AS60" s="52"/>
      <c r="AT60" s="174"/>
      <c r="AU60" s="135"/>
      <c r="AV60" s="52"/>
      <c r="AW60" s="174"/>
      <c r="AX60" s="135"/>
      <c r="AY60" s="52"/>
      <c r="AZ60" s="174"/>
      <c r="BA60" s="135"/>
      <c r="BB60" s="52"/>
      <c r="BC60" s="174"/>
      <c r="BD60" s="135"/>
      <c r="BE60" s="52"/>
      <c r="BF60" s="174"/>
      <c r="BG60" s="135"/>
      <c r="BH60" s="52"/>
      <c r="BI60" s="41"/>
    </row>
    <row r="61" spans="1:69" ht="7.4" customHeight="1" x14ac:dyDescent="0.5">
      <c r="A61" s="42"/>
      <c r="B61" s="61"/>
      <c r="C61" s="159"/>
      <c r="D61" s="159"/>
      <c r="E61" s="159"/>
      <c r="F61" s="159"/>
      <c r="G61" s="62"/>
      <c r="H61" s="160"/>
      <c r="I61" s="160"/>
      <c r="J61" s="160"/>
      <c r="K61" s="160"/>
      <c r="L61" s="152"/>
      <c r="M61" s="212"/>
      <c r="N61" s="212"/>
      <c r="O61" s="76"/>
      <c r="P61" s="212"/>
      <c r="Q61" s="212"/>
      <c r="R61" s="76"/>
      <c r="S61" s="212"/>
      <c r="T61" s="212"/>
      <c r="U61" s="76"/>
      <c r="V61" s="212"/>
      <c r="W61" s="212"/>
      <c r="X61" s="76"/>
      <c r="Y61" s="212"/>
      <c r="Z61" s="212"/>
      <c r="AA61" s="76"/>
      <c r="AB61" s="212"/>
      <c r="AC61" s="212"/>
      <c r="AD61" s="76"/>
      <c r="AE61" s="212"/>
      <c r="AF61" s="212"/>
      <c r="AG61" s="76"/>
      <c r="AH61" s="212"/>
      <c r="AI61" s="212"/>
      <c r="AJ61" s="76"/>
      <c r="AK61" s="212"/>
      <c r="AL61" s="212"/>
      <c r="AM61" s="76"/>
      <c r="AN61" s="212"/>
      <c r="AO61" s="212"/>
      <c r="AP61" s="76"/>
      <c r="AQ61" s="212"/>
      <c r="AR61" s="212"/>
      <c r="AS61" s="76"/>
      <c r="AT61" s="212"/>
      <c r="AU61" s="212"/>
      <c r="AV61" s="76"/>
      <c r="AW61" s="212"/>
      <c r="AX61" s="212"/>
      <c r="AY61" s="76"/>
      <c r="AZ61" s="212"/>
      <c r="BA61" s="212"/>
      <c r="BB61" s="76"/>
      <c r="BC61" s="212"/>
      <c r="BD61" s="212"/>
      <c r="BE61" s="76"/>
      <c r="BF61" s="212"/>
      <c r="BG61" s="212"/>
      <c r="BH61" s="76"/>
      <c r="BI61" s="41"/>
      <c r="BK61" s="463" t="s">
        <v>82</v>
      </c>
      <c r="BL61" s="464"/>
      <c r="BM61" s="464"/>
      <c r="BN61" s="464"/>
      <c r="BO61" s="464"/>
      <c r="BP61" s="464"/>
      <c r="BQ61" s="465"/>
    </row>
    <row r="62" spans="1:69" ht="7.4" customHeight="1" x14ac:dyDescent="0.5">
      <c r="A62" s="42"/>
      <c r="B62" s="61"/>
      <c r="C62" s="400" t="s">
        <v>137</v>
      </c>
      <c r="D62" s="400"/>
      <c r="E62" s="400"/>
      <c r="F62" s="400"/>
      <c r="G62" s="400"/>
      <c r="H62" s="400"/>
      <c r="I62" s="400"/>
      <c r="J62" s="400"/>
      <c r="K62" s="400"/>
      <c r="L62" s="448"/>
      <c r="M62" s="311">
        <f>IF(M54&gt;0,IF($AO$35="Flat Surface",BK135/M54,BK147/2/M54),0)</f>
        <v>20</v>
      </c>
      <c r="N62" s="311"/>
      <c r="O62" s="312"/>
      <c r="P62" s="311">
        <f>IF(P54&gt;0,BN147/2/P54,0)</f>
        <v>0</v>
      </c>
      <c r="Q62" s="311"/>
      <c r="R62" s="312"/>
      <c r="S62" s="311">
        <f>IF(S54&gt;0,BQ147/2/S54,0)</f>
        <v>0</v>
      </c>
      <c r="T62" s="311"/>
      <c r="U62" s="312"/>
      <c r="V62" s="311">
        <f>IF(V54&gt;0,BT147/2/V54,0)</f>
        <v>0</v>
      </c>
      <c r="W62" s="311"/>
      <c r="X62" s="312"/>
      <c r="Y62" s="311">
        <f>IF(Y54&gt;0,BW147/2/Y54,0)</f>
        <v>0</v>
      </c>
      <c r="Z62" s="311"/>
      <c r="AA62" s="312"/>
      <c r="AB62" s="311">
        <f>IF(AB54&gt;0,BZ147/2/AB54,0)</f>
        <v>0</v>
      </c>
      <c r="AC62" s="311"/>
      <c r="AD62" s="312"/>
      <c r="AE62" s="311">
        <f>IF(AE54&gt;0,CC147/2/AE54,0)</f>
        <v>0</v>
      </c>
      <c r="AF62" s="311"/>
      <c r="AG62" s="312"/>
      <c r="AH62" s="311">
        <f>IF(AH54&gt;0,CF147/2/AH54,0)</f>
        <v>0</v>
      </c>
      <c r="AI62" s="311"/>
      <c r="AJ62" s="312"/>
      <c r="AK62" s="311">
        <f>IF(AK54&gt;0,CI147/2/AK54,0)</f>
        <v>0</v>
      </c>
      <c r="AL62" s="311"/>
      <c r="AM62" s="312"/>
      <c r="AN62" s="311">
        <f>IF(AN54&gt;0,CL147/2/AN54,0)</f>
        <v>0</v>
      </c>
      <c r="AO62" s="311"/>
      <c r="AP62" s="312"/>
      <c r="AQ62" s="311">
        <f>IF(AQ54&gt;0,CO147/2/AQ54,0)</f>
        <v>0</v>
      </c>
      <c r="AR62" s="311"/>
      <c r="AS62" s="312"/>
      <c r="AT62" s="311">
        <f>IF(AT54&gt;0,CR147/2/AT54,0)</f>
        <v>0</v>
      </c>
      <c r="AU62" s="311"/>
      <c r="AV62" s="312"/>
      <c r="AW62" s="311">
        <f>IF(AW54&gt;0,CU147/2/AW54,0)</f>
        <v>0</v>
      </c>
      <c r="AX62" s="311"/>
      <c r="AY62" s="312"/>
      <c r="AZ62" s="311">
        <f>IF(AZ54&gt;0,CX147/2/AZ54,0)</f>
        <v>0</v>
      </c>
      <c r="BA62" s="311"/>
      <c r="BB62" s="312"/>
      <c r="BC62" s="311">
        <f>IF(BC54&gt;0,DA147/2/BC54,0)</f>
        <v>0</v>
      </c>
      <c r="BD62" s="311"/>
      <c r="BE62" s="312"/>
      <c r="BF62" s="311">
        <f>IF(BF54&gt;0,DD147/2/BF54,0)</f>
        <v>0</v>
      </c>
      <c r="BG62" s="311"/>
      <c r="BH62" s="312"/>
      <c r="BI62" s="41"/>
      <c r="BK62" s="466"/>
      <c r="BL62" s="467"/>
      <c r="BM62" s="467"/>
      <c r="BN62" s="467"/>
      <c r="BO62" s="467"/>
      <c r="BP62" s="467"/>
      <c r="BQ62" s="468"/>
    </row>
    <row r="63" spans="1:69" ht="7.4" customHeight="1" x14ac:dyDescent="0.5">
      <c r="A63" s="42"/>
      <c r="B63" s="61"/>
      <c r="C63" s="400"/>
      <c r="D63" s="400"/>
      <c r="E63" s="400"/>
      <c r="F63" s="400"/>
      <c r="G63" s="400"/>
      <c r="H63" s="400"/>
      <c r="I63" s="400"/>
      <c r="J63" s="400"/>
      <c r="K63" s="400"/>
      <c r="L63" s="448"/>
      <c r="M63" s="311"/>
      <c r="N63" s="311"/>
      <c r="O63" s="312"/>
      <c r="P63" s="311"/>
      <c r="Q63" s="311"/>
      <c r="R63" s="312"/>
      <c r="S63" s="311"/>
      <c r="T63" s="311"/>
      <c r="U63" s="312"/>
      <c r="V63" s="311"/>
      <c r="W63" s="311"/>
      <c r="X63" s="312"/>
      <c r="Y63" s="311"/>
      <c r="Z63" s="311"/>
      <c r="AA63" s="312"/>
      <c r="AB63" s="311"/>
      <c r="AC63" s="311"/>
      <c r="AD63" s="312"/>
      <c r="AE63" s="311"/>
      <c r="AF63" s="311"/>
      <c r="AG63" s="312"/>
      <c r="AH63" s="311"/>
      <c r="AI63" s="311"/>
      <c r="AJ63" s="312"/>
      <c r="AK63" s="311"/>
      <c r="AL63" s="311"/>
      <c r="AM63" s="312"/>
      <c r="AN63" s="311"/>
      <c r="AO63" s="311"/>
      <c r="AP63" s="312"/>
      <c r="AQ63" s="311"/>
      <c r="AR63" s="311"/>
      <c r="AS63" s="312"/>
      <c r="AT63" s="311"/>
      <c r="AU63" s="311"/>
      <c r="AV63" s="312"/>
      <c r="AW63" s="311"/>
      <c r="AX63" s="311"/>
      <c r="AY63" s="312"/>
      <c r="AZ63" s="311"/>
      <c r="BA63" s="311"/>
      <c r="BB63" s="312"/>
      <c r="BC63" s="311"/>
      <c r="BD63" s="311"/>
      <c r="BE63" s="312"/>
      <c r="BF63" s="311"/>
      <c r="BG63" s="311"/>
      <c r="BH63" s="312"/>
      <c r="BI63" s="41"/>
      <c r="BK63" s="466"/>
      <c r="BL63" s="467"/>
      <c r="BM63" s="467"/>
      <c r="BN63" s="467"/>
      <c r="BO63" s="467"/>
      <c r="BP63" s="467"/>
      <c r="BQ63" s="468"/>
    </row>
    <row r="64" spans="1:69" ht="7.4" customHeight="1" x14ac:dyDescent="0.5">
      <c r="A64" s="42"/>
      <c r="B64" s="61"/>
      <c r="C64" s="159"/>
      <c r="D64" s="159"/>
      <c r="E64" s="159"/>
      <c r="F64" s="159"/>
      <c r="G64" s="62"/>
      <c r="H64" s="160"/>
      <c r="I64" s="160"/>
      <c r="J64" s="160"/>
      <c r="K64" s="160"/>
      <c r="L64" s="152"/>
      <c r="M64" s="135"/>
      <c r="N64" s="135"/>
      <c r="O64" s="52"/>
      <c r="P64" s="135"/>
      <c r="Q64" s="135"/>
      <c r="R64" s="52"/>
      <c r="S64" s="135"/>
      <c r="T64" s="135"/>
      <c r="U64" s="52"/>
      <c r="V64" s="135"/>
      <c r="W64" s="135"/>
      <c r="X64" s="52"/>
      <c r="Y64" s="135"/>
      <c r="Z64" s="135"/>
      <c r="AA64" s="52"/>
      <c r="AB64" s="135"/>
      <c r="AC64" s="135"/>
      <c r="AD64" s="52"/>
      <c r="AE64" s="135"/>
      <c r="AF64" s="135"/>
      <c r="AG64" s="52"/>
      <c r="AH64" s="135"/>
      <c r="AI64" s="135"/>
      <c r="AJ64" s="52"/>
      <c r="AK64" s="135"/>
      <c r="AL64" s="135"/>
      <c r="AM64" s="52"/>
      <c r="AN64" s="135"/>
      <c r="AO64" s="135"/>
      <c r="AP64" s="52"/>
      <c r="AQ64" s="135"/>
      <c r="AR64" s="135"/>
      <c r="AS64" s="52"/>
      <c r="AT64" s="135"/>
      <c r="AU64" s="135"/>
      <c r="AV64" s="52"/>
      <c r="AW64" s="135"/>
      <c r="AX64" s="135"/>
      <c r="AY64" s="52"/>
      <c r="AZ64" s="135"/>
      <c r="BA64" s="135"/>
      <c r="BB64" s="52"/>
      <c r="BC64" s="135"/>
      <c r="BD64" s="135"/>
      <c r="BE64" s="52"/>
      <c r="BF64" s="135"/>
      <c r="BG64" s="135"/>
      <c r="BH64" s="52"/>
      <c r="BI64" s="41"/>
      <c r="BK64" s="515"/>
      <c r="BL64" s="516"/>
      <c r="BM64" s="516"/>
      <c r="BN64" s="516"/>
      <c r="BO64" s="516"/>
      <c r="BP64" s="516"/>
      <c r="BQ64" s="517"/>
    </row>
    <row r="65" spans="1:110" ht="7.4" customHeight="1" x14ac:dyDescent="0.5">
      <c r="A65" s="42"/>
      <c r="B65" s="61"/>
      <c r="C65" s="513" t="s">
        <v>138</v>
      </c>
      <c r="D65" s="513"/>
      <c r="E65" s="513"/>
      <c r="F65" s="513"/>
      <c r="G65" s="513"/>
      <c r="H65" s="513"/>
      <c r="I65" s="513"/>
      <c r="J65" s="513"/>
      <c r="K65" s="513"/>
      <c r="L65" s="514"/>
      <c r="M65" s="212"/>
      <c r="N65" s="212"/>
      <c r="O65" s="76"/>
      <c r="P65" s="212"/>
      <c r="Q65" s="212"/>
      <c r="R65" s="76"/>
      <c r="S65" s="212"/>
      <c r="T65" s="212"/>
      <c r="U65" s="76"/>
      <c r="V65" s="212"/>
      <c r="W65" s="212"/>
      <c r="X65" s="76"/>
      <c r="Y65" s="212"/>
      <c r="Z65" s="212"/>
      <c r="AA65" s="76"/>
      <c r="AB65" s="212"/>
      <c r="AC65" s="212"/>
      <c r="AD65" s="76"/>
      <c r="AE65" s="212"/>
      <c r="AF65" s="212"/>
      <c r="AG65" s="76"/>
      <c r="AH65" s="212"/>
      <c r="AI65" s="212"/>
      <c r="AJ65" s="76"/>
      <c r="AK65" s="212"/>
      <c r="AL65" s="212"/>
      <c r="AM65" s="76"/>
      <c r="AN65" s="212"/>
      <c r="AO65" s="212"/>
      <c r="AP65" s="76"/>
      <c r="AQ65" s="212"/>
      <c r="AR65" s="212"/>
      <c r="AS65" s="76"/>
      <c r="AT65" s="212"/>
      <c r="AU65" s="212"/>
      <c r="AV65" s="76"/>
      <c r="AW65" s="212"/>
      <c r="AX65" s="212"/>
      <c r="AY65" s="76"/>
      <c r="AZ65" s="212"/>
      <c r="BA65" s="212"/>
      <c r="BB65" s="76"/>
      <c r="BC65" s="212"/>
      <c r="BD65" s="212"/>
      <c r="BE65" s="76"/>
      <c r="BF65" s="212"/>
      <c r="BG65" s="212"/>
      <c r="BH65" s="76"/>
      <c r="BI65" s="41"/>
      <c r="BK65" s="38"/>
      <c r="BL65" s="39"/>
      <c r="BM65" s="39"/>
      <c r="BN65" s="39"/>
      <c r="BO65" s="39"/>
      <c r="BP65" s="39"/>
      <c r="BQ65" s="40"/>
    </row>
    <row r="66" spans="1:110" ht="7.4" customHeight="1" x14ac:dyDescent="0.5">
      <c r="A66" s="42"/>
      <c r="B66" s="61"/>
      <c r="C66" s="513"/>
      <c r="D66" s="513"/>
      <c r="E66" s="513"/>
      <c r="F66" s="513"/>
      <c r="G66" s="513"/>
      <c r="H66" s="513"/>
      <c r="I66" s="513"/>
      <c r="J66" s="513"/>
      <c r="K66" s="513"/>
      <c r="L66" s="514"/>
      <c r="M66" s="331">
        <f>IF(M58&gt;0,($AE$45*M58+20*(M58-1)+$N$78*2-2*$N$82)/(M62-1),0)</f>
        <v>1496.3157894736842</v>
      </c>
      <c r="N66" s="331"/>
      <c r="O66" s="332"/>
      <c r="P66" s="331">
        <f>IF(P58&gt;0,($AE$45*P58+20*(P58-1)+$N$78*2-2*$N$82)/(P62-1),0)</f>
        <v>0</v>
      </c>
      <c r="Q66" s="331"/>
      <c r="R66" s="332"/>
      <c r="S66" s="331">
        <f>IF(S58&gt;0,($AE$45*S58+20*(S58-1)+$N$78*2-2*$N$82)/(S62-1),0)</f>
        <v>0</v>
      </c>
      <c r="T66" s="331"/>
      <c r="U66" s="332"/>
      <c r="V66" s="331">
        <f>IF(V58&gt;0,($AE$45*V58+20*(V58-1)+$N$78*2-2*$N$82)/(V62-1),0)</f>
        <v>0</v>
      </c>
      <c r="W66" s="331"/>
      <c r="X66" s="332"/>
      <c r="Y66" s="331">
        <f>IF(Y58&gt;0,($AE$45*Y58+20*(Y58-1)+$N$78*2-2*$N$82)/(Y62-1),0)</f>
        <v>0</v>
      </c>
      <c r="Z66" s="331"/>
      <c r="AA66" s="332"/>
      <c r="AB66" s="331">
        <f>IF(AB58&gt;0,($AE$45*AB58+20*(AB58-1)+$N$78*2-2*$N$82)/(AB62-1),0)</f>
        <v>0</v>
      </c>
      <c r="AC66" s="331"/>
      <c r="AD66" s="332"/>
      <c r="AE66" s="331">
        <f>IF(AE58&gt;0,($AE$45*AE58+20*(AE58-1)+$N$78*2-2*$N$82)/(AE62-1),0)</f>
        <v>0</v>
      </c>
      <c r="AF66" s="331"/>
      <c r="AG66" s="332"/>
      <c r="AH66" s="331">
        <f>IF(AH58&gt;0,($AE$45*AH58+20*(AH58-1)+$N$78*2-2*$N$82)/(AH62-1),0)</f>
        <v>0</v>
      </c>
      <c r="AI66" s="331"/>
      <c r="AJ66" s="332"/>
      <c r="AK66" s="331">
        <f>IF(AK58&gt;0,($AE$45*AK58+20*(AK58-1)+$N$78*2-2*$N$82)/(AK62-1),0)</f>
        <v>0</v>
      </c>
      <c r="AL66" s="331"/>
      <c r="AM66" s="332"/>
      <c r="AN66" s="331">
        <f>IF(AN58&gt;0,($AE$45*AN58+20*(AN58-1)+$N$78*2-2*$N$82)/(AN62-1),0)</f>
        <v>0</v>
      </c>
      <c r="AO66" s="331"/>
      <c r="AP66" s="332"/>
      <c r="AQ66" s="331">
        <f>IF(AQ58&gt;0,($AE$45*AQ58+20*(AQ58-1)+$N$78*2-2*$N$82)/(AQ62-1),0)</f>
        <v>0</v>
      </c>
      <c r="AR66" s="331"/>
      <c r="AS66" s="332"/>
      <c r="AT66" s="331">
        <f>IF(AT58&gt;0,($AE$45*AT58+20*(AT58-1)+$N$78*2-2*$N$82)/(AT62-1),0)</f>
        <v>0</v>
      </c>
      <c r="AU66" s="331"/>
      <c r="AV66" s="332"/>
      <c r="AW66" s="331">
        <f>IF(AW58&gt;0,($AE$45*AW58+20*(AW58-1)+$N$78*2-2*$N$82)/(AW62-1),0)</f>
        <v>0</v>
      </c>
      <c r="AX66" s="331"/>
      <c r="AY66" s="332"/>
      <c r="AZ66" s="331">
        <f>IF(AZ58&gt;0,($AE$45*AZ58+20*(AZ58-1)+$N$78*2-2*$N$82)/(AZ62-1),0)</f>
        <v>0</v>
      </c>
      <c r="BA66" s="331"/>
      <c r="BB66" s="332"/>
      <c r="BC66" s="331">
        <f>IF(BC58&gt;0,($AE$45*BC58+20*(BC58-1)+$N$78*2-2*$N$82)/(BC62-1),0)</f>
        <v>0</v>
      </c>
      <c r="BD66" s="331"/>
      <c r="BE66" s="332"/>
      <c r="BF66" s="331">
        <f>IF(BF58&gt;0,($AE$45*BF58+20*(BF58-1)+$N$78*2-2*$N$82)/(BF62-1),0)</f>
        <v>0</v>
      </c>
      <c r="BG66" s="331"/>
      <c r="BH66" s="332"/>
      <c r="BI66" s="41"/>
      <c r="BK66" s="42"/>
      <c r="BL66" s="311">
        <f>IF(OR(AO35="Corrugated (Side)",AO35="Corrugated (Top)",AO35="Corrugated (Hangerbolt)"),76.2*18,IF(AO35="IBR",171.5*8,IF(OR(AO35="Klip-Lok",AO35="ProLok",AO35="Saflok"),233*6,IF(AO35="Brownbuilt",203*7,IF(OR(AO35="Dimondek (Pinch)",AO35="Dimondek (Stand Rib)"),203*7,IF(AO35="Zip-Tek",420*3,IF(AO35="Craft-Lock",350*4,0)))))))</f>
        <v>1372</v>
      </c>
      <c r="BM66" s="311"/>
      <c r="BN66" s="311"/>
      <c r="BO66" s="460" t="s">
        <v>69</v>
      </c>
      <c r="BP66" s="460"/>
      <c r="BQ66" s="41"/>
    </row>
    <row r="67" spans="1:110" ht="7.4" customHeight="1" x14ac:dyDescent="0.5">
      <c r="A67" s="42"/>
      <c r="B67" s="61"/>
      <c r="C67" s="513"/>
      <c r="D67" s="513"/>
      <c r="E67" s="513"/>
      <c r="F67" s="513"/>
      <c r="G67" s="513"/>
      <c r="H67" s="513"/>
      <c r="I67" s="513"/>
      <c r="J67" s="513"/>
      <c r="K67" s="513"/>
      <c r="L67" s="514"/>
      <c r="M67" s="331"/>
      <c r="N67" s="331"/>
      <c r="O67" s="332"/>
      <c r="P67" s="331"/>
      <c r="Q67" s="331"/>
      <c r="R67" s="332"/>
      <c r="S67" s="331"/>
      <c r="T67" s="331"/>
      <c r="U67" s="332"/>
      <c r="V67" s="331"/>
      <c r="W67" s="331"/>
      <c r="X67" s="332"/>
      <c r="Y67" s="331"/>
      <c r="Z67" s="331"/>
      <c r="AA67" s="332"/>
      <c r="AB67" s="331"/>
      <c r="AC67" s="331"/>
      <c r="AD67" s="332"/>
      <c r="AE67" s="331"/>
      <c r="AF67" s="331"/>
      <c r="AG67" s="332"/>
      <c r="AH67" s="331"/>
      <c r="AI67" s="331"/>
      <c r="AJ67" s="332"/>
      <c r="AK67" s="331"/>
      <c r="AL67" s="331"/>
      <c r="AM67" s="332"/>
      <c r="AN67" s="331"/>
      <c r="AO67" s="331"/>
      <c r="AP67" s="332"/>
      <c r="AQ67" s="331"/>
      <c r="AR67" s="331"/>
      <c r="AS67" s="332"/>
      <c r="AT67" s="331"/>
      <c r="AU67" s="331"/>
      <c r="AV67" s="332"/>
      <c r="AW67" s="331"/>
      <c r="AX67" s="331"/>
      <c r="AY67" s="332"/>
      <c r="AZ67" s="331"/>
      <c r="BA67" s="331"/>
      <c r="BB67" s="332"/>
      <c r="BC67" s="331"/>
      <c r="BD67" s="331"/>
      <c r="BE67" s="332"/>
      <c r="BF67" s="331"/>
      <c r="BG67" s="331"/>
      <c r="BH67" s="332"/>
      <c r="BI67" s="41"/>
      <c r="BK67" s="42"/>
      <c r="BL67" s="311"/>
      <c r="BM67" s="311"/>
      <c r="BN67" s="311"/>
      <c r="BO67" s="460"/>
      <c r="BP67" s="460"/>
      <c r="BQ67" s="41"/>
    </row>
    <row r="68" spans="1:110" ht="7.4" customHeight="1" x14ac:dyDescent="0.5">
      <c r="A68" s="42"/>
      <c r="B68" s="64"/>
      <c r="C68" s="96"/>
      <c r="D68" s="96"/>
      <c r="E68" s="96"/>
      <c r="F68" s="96"/>
      <c r="G68" s="65"/>
      <c r="H68" s="173"/>
      <c r="I68" s="173"/>
      <c r="J68" s="173"/>
      <c r="K68" s="173"/>
      <c r="L68" s="157"/>
      <c r="M68" s="135"/>
      <c r="N68" s="135"/>
      <c r="O68" s="52"/>
      <c r="P68" s="135"/>
      <c r="Q68" s="135"/>
      <c r="R68" s="52"/>
      <c r="S68" s="135"/>
      <c r="T68" s="135"/>
      <c r="U68" s="52"/>
      <c r="V68" s="135"/>
      <c r="W68" s="135"/>
      <c r="X68" s="52"/>
      <c r="Y68" s="135"/>
      <c r="Z68" s="135"/>
      <c r="AA68" s="52"/>
      <c r="AB68" s="135"/>
      <c r="AC68" s="135"/>
      <c r="AD68" s="52"/>
      <c r="AE68" s="135"/>
      <c r="AF68" s="135"/>
      <c r="AG68" s="52"/>
      <c r="AH68" s="135"/>
      <c r="AI68" s="135"/>
      <c r="AJ68" s="52"/>
      <c r="AK68" s="135"/>
      <c r="AL68" s="135"/>
      <c r="AM68" s="52"/>
      <c r="AN68" s="135"/>
      <c r="AO68" s="135"/>
      <c r="AP68" s="52"/>
      <c r="AQ68" s="135"/>
      <c r="AR68" s="135"/>
      <c r="AS68" s="52"/>
      <c r="AT68" s="135"/>
      <c r="AU68" s="135"/>
      <c r="AV68" s="52"/>
      <c r="AW68" s="135"/>
      <c r="AX68" s="135"/>
      <c r="AY68" s="52"/>
      <c r="AZ68" s="135"/>
      <c r="BA68" s="135"/>
      <c r="BB68" s="52"/>
      <c r="BC68" s="135"/>
      <c r="BD68" s="135"/>
      <c r="BE68" s="52"/>
      <c r="BF68" s="135"/>
      <c r="BG68" s="135"/>
      <c r="BH68" s="52"/>
      <c r="BI68" s="41"/>
      <c r="BK68" s="50"/>
      <c r="BL68" s="51"/>
      <c r="BM68" s="51"/>
      <c r="BN68" s="51"/>
      <c r="BO68" s="51"/>
      <c r="BP68" s="51"/>
      <c r="BQ68" s="52"/>
    </row>
    <row r="69" spans="1:110" ht="7.4" customHeight="1" x14ac:dyDescent="0.5">
      <c r="A69" s="42"/>
      <c r="R69" s="25"/>
      <c r="S69" s="25"/>
      <c r="T69" s="25"/>
      <c r="U69" s="25"/>
      <c r="V69" s="25"/>
      <c r="AM69" s="25"/>
      <c r="AN69" s="25"/>
      <c r="AO69" s="25"/>
      <c r="AP69" s="25"/>
      <c r="AQ69" s="25"/>
      <c r="AR69" s="25"/>
      <c r="AS69" s="79"/>
      <c r="AT69" s="79"/>
      <c r="AU69" s="79"/>
      <c r="AV69" s="79"/>
      <c r="AW69" s="79"/>
      <c r="AX69" s="79"/>
      <c r="AY69" s="79"/>
      <c r="AZ69" s="79"/>
      <c r="BA69" s="79"/>
      <c r="BB69" s="79"/>
      <c r="BE69" s="79"/>
      <c r="BF69" s="79"/>
      <c r="BG69" s="79"/>
      <c r="BH69" s="79"/>
      <c r="BI69" s="41"/>
    </row>
    <row r="70" spans="1:110" ht="7.4" customHeight="1" x14ac:dyDescent="0.5">
      <c r="A70" s="42"/>
      <c r="B70" s="299" t="s">
        <v>139</v>
      </c>
      <c r="C70" s="363"/>
      <c r="D70" s="363"/>
      <c r="E70" s="363"/>
      <c r="F70" s="363"/>
      <c r="G70" s="363"/>
      <c r="H70" s="363"/>
      <c r="I70" s="363"/>
      <c r="J70" s="363"/>
      <c r="K70" s="363"/>
      <c r="L70" s="363"/>
      <c r="M70" s="363"/>
      <c r="N70" s="363"/>
      <c r="O70" s="363"/>
      <c r="P70" s="363"/>
      <c r="Q70" s="363"/>
      <c r="R70" s="363"/>
      <c r="S70" s="363"/>
      <c r="T70" s="363"/>
      <c r="U70" s="364"/>
      <c r="W70" s="299" t="s">
        <v>83</v>
      </c>
      <c r="X70" s="363"/>
      <c r="Y70" s="363"/>
      <c r="Z70" s="363"/>
      <c r="AA70" s="363"/>
      <c r="AB70" s="363"/>
      <c r="AC70" s="363"/>
      <c r="AD70" s="363"/>
      <c r="AE70" s="363"/>
      <c r="AF70" s="363"/>
      <c r="AG70" s="363"/>
      <c r="AH70" s="363"/>
      <c r="AI70" s="363"/>
      <c r="AJ70" s="363"/>
      <c r="AK70" s="363"/>
      <c r="AL70" s="363"/>
      <c r="AM70" s="363"/>
      <c r="AN70" s="363"/>
      <c r="AO70" s="363"/>
      <c r="AP70" s="364"/>
      <c r="AQ70" s="79"/>
      <c r="AR70" s="299" t="s">
        <v>37</v>
      </c>
      <c r="AS70" s="363"/>
      <c r="AT70" s="363"/>
      <c r="AU70" s="363"/>
      <c r="AV70" s="363"/>
      <c r="AW70" s="363"/>
      <c r="AX70" s="363"/>
      <c r="AY70" s="363"/>
      <c r="AZ70" s="363"/>
      <c r="BA70" s="363"/>
      <c r="BB70" s="363"/>
      <c r="BC70" s="363"/>
      <c r="BD70" s="363"/>
      <c r="BE70" s="363"/>
      <c r="BF70" s="363"/>
      <c r="BG70" s="363"/>
      <c r="BH70" s="364"/>
      <c r="BI70" s="41"/>
      <c r="BK70" s="108"/>
      <c r="BL70" s="108"/>
      <c r="BM70" s="108"/>
      <c r="BN70" s="108"/>
      <c r="BO70" s="108"/>
      <c r="BP70" s="108"/>
      <c r="BQ70" s="108"/>
      <c r="BR70" s="108"/>
      <c r="BS70" s="108"/>
      <c r="BT70" s="108"/>
      <c r="BX70" s="25"/>
      <c r="BY70" s="25"/>
      <c r="BZ70" s="25"/>
      <c r="CA70" s="25"/>
      <c r="CB70" s="25"/>
      <c r="CC70" s="25"/>
      <c r="CD70" s="25"/>
      <c r="CE70" s="25"/>
      <c r="CF70" s="25"/>
      <c r="CG70" s="25"/>
      <c r="CH70" s="25"/>
      <c r="CI70" s="25"/>
    </row>
    <row r="71" spans="1:110" ht="7.4" customHeight="1" x14ac:dyDescent="0.5">
      <c r="A71" s="42"/>
      <c r="B71" s="365"/>
      <c r="C71" s="366"/>
      <c r="D71" s="366"/>
      <c r="E71" s="366"/>
      <c r="F71" s="366"/>
      <c r="G71" s="366"/>
      <c r="H71" s="366"/>
      <c r="I71" s="366"/>
      <c r="J71" s="366"/>
      <c r="K71" s="366"/>
      <c r="L71" s="366"/>
      <c r="M71" s="366"/>
      <c r="N71" s="366"/>
      <c r="O71" s="366"/>
      <c r="P71" s="366"/>
      <c r="Q71" s="366"/>
      <c r="R71" s="366"/>
      <c r="S71" s="366"/>
      <c r="T71" s="366"/>
      <c r="U71" s="367"/>
      <c r="W71" s="365"/>
      <c r="X71" s="366"/>
      <c r="Y71" s="366"/>
      <c r="Z71" s="366"/>
      <c r="AA71" s="366"/>
      <c r="AB71" s="366"/>
      <c r="AC71" s="366"/>
      <c r="AD71" s="366"/>
      <c r="AE71" s="366"/>
      <c r="AF71" s="366"/>
      <c r="AG71" s="366"/>
      <c r="AH71" s="366"/>
      <c r="AI71" s="366"/>
      <c r="AJ71" s="366"/>
      <c r="AK71" s="366"/>
      <c r="AL71" s="366"/>
      <c r="AM71" s="366"/>
      <c r="AN71" s="366"/>
      <c r="AO71" s="366"/>
      <c r="AP71" s="367"/>
      <c r="AQ71" s="79"/>
      <c r="AR71" s="365"/>
      <c r="AS71" s="366"/>
      <c r="AT71" s="366"/>
      <c r="AU71" s="366"/>
      <c r="AV71" s="366"/>
      <c r="AW71" s="366"/>
      <c r="AX71" s="366"/>
      <c r="AY71" s="366"/>
      <c r="AZ71" s="366"/>
      <c r="BA71" s="366"/>
      <c r="BB71" s="366"/>
      <c r="BC71" s="366"/>
      <c r="BD71" s="366"/>
      <c r="BE71" s="366"/>
      <c r="BF71" s="366"/>
      <c r="BG71" s="366"/>
      <c r="BH71" s="367"/>
      <c r="BI71" s="41"/>
      <c r="BX71" s="25"/>
      <c r="BY71" s="25"/>
      <c r="BZ71" s="25"/>
      <c r="CA71" s="25"/>
      <c r="CB71" s="25"/>
      <c r="CC71" s="25"/>
      <c r="CD71" s="25"/>
      <c r="CE71" s="25"/>
      <c r="CF71" s="25"/>
      <c r="CG71" s="25"/>
      <c r="CH71" s="25"/>
      <c r="CI71" s="25"/>
    </row>
    <row r="72" spans="1:110" ht="7.4" customHeight="1" x14ac:dyDescent="0.5">
      <c r="A72" s="42"/>
      <c r="B72" s="368"/>
      <c r="C72" s="369"/>
      <c r="D72" s="369"/>
      <c r="E72" s="369"/>
      <c r="F72" s="369"/>
      <c r="G72" s="369"/>
      <c r="H72" s="369"/>
      <c r="I72" s="369"/>
      <c r="J72" s="369"/>
      <c r="K72" s="369"/>
      <c r="L72" s="369"/>
      <c r="M72" s="369"/>
      <c r="N72" s="369"/>
      <c r="O72" s="369"/>
      <c r="P72" s="369"/>
      <c r="Q72" s="369"/>
      <c r="R72" s="369"/>
      <c r="S72" s="369"/>
      <c r="T72" s="369"/>
      <c r="U72" s="370"/>
      <c r="W72" s="368"/>
      <c r="X72" s="369"/>
      <c r="Y72" s="369"/>
      <c r="Z72" s="369"/>
      <c r="AA72" s="369"/>
      <c r="AB72" s="369"/>
      <c r="AC72" s="369"/>
      <c r="AD72" s="369"/>
      <c r="AE72" s="369"/>
      <c r="AF72" s="369"/>
      <c r="AG72" s="369"/>
      <c r="AH72" s="369"/>
      <c r="AI72" s="369"/>
      <c r="AJ72" s="369"/>
      <c r="AK72" s="369"/>
      <c r="AL72" s="369"/>
      <c r="AM72" s="369"/>
      <c r="AN72" s="369"/>
      <c r="AO72" s="369"/>
      <c r="AP72" s="370"/>
      <c r="AQ72" s="79"/>
      <c r="AR72" s="368"/>
      <c r="AS72" s="369"/>
      <c r="AT72" s="369"/>
      <c r="AU72" s="369"/>
      <c r="AV72" s="369"/>
      <c r="AW72" s="369"/>
      <c r="AX72" s="369"/>
      <c r="AY72" s="369"/>
      <c r="AZ72" s="369"/>
      <c r="BA72" s="369"/>
      <c r="BB72" s="369"/>
      <c r="BC72" s="369"/>
      <c r="BD72" s="369"/>
      <c r="BE72" s="369"/>
      <c r="BF72" s="369"/>
      <c r="BG72" s="369"/>
      <c r="BH72" s="370"/>
      <c r="BI72" s="41"/>
      <c r="BX72" s="25"/>
      <c r="BY72" s="25"/>
      <c r="BZ72" s="25"/>
      <c r="CA72" s="25"/>
      <c r="CB72" s="25"/>
      <c r="CC72" s="25"/>
      <c r="CD72" s="25"/>
      <c r="CE72" s="25"/>
      <c r="CF72" s="25"/>
      <c r="CG72" s="25"/>
      <c r="CH72" s="25"/>
      <c r="CI72" s="25"/>
    </row>
    <row r="73" spans="1:110" ht="7.4" customHeight="1" x14ac:dyDescent="0.5">
      <c r="A73" s="42"/>
      <c r="B73" s="58"/>
      <c r="C73" s="59"/>
      <c r="D73" s="59"/>
      <c r="E73" s="59"/>
      <c r="F73" s="59"/>
      <c r="G73" s="59"/>
      <c r="H73" s="59"/>
      <c r="I73" s="59"/>
      <c r="J73" s="59"/>
      <c r="K73" s="59"/>
      <c r="L73" s="59"/>
      <c r="M73" s="59"/>
      <c r="N73" s="38"/>
      <c r="O73" s="39"/>
      <c r="P73" s="39"/>
      <c r="Q73" s="39"/>
      <c r="R73" s="89"/>
      <c r="S73" s="89"/>
      <c r="T73" s="89"/>
      <c r="U73" s="40"/>
      <c r="W73" s="58"/>
      <c r="X73" s="511" t="s">
        <v>91</v>
      </c>
      <c r="Y73" s="511"/>
      <c r="Z73" s="511"/>
      <c r="AA73" s="511"/>
      <c r="AB73" s="511"/>
      <c r="AC73" s="511"/>
      <c r="AD73" s="511"/>
      <c r="AE73" s="511"/>
      <c r="AF73" s="511"/>
      <c r="AG73" s="511"/>
      <c r="AH73" s="512"/>
      <c r="AI73" s="38"/>
      <c r="AJ73" s="39"/>
      <c r="AK73" s="39"/>
      <c r="AL73" s="39"/>
      <c r="AM73" s="89"/>
      <c r="AN73" s="89"/>
      <c r="AO73" s="89"/>
      <c r="AP73" s="176"/>
      <c r="AQ73" s="79"/>
      <c r="AR73" s="61"/>
      <c r="AS73" s="62"/>
      <c r="AT73" s="62"/>
      <c r="AU73" s="62"/>
      <c r="AV73" s="62"/>
      <c r="AW73" s="62"/>
      <c r="AX73" s="62"/>
      <c r="AY73" s="62"/>
      <c r="AZ73" s="62"/>
      <c r="BA73" s="62"/>
      <c r="BB73" s="62"/>
      <c r="BC73" s="62"/>
      <c r="BD73" s="62"/>
      <c r="BE73" s="38"/>
      <c r="BF73" s="39"/>
      <c r="BG73" s="39"/>
      <c r="BH73" s="40"/>
      <c r="BI73" s="41"/>
      <c r="BK73" s="58"/>
      <c r="BL73" s="456" t="s">
        <v>95</v>
      </c>
      <c r="BM73" s="456"/>
      <c r="BN73" s="456"/>
      <c r="BO73" s="456"/>
      <c r="BP73" s="456"/>
      <c r="BQ73" s="456"/>
      <c r="BR73" s="456"/>
      <c r="BS73" s="456"/>
      <c r="BT73" s="456"/>
      <c r="BU73" s="456"/>
      <c r="BV73" s="178"/>
      <c r="BW73" s="38"/>
      <c r="BX73" s="89"/>
      <c r="BY73" s="89"/>
      <c r="BZ73" s="89"/>
      <c r="CA73" s="89"/>
      <c r="CB73" s="89"/>
      <c r="CC73" s="89"/>
      <c r="CD73" s="40"/>
      <c r="CE73" s="108"/>
      <c r="CF73" s="108"/>
      <c r="CG73" s="108"/>
      <c r="CH73" s="108"/>
      <c r="CI73" s="108"/>
    </row>
    <row r="74" spans="1:110" ht="7.4" customHeight="1" x14ac:dyDescent="0.5">
      <c r="A74" s="42"/>
      <c r="B74" s="61"/>
      <c r="C74" s="400" t="s">
        <v>85</v>
      </c>
      <c r="D74" s="400"/>
      <c r="E74" s="400"/>
      <c r="F74" s="400"/>
      <c r="G74" s="400"/>
      <c r="H74" s="400"/>
      <c r="I74" s="400"/>
      <c r="J74" s="400"/>
      <c r="K74" s="400"/>
      <c r="L74" s="400"/>
      <c r="M74" s="400"/>
      <c r="N74" s="461" t="s">
        <v>86</v>
      </c>
      <c r="O74" s="462"/>
      <c r="P74" s="462"/>
      <c r="Q74" s="462"/>
      <c r="R74" s="462"/>
      <c r="S74" s="405" t="s">
        <v>69</v>
      </c>
      <c r="T74" s="405"/>
      <c r="U74" s="411"/>
      <c r="W74" s="61"/>
      <c r="X74" s="455"/>
      <c r="Y74" s="455"/>
      <c r="Z74" s="455"/>
      <c r="AA74" s="455"/>
      <c r="AB74" s="455"/>
      <c r="AC74" s="455"/>
      <c r="AD74" s="455"/>
      <c r="AE74" s="455"/>
      <c r="AF74" s="455"/>
      <c r="AG74" s="455"/>
      <c r="AH74" s="458"/>
      <c r="AI74" s="452" t="s">
        <v>42</v>
      </c>
      <c r="AJ74" s="453"/>
      <c r="AK74" s="453"/>
      <c r="AL74" s="453"/>
      <c r="AM74" s="453"/>
      <c r="AN74" s="453"/>
      <c r="AO74" s="453"/>
      <c r="AP74" s="454"/>
      <c r="AQ74" s="79"/>
      <c r="AR74" s="61"/>
      <c r="AS74" s="400" t="s">
        <v>140</v>
      </c>
      <c r="AT74" s="400"/>
      <c r="AU74" s="400"/>
      <c r="AV74" s="400"/>
      <c r="AW74" s="400"/>
      <c r="AX74" s="400"/>
      <c r="AY74" s="400"/>
      <c r="AZ74" s="400"/>
      <c r="BA74" s="400"/>
      <c r="BB74" s="400"/>
      <c r="BC74" s="400"/>
      <c r="BD74" s="400"/>
      <c r="BE74" s="42"/>
      <c r="BF74" s="518">
        <v>0.02</v>
      </c>
      <c r="BG74" s="518"/>
      <c r="BH74" s="450"/>
      <c r="BI74" s="41"/>
      <c r="BK74" s="61"/>
      <c r="BL74" s="457"/>
      <c r="BM74" s="457"/>
      <c r="BN74" s="457"/>
      <c r="BO74" s="457"/>
      <c r="BP74" s="457"/>
      <c r="BQ74" s="457"/>
      <c r="BR74" s="457"/>
      <c r="BS74" s="457"/>
      <c r="BT74" s="457"/>
      <c r="BU74" s="457"/>
      <c r="BV74" s="179"/>
      <c r="BW74" s="310">
        <v>1000</v>
      </c>
      <c r="BX74" s="311"/>
      <c r="BY74" s="311"/>
      <c r="BZ74" s="311"/>
      <c r="CA74" s="311"/>
      <c r="CB74" s="405" t="s">
        <v>69</v>
      </c>
      <c r="CC74" s="405"/>
      <c r="CD74" s="411"/>
      <c r="CE74" s="108"/>
      <c r="CF74" s="108"/>
      <c r="CG74" s="108"/>
      <c r="CH74" s="108"/>
      <c r="CI74" s="108"/>
    </row>
    <row r="75" spans="1:110" ht="7.4" customHeight="1" x14ac:dyDescent="0.5">
      <c r="A75" s="42"/>
      <c r="B75" s="61"/>
      <c r="C75" s="400"/>
      <c r="D75" s="400"/>
      <c r="E75" s="400"/>
      <c r="F75" s="400"/>
      <c r="G75" s="400"/>
      <c r="H75" s="400"/>
      <c r="I75" s="400"/>
      <c r="J75" s="400"/>
      <c r="K75" s="400"/>
      <c r="L75" s="400"/>
      <c r="M75" s="400"/>
      <c r="N75" s="461"/>
      <c r="O75" s="462"/>
      <c r="P75" s="462"/>
      <c r="Q75" s="462"/>
      <c r="R75" s="462"/>
      <c r="S75" s="405"/>
      <c r="T75" s="405"/>
      <c r="U75" s="411"/>
      <c r="W75" s="61"/>
      <c r="X75" s="455"/>
      <c r="Y75" s="455"/>
      <c r="Z75" s="455"/>
      <c r="AA75" s="455"/>
      <c r="AB75" s="455"/>
      <c r="AC75" s="455"/>
      <c r="AD75" s="455"/>
      <c r="AE75" s="455"/>
      <c r="AF75" s="455"/>
      <c r="AG75" s="455"/>
      <c r="AH75" s="458"/>
      <c r="AI75" s="452"/>
      <c r="AJ75" s="453"/>
      <c r="AK75" s="453"/>
      <c r="AL75" s="453"/>
      <c r="AM75" s="453"/>
      <c r="AN75" s="453"/>
      <c r="AO75" s="453"/>
      <c r="AP75" s="454"/>
      <c r="AQ75" s="79"/>
      <c r="AR75" s="61"/>
      <c r="AS75" s="400"/>
      <c r="AT75" s="400"/>
      <c r="AU75" s="400"/>
      <c r="AV75" s="400"/>
      <c r="AW75" s="400"/>
      <c r="AX75" s="400"/>
      <c r="AY75" s="400"/>
      <c r="AZ75" s="400"/>
      <c r="BA75" s="400"/>
      <c r="BB75" s="400"/>
      <c r="BC75" s="400"/>
      <c r="BD75" s="400"/>
      <c r="BE75" s="42"/>
      <c r="BF75" s="518"/>
      <c r="BG75" s="518"/>
      <c r="BH75" s="450"/>
      <c r="BI75" s="41"/>
      <c r="BK75" s="61"/>
      <c r="BL75" s="457"/>
      <c r="BM75" s="457"/>
      <c r="BN75" s="457"/>
      <c r="BO75" s="457"/>
      <c r="BP75" s="457"/>
      <c r="BQ75" s="457"/>
      <c r="BR75" s="457"/>
      <c r="BS75" s="457"/>
      <c r="BT75" s="457"/>
      <c r="BU75" s="457"/>
      <c r="BV75" s="179"/>
      <c r="BW75" s="310"/>
      <c r="BX75" s="311"/>
      <c r="BY75" s="311"/>
      <c r="BZ75" s="311"/>
      <c r="CA75" s="311"/>
      <c r="CB75" s="405"/>
      <c r="CC75" s="405"/>
      <c r="CD75" s="411"/>
    </row>
    <row r="76" spans="1:110" ht="7.4" customHeight="1" x14ac:dyDescent="0.5">
      <c r="A76" s="42"/>
      <c r="B76" s="61"/>
      <c r="C76" s="62"/>
      <c r="D76" s="62"/>
      <c r="E76" s="62"/>
      <c r="F76" s="62"/>
      <c r="G76" s="62"/>
      <c r="H76" s="62"/>
      <c r="I76" s="62"/>
      <c r="J76" s="62"/>
      <c r="K76" s="62"/>
      <c r="L76" s="62"/>
      <c r="M76" s="62"/>
      <c r="N76" s="42"/>
      <c r="U76" s="41"/>
      <c r="W76" s="61"/>
      <c r="X76" s="62"/>
      <c r="Y76" s="62"/>
      <c r="Z76" s="62"/>
      <c r="AA76" s="62"/>
      <c r="AB76" s="62"/>
      <c r="AC76" s="62"/>
      <c r="AD76" s="62"/>
      <c r="AE76" s="62"/>
      <c r="AF76" s="62"/>
      <c r="AG76" s="62"/>
      <c r="AH76" s="62"/>
      <c r="AI76" s="50"/>
      <c r="AJ76" s="51"/>
      <c r="AK76" s="51"/>
      <c r="AL76" s="51"/>
      <c r="AM76" s="97"/>
      <c r="AN76" s="97"/>
      <c r="AO76" s="97"/>
      <c r="AP76" s="98"/>
      <c r="AQ76" s="79"/>
      <c r="AR76" s="61"/>
      <c r="AS76" s="400" t="s">
        <v>141</v>
      </c>
      <c r="AT76" s="400"/>
      <c r="AU76" s="400"/>
      <c r="AV76" s="400"/>
      <c r="AW76" s="400"/>
      <c r="AX76" s="400"/>
      <c r="AY76" s="400"/>
      <c r="AZ76" s="400"/>
      <c r="BA76" s="400"/>
      <c r="BB76" s="400"/>
      <c r="BC76" s="400"/>
      <c r="BD76" s="400"/>
      <c r="BE76" s="42"/>
      <c r="BF76" s="518"/>
      <c r="BG76" s="518"/>
      <c r="BH76" s="450"/>
      <c r="BI76" s="41"/>
      <c r="BK76" s="64"/>
      <c r="BL76" s="65"/>
      <c r="BM76" s="65"/>
      <c r="BN76" s="65"/>
      <c r="BO76" s="65"/>
      <c r="BP76" s="65"/>
      <c r="BQ76" s="65"/>
      <c r="BR76" s="65"/>
      <c r="BS76" s="65"/>
      <c r="BT76" s="65"/>
      <c r="BU76" s="65"/>
      <c r="BV76" s="65"/>
      <c r="BW76" s="50"/>
      <c r="BX76" s="51"/>
      <c r="BY76" s="51"/>
      <c r="BZ76" s="51"/>
      <c r="CA76" s="97"/>
      <c r="CB76" s="97"/>
      <c r="CC76" s="97"/>
      <c r="CD76" s="52"/>
    </row>
    <row r="77" spans="1:110" ht="7.4" customHeight="1" x14ac:dyDescent="0.5">
      <c r="A77" s="42"/>
      <c r="B77" s="61"/>
      <c r="C77" s="457" t="s">
        <v>142</v>
      </c>
      <c r="D77" s="457"/>
      <c r="E77" s="457"/>
      <c r="F77" s="457"/>
      <c r="G77" s="457"/>
      <c r="H77" s="457"/>
      <c r="I77" s="457"/>
      <c r="J77" s="457"/>
      <c r="K77" s="457"/>
      <c r="L77" s="457"/>
      <c r="M77" s="214"/>
      <c r="N77" s="38"/>
      <c r="O77" s="39"/>
      <c r="P77" s="39"/>
      <c r="Q77" s="39"/>
      <c r="R77" s="89"/>
      <c r="S77" s="89"/>
      <c r="T77" s="89"/>
      <c r="U77" s="40"/>
      <c r="W77" s="61"/>
      <c r="X77" s="455" t="s">
        <v>94</v>
      </c>
      <c r="Y77" s="455"/>
      <c r="Z77" s="455"/>
      <c r="AA77" s="455"/>
      <c r="AB77" s="455"/>
      <c r="AC77" s="455"/>
      <c r="AD77" s="455"/>
      <c r="AE77" s="455"/>
      <c r="AF77" s="455"/>
      <c r="AG77" s="455"/>
      <c r="AH77" s="455"/>
      <c r="AI77" s="38"/>
      <c r="AJ77" s="39"/>
      <c r="AK77" s="39"/>
      <c r="AL77" s="39"/>
      <c r="AM77" s="89"/>
      <c r="AN77" s="89"/>
      <c r="AO77" s="89"/>
      <c r="AP77" s="176"/>
      <c r="AQ77" s="79"/>
      <c r="AR77" s="61"/>
      <c r="AS77" s="400"/>
      <c r="AT77" s="400"/>
      <c r="AU77" s="400"/>
      <c r="AV77" s="400"/>
      <c r="AW77" s="400"/>
      <c r="AX77" s="400"/>
      <c r="AY77" s="400"/>
      <c r="AZ77" s="400"/>
      <c r="BA77" s="400"/>
      <c r="BB77" s="400"/>
      <c r="BC77" s="400"/>
      <c r="BD77" s="400"/>
      <c r="BE77" s="42"/>
      <c r="BF77" s="518"/>
      <c r="BG77" s="518"/>
      <c r="BH77" s="450"/>
      <c r="BI77" s="41"/>
    </row>
    <row r="78" spans="1:110" ht="7.4" customHeight="1" x14ac:dyDescent="0.5">
      <c r="A78" s="42"/>
      <c r="B78" s="61"/>
      <c r="C78" s="457"/>
      <c r="D78" s="457"/>
      <c r="E78" s="457"/>
      <c r="F78" s="457"/>
      <c r="G78" s="457"/>
      <c r="H78" s="457"/>
      <c r="I78" s="457"/>
      <c r="J78" s="457"/>
      <c r="K78" s="457"/>
      <c r="L78" s="457"/>
      <c r="M78" s="214"/>
      <c r="N78" s="349">
        <v>50</v>
      </c>
      <c r="O78" s="318"/>
      <c r="P78" s="318"/>
      <c r="Q78" s="318"/>
      <c r="R78" s="318"/>
      <c r="S78" s="405" t="s">
        <v>69</v>
      </c>
      <c r="T78" s="405"/>
      <c r="U78" s="411"/>
      <c r="W78" s="61"/>
      <c r="X78" s="455"/>
      <c r="Y78" s="455"/>
      <c r="Z78" s="455"/>
      <c r="AA78" s="455"/>
      <c r="AB78" s="455"/>
      <c r="AC78" s="455"/>
      <c r="AD78" s="455"/>
      <c r="AE78" s="455"/>
      <c r="AF78" s="455"/>
      <c r="AG78" s="455"/>
      <c r="AH78" s="455"/>
      <c r="AI78" s="452" t="s">
        <v>143</v>
      </c>
      <c r="AJ78" s="453"/>
      <c r="AK78" s="453"/>
      <c r="AL78" s="453"/>
      <c r="AM78" s="453"/>
      <c r="AN78" s="453"/>
      <c r="AO78" s="453"/>
      <c r="AP78" s="454"/>
      <c r="AQ78" s="79"/>
      <c r="AR78" s="61"/>
      <c r="AS78" s="62"/>
      <c r="AT78" s="62"/>
      <c r="AU78" s="62"/>
      <c r="AV78" s="62"/>
      <c r="AW78" s="62"/>
      <c r="AX78" s="62"/>
      <c r="AY78" s="62"/>
      <c r="AZ78" s="62"/>
      <c r="BA78" s="62"/>
      <c r="BB78" s="62"/>
      <c r="BC78" s="62"/>
      <c r="BD78" s="62"/>
      <c r="BE78" s="50"/>
      <c r="BF78" s="235"/>
      <c r="BG78" s="235"/>
      <c r="BH78" s="163"/>
      <c r="BI78" s="41"/>
    </row>
    <row r="79" spans="1:110" ht="7.4" customHeight="1" x14ac:dyDescent="0.5">
      <c r="A79" s="42"/>
      <c r="B79" s="61"/>
      <c r="C79" s="457"/>
      <c r="D79" s="457"/>
      <c r="E79" s="457"/>
      <c r="F79" s="457"/>
      <c r="G79" s="457"/>
      <c r="H79" s="457"/>
      <c r="I79" s="457"/>
      <c r="J79" s="457"/>
      <c r="K79" s="457"/>
      <c r="L79" s="457"/>
      <c r="M79" s="214"/>
      <c r="N79" s="349"/>
      <c r="O79" s="318"/>
      <c r="P79" s="318"/>
      <c r="Q79" s="318"/>
      <c r="R79" s="318"/>
      <c r="S79" s="405"/>
      <c r="T79" s="405"/>
      <c r="U79" s="411"/>
      <c r="W79" s="61"/>
      <c r="X79" s="455"/>
      <c r="Y79" s="455"/>
      <c r="Z79" s="455"/>
      <c r="AA79" s="455"/>
      <c r="AB79" s="455"/>
      <c r="AC79" s="455"/>
      <c r="AD79" s="455"/>
      <c r="AE79" s="455"/>
      <c r="AF79" s="455"/>
      <c r="AG79" s="455"/>
      <c r="AH79" s="455"/>
      <c r="AI79" s="452"/>
      <c r="AJ79" s="453"/>
      <c r="AK79" s="453"/>
      <c r="AL79" s="453"/>
      <c r="AM79" s="453"/>
      <c r="AN79" s="453"/>
      <c r="AO79" s="453"/>
      <c r="AP79" s="454"/>
      <c r="AQ79" s="79"/>
      <c r="AR79" s="61"/>
      <c r="AS79" s="62"/>
      <c r="AT79" s="62"/>
      <c r="AU79" s="62"/>
      <c r="AV79" s="62"/>
      <c r="AW79" s="62"/>
      <c r="AX79" s="62"/>
      <c r="AY79" s="62"/>
      <c r="AZ79" s="62"/>
      <c r="BA79" s="62"/>
      <c r="BB79" s="62"/>
      <c r="BC79" s="62"/>
      <c r="BD79" s="63"/>
      <c r="BF79" s="237"/>
      <c r="BG79" s="237"/>
      <c r="BH79" s="236"/>
      <c r="BI79" s="41"/>
      <c r="BK79" s="351">
        <v>1</v>
      </c>
      <c r="BL79" s="352"/>
      <c r="BM79" s="353"/>
      <c r="BN79" s="351">
        <v>2</v>
      </c>
      <c r="BO79" s="352"/>
      <c r="BP79" s="353"/>
      <c r="BQ79" s="351">
        <v>3</v>
      </c>
      <c r="BR79" s="352"/>
      <c r="BS79" s="353"/>
      <c r="BT79" s="351">
        <v>4</v>
      </c>
      <c r="BU79" s="352"/>
      <c r="BV79" s="353"/>
      <c r="BW79" s="351">
        <v>5</v>
      </c>
      <c r="BX79" s="352"/>
      <c r="BY79" s="353"/>
      <c r="BZ79" s="351">
        <v>6</v>
      </c>
      <c r="CA79" s="352"/>
      <c r="CB79" s="353"/>
      <c r="CC79" s="351">
        <v>7</v>
      </c>
      <c r="CD79" s="352"/>
      <c r="CE79" s="353"/>
      <c r="CF79" s="351">
        <v>8</v>
      </c>
      <c r="CG79" s="352"/>
      <c r="CH79" s="353"/>
      <c r="CI79" s="351">
        <v>9</v>
      </c>
      <c r="CJ79" s="352"/>
      <c r="CK79" s="353"/>
      <c r="CL79" s="351">
        <v>10</v>
      </c>
      <c r="CM79" s="352"/>
      <c r="CN79" s="353"/>
      <c r="CO79" s="351">
        <v>11</v>
      </c>
      <c r="CP79" s="352"/>
      <c r="CQ79" s="353"/>
      <c r="CR79" s="351">
        <v>12</v>
      </c>
      <c r="CS79" s="352"/>
      <c r="CT79" s="353"/>
      <c r="CU79" s="351">
        <v>13</v>
      </c>
      <c r="CV79" s="352"/>
      <c r="CW79" s="353"/>
      <c r="CX79" s="351">
        <v>14</v>
      </c>
      <c r="CY79" s="352"/>
      <c r="CZ79" s="353"/>
      <c r="DA79" s="351">
        <v>15</v>
      </c>
      <c r="DB79" s="352"/>
      <c r="DC79" s="353"/>
      <c r="DD79" s="351">
        <v>16</v>
      </c>
      <c r="DE79" s="352"/>
      <c r="DF79" s="353"/>
    </row>
    <row r="80" spans="1:110" ht="7.4" customHeight="1" x14ac:dyDescent="0.5">
      <c r="A80" s="42"/>
      <c r="B80" s="61"/>
      <c r="C80" s="180"/>
      <c r="D80" s="180"/>
      <c r="E80" s="180"/>
      <c r="F80" s="180"/>
      <c r="G80" s="180"/>
      <c r="H80" s="180"/>
      <c r="I80" s="180"/>
      <c r="J80" s="180"/>
      <c r="K80" s="180"/>
      <c r="L80" s="180"/>
      <c r="M80" s="180"/>
      <c r="N80" s="42"/>
      <c r="O80" s="25"/>
      <c r="P80" s="25"/>
      <c r="Q80" s="25"/>
      <c r="R80" s="25"/>
      <c r="S80" s="25"/>
      <c r="T80" s="25"/>
      <c r="U80" s="44"/>
      <c r="W80" s="61"/>
      <c r="X80" s="62"/>
      <c r="Y80" s="62"/>
      <c r="Z80" s="62"/>
      <c r="AA80" s="62"/>
      <c r="AB80" s="62"/>
      <c r="AC80" s="62"/>
      <c r="AD80" s="62"/>
      <c r="AE80" s="62"/>
      <c r="AF80" s="62"/>
      <c r="AG80" s="62"/>
      <c r="AH80" s="62"/>
      <c r="AI80" s="50"/>
      <c r="AJ80" s="51"/>
      <c r="AK80" s="51"/>
      <c r="AL80" s="51"/>
      <c r="AM80" s="97"/>
      <c r="AN80" s="97"/>
      <c r="AO80" s="97"/>
      <c r="AP80" s="98"/>
      <c r="AQ80" s="79"/>
      <c r="AR80" s="61"/>
      <c r="AS80" s="400" t="s">
        <v>93</v>
      </c>
      <c r="AT80" s="400"/>
      <c r="AU80" s="400"/>
      <c r="AV80" s="400"/>
      <c r="AW80" s="400"/>
      <c r="AX80" s="400"/>
      <c r="AY80" s="400"/>
      <c r="AZ80" s="400"/>
      <c r="BA80" s="400"/>
      <c r="BB80" s="400"/>
      <c r="BC80" s="400"/>
      <c r="BD80" s="448"/>
      <c r="BF80" s="518">
        <v>0.04</v>
      </c>
      <c r="BG80" s="518"/>
      <c r="BH80" s="450"/>
      <c r="BI80" s="41"/>
      <c r="BK80" s="354"/>
      <c r="BL80" s="355"/>
      <c r="BM80" s="356"/>
      <c r="BN80" s="354"/>
      <c r="BO80" s="355"/>
      <c r="BP80" s="356"/>
      <c r="BQ80" s="354"/>
      <c r="BR80" s="355"/>
      <c r="BS80" s="356"/>
      <c r="BT80" s="354"/>
      <c r="BU80" s="355"/>
      <c r="BV80" s="356"/>
      <c r="BW80" s="354"/>
      <c r="BX80" s="355"/>
      <c r="BY80" s="356"/>
      <c r="BZ80" s="354"/>
      <c r="CA80" s="355"/>
      <c r="CB80" s="356"/>
      <c r="CC80" s="354"/>
      <c r="CD80" s="355"/>
      <c r="CE80" s="356"/>
      <c r="CF80" s="354"/>
      <c r="CG80" s="355"/>
      <c r="CH80" s="356"/>
      <c r="CI80" s="354"/>
      <c r="CJ80" s="355"/>
      <c r="CK80" s="356"/>
      <c r="CL80" s="354"/>
      <c r="CM80" s="355"/>
      <c r="CN80" s="356"/>
      <c r="CO80" s="354"/>
      <c r="CP80" s="355"/>
      <c r="CQ80" s="356"/>
      <c r="CR80" s="354"/>
      <c r="CS80" s="355"/>
      <c r="CT80" s="356"/>
      <c r="CU80" s="354"/>
      <c r="CV80" s="355"/>
      <c r="CW80" s="356"/>
      <c r="CX80" s="354"/>
      <c r="CY80" s="355"/>
      <c r="CZ80" s="356"/>
      <c r="DA80" s="354"/>
      <c r="DB80" s="355"/>
      <c r="DC80" s="356"/>
      <c r="DD80" s="354"/>
      <c r="DE80" s="355"/>
      <c r="DF80" s="356"/>
    </row>
    <row r="81" spans="1:126" ht="7.4" customHeight="1" x14ac:dyDescent="0.5">
      <c r="A81" s="42"/>
      <c r="B81" s="61"/>
      <c r="C81" s="457" t="s">
        <v>144</v>
      </c>
      <c r="D81" s="457"/>
      <c r="E81" s="457"/>
      <c r="F81" s="457"/>
      <c r="G81" s="457"/>
      <c r="H81" s="457"/>
      <c r="I81" s="457"/>
      <c r="J81" s="457"/>
      <c r="K81" s="457"/>
      <c r="L81" s="457"/>
      <c r="M81" s="214"/>
      <c r="N81" s="38"/>
      <c r="O81" s="39"/>
      <c r="P81" s="39"/>
      <c r="Q81" s="39"/>
      <c r="R81" s="89"/>
      <c r="S81" s="89"/>
      <c r="T81" s="89"/>
      <c r="U81" s="40"/>
      <c r="W81" s="61"/>
      <c r="X81" s="180"/>
      <c r="Y81" s="180"/>
      <c r="Z81" s="180"/>
      <c r="AA81" s="180"/>
      <c r="AB81" s="180"/>
      <c r="AC81" s="180"/>
      <c r="AD81" s="180"/>
      <c r="AE81" s="180"/>
      <c r="AF81" s="180"/>
      <c r="AG81" s="180"/>
      <c r="AH81" s="215"/>
      <c r="AI81" s="38"/>
      <c r="AJ81" s="39"/>
      <c r="AK81" s="39"/>
      <c r="AL81" s="39"/>
      <c r="AM81" s="89"/>
      <c r="AN81" s="89"/>
      <c r="AO81" s="89"/>
      <c r="AP81" s="176"/>
      <c r="AQ81" s="79"/>
      <c r="AR81" s="61"/>
      <c r="AS81" s="400"/>
      <c r="AT81" s="400"/>
      <c r="AU81" s="400"/>
      <c r="AV81" s="400"/>
      <c r="AW81" s="400"/>
      <c r="AX81" s="400"/>
      <c r="AY81" s="400"/>
      <c r="AZ81" s="400"/>
      <c r="BA81" s="400"/>
      <c r="BB81" s="400"/>
      <c r="BC81" s="400"/>
      <c r="BD81" s="448"/>
      <c r="BF81" s="518"/>
      <c r="BG81" s="518"/>
      <c r="BH81" s="450"/>
      <c r="BI81" s="41"/>
      <c r="BK81" s="445" cm="1">
        <f t="array" ref="BK81">IF(M54&gt;0,MIN(IF($DY$110:$ME$110*1000&gt;=BK87,$DY$110:$ME$110*1000)),0)/1000</f>
        <v>29.25</v>
      </c>
      <c r="BL81" s="446"/>
      <c r="BM81" s="447"/>
      <c r="BN81" s="445" cm="1">
        <f t="array" ref="BN81">IF(P54&gt;0,MIN(IF($DY$110:$ME$110*1000&gt;=BN87,$DY$110:$ME$110*1000)),0)/1000</f>
        <v>0</v>
      </c>
      <c r="BO81" s="446"/>
      <c r="BP81" s="447"/>
      <c r="BQ81" s="445" cm="1">
        <f t="array" ref="BQ81">IF(S54&gt;0,MIN(IF($DY$110:$ME$110*1000&gt;=BQ87,$DY$110:$ME$110*1000)),0)/1000</f>
        <v>0</v>
      </c>
      <c r="BR81" s="446"/>
      <c r="BS81" s="447"/>
      <c r="BT81" s="445" cm="1">
        <f t="array" ref="BT81">IF(V54&gt;0,MIN(IF($DY$110:$ME$110*1000&gt;=BT87,$DY$110:$ME$110*1000)),0)/1000</f>
        <v>0</v>
      </c>
      <c r="BU81" s="446"/>
      <c r="BV81" s="447"/>
      <c r="BW81" s="445" cm="1">
        <f t="array" ref="BW81">IF(Y54&gt;0,MIN(IF($DY$110:$ME$110*1000&gt;=BW87,$DY$110:$ME$110*1000)),0)/1000</f>
        <v>0</v>
      </c>
      <c r="BX81" s="446"/>
      <c r="BY81" s="447"/>
      <c r="BZ81" s="445" cm="1">
        <f t="array" ref="BZ81">IF(AB54&gt;0,MIN(IF($DY$110:$ME$110*1000&gt;=BZ87,$DY$110:$ME$110*1000)),0)/1000</f>
        <v>0</v>
      </c>
      <c r="CA81" s="446"/>
      <c r="CB81" s="447"/>
      <c r="CC81" s="445" cm="1">
        <f t="array" ref="CC81">IF(AE54&gt;0,MIN(IF($DY$110:$ME$110*1000&gt;=CC87,$DY$110:$ME$110*1000)),0)/1000</f>
        <v>0</v>
      </c>
      <c r="CD81" s="446"/>
      <c r="CE81" s="447"/>
      <c r="CF81" s="445" cm="1">
        <f t="array" ref="CF81">IF(AH54&gt;0,MIN(IF($DY$110:$ME$110*1000&gt;=CF87,$DY$110:$ME$110*1000)),0)/1000</f>
        <v>0</v>
      </c>
      <c r="CG81" s="446"/>
      <c r="CH81" s="447"/>
      <c r="CI81" s="445" cm="1">
        <f t="array" ref="CI81">IF(AK54&gt;0,MIN(IF($DY$110:$ME$110*1000&gt;=CI87,$DY$110:$ME$110*1000)),0)/1000</f>
        <v>0</v>
      </c>
      <c r="CJ81" s="446"/>
      <c r="CK81" s="447"/>
      <c r="CL81" s="445" cm="1">
        <f t="array" ref="CL81">IF(AN54&gt;0,MIN(IF($DY$110:$ME$110*1000&gt;=CL87,$DY$110:$ME$110*1000)),0)/1000</f>
        <v>0</v>
      </c>
      <c r="CM81" s="446"/>
      <c r="CN81" s="447"/>
      <c r="CO81" s="445" cm="1">
        <f t="array" ref="CO81">IF(AQ54&gt;0,MIN(IF($DY$110:$ME$110*1000&gt;=CO87,$DY$110:$ME$110*1000)),0)/1000</f>
        <v>0</v>
      </c>
      <c r="CP81" s="446"/>
      <c r="CQ81" s="447"/>
      <c r="CR81" s="445" cm="1">
        <f t="array" ref="CR81">IF(AT54&gt;0,MIN(IF($DY$110:$ME$110*1000&gt;=CR87,$DY$110:$ME$110*1000)),0)/1000</f>
        <v>0</v>
      </c>
      <c r="CS81" s="446"/>
      <c r="CT81" s="447"/>
      <c r="CU81" s="445" cm="1">
        <f t="array" ref="CU81">IF(AW54&gt;0,MIN(IF($DY$110:$ME$110*1000&gt;=CU87,$DY$110:$ME$110*1000)),0)/1000</f>
        <v>0</v>
      </c>
      <c r="CV81" s="446"/>
      <c r="CW81" s="447"/>
      <c r="CX81" s="445" cm="1">
        <f t="array" ref="CX81">IF(AZ54&gt;0,MIN(IF($DY$110:$ME$110*1000&gt;=CX87,$DY$110:$ME$110*1000)),0)/1000</f>
        <v>0</v>
      </c>
      <c r="CY81" s="446"/>
      <c r="CZ81" s="447"/>
      <c r="DA81" s="445" cm="1">
        <f t="array" ref="DA81">IF(BC54&gt;0,MIN(IF($DY$110:$ME$110*1000&gt;=DA87,$DY$110:$ME$110*1000)),0)/1000</f>
        <v>0</v>
      </c>
      <c r="DB81" s="446"/>
      <c r="DC81" s="447"/>
      <c r="DD81" s="445" cm="1">
        <f t="array" ref="DD81">IF(BF54&gt;0,MIN(IF($DY$110:$ME$110*1000&gt;=DD87,$DY$110:$ME$110*1000)),0)/1000</f>
        <v>0</v>
      </c>
      <c r="DE81" s="446"/>
      <c r="DF81" s="447"/>
      <c r="DG81" s="38"/>
      <c r="DH81" s="380" t="s">
        <v>100</v>
      </c>
      <c r="DI81" s="380"/>
      <c r="DJ81" s="380"/>
      <c r="DK81" s="380"/>
      <c r="DL81" s="380"/>
      <c r="DM81" s="380"/>
      <c r="DN81" s="380"/>
      <c r="DO81" s="380"/>
      <c r="DP81" s="380"/>
      <c r="DQ81" s="380"/>
      <c r="DR81" s="380"/>
      <c r="DS81" s="380"/>
      <c r="DT81" s="380"/>
      <c r="DU81" s="380"/>
      <c r="DV81" s="40"/>
    </row>
    <row r="82" spans="1:126" ht="7.4" customHeight="1" x14ac:dyDescent="0.5">
      <c r="A82" s="42"/>
      <c r="B82" s="61"/>
      <c r="C82" s="457"/>
      <c r="D82" s="457"/>
      <c r="E82" s="457"/>
      <c r="F82" s="457"/>
      <c r="G82" s="457"/>
      <c r="H82" s="457"/>
      <c r="I82" s="457"/>
      <c r="J82" s="457"/>
      <c r="K82" s="457"/>
      <c r="L82" s="457"/>
      <c r="M82" s="214"/>
      <c r="N82" s="349">
        <v>250</v>
      </c>
      <c r="O82" s="318"/>
      <c r="P82" s="318"/>
      <c r="Q82" s="318"/>
      <c r="R82" s="318"/>
      <c r="S82" s="405" t="s">
        <v>69</v>
      </c>
      <c r="T82" s="405"/>
      <c r="U82" s="411"/>
      <c r="W82" s="61"/>
      <c r="X82" s="400" t="s">
        <v>145</v>
      </c>
      <c r="Y82" s="400"/>
      <c r="Z82" s="400"/>
      <c r="AA82" s="400"/>
      <c r="AB82" s="400"/>
      <c r="AC82" s="400"/>
      <c r="AD82" s="400"/>
      <c r="AE82" s="400"/>
      <c r="AF82" s="400"/>
      <c r="AG82" s="400"/>
      <c r="AH82" s="448"/>
      <c r="AI82" s="452" t="s">
        <v>42</v>
      </c>
      <c r="AJ82" s="453"/>
      <c r="AK82" s="453"/>
      <c r="AL82" s="453"/>
      <c r="AM82" s="453"/>
      <c r="AN82" s="453"/>
      <c r="AO82" s="453"/>
      <c r="AP82" s="454"/>
      <c r="AQ82" s="79"/>
      <c r="AR82" s="61"/>
      <c r="AS82" s="62"/>
      <c r="AT82" s="62"/>
      <c r="AU82" s="62"/>
      <c r="AV82" s="62"/>
      <c r="AW82" s="62"/>
      <c r="AX82" s="62"/>
      <c r="AY82" s="62"/>
      <c r="AZ82" s="62"/>
      <c r="BA82" s="62"/>
      <c r="BB82" s="62"/>
      <c r="BC82" s="62"/>
      <c r="BD82" s="63"/>
      <c r="BE82" s="51"/>
      <c r="BF82" s="235"/>
      <c r="BG82" s="235"/>
      <c r="BH82" s="163"/>
      <c r="BI82" s="41"/>
      <c r="BK82" s="357"/>
      <c r="BL82" s="358"/>
      <c r="BM82" s="359"/>
      <c r="BN82" s="357"/>
      <c r="BO82" s="358"/>
      <c r="BP82" s="359"/>
      <c r="BQ82" s="357"/>
      <c r="BR82" s="358"/>
      <c r="BS82" s="359"/>
      <c r="BT82" s="357"/>
      <c r="BU82" s="358"/>
      <c r="BV82" s="359"/>
      <c r="BW82" s="357"/>
      <c r="BX82" s="358"/>
      <c r="BY82" s="359"/>
      <c r="BZ82" s="357"/>
      <c r="CA82" s="358"/>
      <c r="CB82" s="359"/>
      <c r="CC82" s="357"/>
      <c r="CD82" s="358"/>
      <c r="CE82" s="359"/>
      <c r="CF82" s="357"/>
      <c r="CG82" s="358"/>
      <c r="CH82" s="359"/>
      <c r="CI82" s="357"/>
      <c r="CJ82" s="358"/>
      <c r="CK82" s="359"/>
      <c r="CL82" s="357"/>
      <c r="CM82" s="358"/>
      <c r="CN82" s="359"/>
      <c r="CO82" s="357"/>
      <c r="CP82" s="358"/>
      <c r="CQ82" s="359"/>
      <c r="CR82" s="357"/>
      <c r="CS82" s="358"/>
      <c r="CT82" s="359"/>
      <c r="CU82" s="357"/>
      <c r="CV82" s="358"/>
      <c r="CW82" s="359"/>
      <c r="CX82" s="357"/>
      <c r="CY82" s="358"/>
      <c r="CZ82" s="359"/>
      <c r="DA82" s="357"/>
      <c r="DB82" s="358"/>
      <c r="DC82" s="359"/>
      <c r="DD82" s="357"/>
      <c r="DE82" s="358"/>
      <c r="DF82" s="359"/>
      <c r="DG82" s="42"/>
      <c r="DH82" s="382"/>
      <c r="DI82" s="382"/>
      <c r="DJ82" s="382"/>
      <c r="DK82" s="382"/>
      <c r="DL82" s="382"/>
      <c r="DM82" s="382"/>
      <c r="DN82" s="382"/>
      <c r="DO82" s="382"/>
      <c r="DP82" s="382"/>
      <c r="DQ82" s="382"/>
      <c r="DR82" s="382"/>
      <c r="DS82" s="382"/>
      <c r="DT82" s="382"/>
      <c r="DU82" s="382"/>
      <c r="DV82" s="41"/>
    </row>
    <row r="83" spans="1:126" ht="7.4" customHeight="1" x14ac:dyDescent="0.5">
      <c r="A83" s="42"/>
      <c r="B83" s="61"/>
      <c r="C83" s="457"/>
      <c r="D83" s="457"/>
      <c r="E83" s="457"/>
      <c r="F83" s="457"/>
      <c r="G83" s="457"/>
      <c r="H83" s="457"/>
      <c r="I83" s="457"/>
      <c r="J83" s="457"/>
      <c r="K83" s="457"/>
      <c r="L83" s="457"/>
      <c r="M83" s="214"/>
      <c r="N83" s="349"/>
      <c r="O83" s="318"/>
      <c r="P83" s="318"/>
      <c r="Q83" s="318"/>
      <c r="R83" s="318"/>
      <c r="S83" s="405"/>
      <c r="T83" s="405"/>
      <c r="U83" s="411"/>
      <c r="W83" s="61"/>
      <c r="X83" s="400"/>
      <c r="Y83" s="400"/>
      <c r="Z83" s="400"/>
      <c r="AA83" s="400"/>
      <c r="AB83" s="400"/>
      <c r="AC83" s="400"/>
      <c r="AD83" s="400"/>
      <c r="AE83" s="400"/>
      <c r="AF83" s="400"/>
      <c r="AG83" s="400"/>
      <c r="AH83" s="448"/>
      <c r="AI83" s="452"/>
      <c r="AJ83" s="453"/>
      <c r="AK83" s="453"/>
      <c r="AL83" s="453"/>
      <c r="AM83" s="453"/>
      <c r="AN83" s="453"/>
      <c r="AO83" s="453"/>
      <c r="AP83" s="454"/>
      <c r="AR83" s="61"/>
      <c r="AS83" s="62"/>
      <c r="AT83" s="62"/>
      <c r="AU83" s="62"/>
      <c r="AV83" s="62"/>
      <c r="AW83" s="62"/>
      <c r="AX83" s="62"/>
      <c r="AY83" s="62"/>
      <c r="AZ83" s="62"/>
      <c r="BA83" s="62"/>
      <c r="BB83" s="62"/>
      <c r="BC83" s="62"/>
      <c r="BD83" s="63"/>
      <c r="BE83" s="39"/>
      <c r="BF83" s="234"/>
      <c r="BG83" s="234"/>
      <c r="BH83" s="169"/>
      <c r="BI83" s="41"/>
      <c r="BK83" s="440">
        <f>IF(M54&gt;0,HLOOKUP(BK81,$DY$110:$ME$112,2),0)</f>
        <v>0</v>
      </c>
      <c r="BL83" s="441"/>
      <c r="BM83" s="442"/>
      <c r="BN83" s="440">
        <f>IF(P54&gt;0,HLOOKUP(BN81,$DY$110:$ME$112,2),0)</f>
        <v>0</v>
      </c>
      <c r="BO83" s="441"/>
      <c r="BP83" s="442"/>
      <c r="BQ83" s="440">
        <f>IF(S54&gt;0,HLOOKUP(BQ81,$DY$110:$ME$112,2),0)</f>
        <v>0</v>
      </c>
      <c r="BR83" s="441"/>
      <c r="BS83" s="442"/>
      <c r="BT83" s="440">
        <f>IF(V54&gt;0,HLOOKUP(BT81,$DY$110:$ME$112,2),0)</f>
        <v>0</v>
      </c>
      <c r="BU83" s="441"/>
      <c r="BV83" s="442"/>
      <c r="BW83" s="440">
        <f>IF(Y54&gt;0,HLOOKUP(BW81,$DY$110:$ME$112,2),0)</f>
        <v>0</v>
      </c>
      <c r="BX83" s="441"/>
      <c r="BY83" s="442"/>
      <c r="BZ83" s="440">
        <f>IF(AB54&gt;0,HLOOKUP(BZ81,$DY$110:$ME$112,2),0)</f>
        <v>0</v>
      </c>
      <c r="CA83" s="441"/>
      <c r="CB83" s="442"/>
      <c r="CC83" s="440">
        <f>IF(AE54&gt;0,HLOOKUP(CC81,$DY$110:$ME$112,2),0)</f>
        <v>0</v>
      </c>
      <c r="CD83" s="441"/>
      <c r="CE83" s="442"/>
      <c r="CF83" s="440">
        <f>IF(AH54&gt;0,HLOOKUP(CF81,$DY$110:$ME$112,2),0)</f>
        <v>0</v>
      </c>
      <c r="CG83" s="441"/>
      <c r="CH83" s="442"/>
      <c r="CI83" s="440">
        <f>IF(AK54&gt;0,HLOOKUP(CI81,$DY$110:$ME$112,2),0)</f>
        <v>0</v>
      </c>
      <c r="CJ83" s="441"/>
      <c r="CK83" s="442"/>
      <c r="CL83" s="440">
        <f>IF(AN54&gt;0,HLOOKUP(CL81,$DY$110:$ME$112,2),0)</f>
        <v>0</v>
      </c>
      <c r="CM83" s="441"/>
      <c r="CN83" s="442"/>
      <c r="CO83" s="440">
        <f>IF(AQ54&gt;0,HLOOKUP(CO81,$DY$110:$ME$112,2),0)</f>
        <v>0</v>
      </c>
      <c r="CP83" s="441"/>
      <c r="CQ83" s="442"/>
      <c r="CR83" s="440">
        <f>IF(AT54&gt;0,HLOOKUP(CR81,$DY$110:$ME$112,2),0)</f>
        <v>0</v>
      </c>
      <c r="CS83" s="441"/>
      <c r="CT83" s="442"/>
      <c r="CU83" s="440">
        <f>IF(AW54&gt;0,HLOOKUP(CU81,$DY$110:$ME$112,2),0)</f>
        <v>0</v>
      </c>
      <c r="CV83" s="441"/>
      <c r="CW83" s="442"/>
      <c r="CX83" s="440">
        <f>IF(AZ54&gt;0,HLOOKUP(CX81,$DY$110:$ME$112,2),0)</f>
        <v>0</v>
      </c>
      <c r="CY83" s="441"/>
      <c r="CZ83" s="442"/>
      <c r="DA83" s="440">
        <f>IF(BC54&gt;0,HLOOKUP(DA81,$DY$110:$ME$112,2),0)</f>
        <v>0</v>
      </c>
      <c r="DB83" s="441"/>
      <c r="DC83" s="442"/>
      <c r="DD83" s="440">
        <f>IF(BF54&gt;0,HLOOKUP(DD81,$DY$110:$ME$112,2),0)</f>
        <v>0</v>
      </c>
      <c r="DE83" s="441"/>
      <c r="DF83" s="442"/>
      <c r="DG83" s="42"/>
      <c r="DH83" s="443">
        <f>DX111</f>
        <v>4.7</v>
      </c>
      <c r="DI83" s="443"/>
      <c r="DJ83" s="444" t="s">
        <v>101</v>
      </c>
      <c r="DK83" s="444"/>
      <c r="DL83" s="444"/>
      <c r="DM83" s="444"/>
      <c r="DN83" s="444"/>
      <c r="DO83" s="444"/>
      <c r="DP83" s="444"/>
      <c r="DQ83" s="444"/>
      <c r="DR83" s="444"/>
      <c r="DS83" s="444"/>
      <c r="DV83" s="41"/>
    </row>
    <row r="84" spans="1:126" ht="7.4" customHeight="1" x14ac:dyDescent="0.5">
      <c r="A84" s="42"/>
      <c r="B84" s="64"/>
      <c r="C84" s="65"/>
      <c r="D84" s="65"/>
      <c r="E84" s="65"/>
      <c r="F84" s="65"/>
      <c r="G84" s="65"/>
      <c r="H84" s="65"/>
      <c r="I84" s="65"/>
      <c r="J84" s="65"/>
      <c r="K84" s="65"/>
      <c r="L84" s="65"/>
      <c r="M84" s="66"/>
      <c r="N84" s="50"/>
      <c r="O84" s="51"/>
      <c r="P84" s="51"/>
      <c r="Q84" s="51"/>
      <c r="R84" s="97"/>
      <c r="S84" s="97"/>
      <c r="T84" s="97"/>
      <c r="U84" s="98"/>
      <c r="W84" s="61"/>
      <c r="X84" s="216"/>
      <c r="Y84" s="216"/>
      <c r="Z84" s="216"/>
      <c r="AA84" s="216"/>
      <c r="AB84" s="216"/>
      <c r="AC84" s="216"/>
      <c r="AD84" s="216"/>
      <c r="AE84" s="216"/>
      <c r="AF84" s="216"/>
      <c r="AG84" s="216"/>
      <c r="AH84" s="217"/>
      <c r="AI84" s="50"/>
      <c r="AJ84" s="51"/>
      <c r="AK84" s="51"/>
      <c r="AL84" s="51"/>
      <c r="AM84" s="97"/>
      <c r="AN84" s="97"/>
      <c r="AO84" s="97"/>
      <c r="AP84" s="98"/>
      <c r="AQ84" s="79"/>
      <c r="AR84" s="61"/>
      <c r="AS84" s="400" t="s">
        <v>97</v>
      </c>
      <c r="AT84" s="400"/>
      <c r="AU84" s="400"/>
      <c r="AV84" s="400"/>
      <c r="AW84" s="400"/>
      <c r="AX84" s="400"/>
      <c r="AY84" s="400"/>
      <c r="AZ84" s="400"/>
      <c r="BA84" s="400"/>
      <c r="BB84" s="400"/>
      <c r="BC84" s="400"/>
      <c r="BD84" s="448"/>
      <c r="BF84" s="518">
        <v>0.03</v>
      </c>
      <c r="BG84" s="518"/>
      <c r="BH84" s="450"/>
      <c r="BI84" s="41"/>
      <c r="BK84" s="440"/>
      <c r="BL84" s="441"/>
      <c r="BM84" s="442"/>
      <c r="BN84" s="440"/>
      <c r="BO84" s="441"/>
      <c r="BP84" s="442"/>
      <c r="BQ84" s="440"/>
      <c r="BR84" s="441"/>
      <c r="BS84" s="442"/>
      <c r="BT84" s="440"/>
      <c r="BU84" s="441"/>
      <c r="BV84" s="442"/>
      <c r="BW84" s="440"/>
      <c r="BX84" s="441"/>
      <c r="BY84" s="442"/>
      <c r="BZ84" s="440"/>
      <c r="CA84" s="441"/>
      <c r="CB84" s="442"/>
      <c r="CC84" s="440"/>
      <c r="CD84" s="441"/>
      <c r="CE84" s="442"/>
      <c r="CF84" s="440"/>
      <c r="CG84" s="441"/>
      <c r="CH84" s="442"/>
      <c r="CI84" s="440"/>
      <c r="CJ84" s="441"/>
      <c r="CK84" s="442"/>
      <c r="CL84" s="440"/>
      <c r="CM84" s="441"/>
      <c r="CN84" s="442"/>
      <c r="CO84" s="440"/>
      <c r="CP84" s="441"/>
      <c r="CQ84" s="442"/>
      <c r="CR84" s="440"/>
      <c r="CS84" s="441"/>
      <c r="CT84" s="442"/>
      <c r="CU84" s="440"/>
      <c r="CV84" s="441"/>
      <c r="CW84" s="442"/>
      <c r="CX84" s="440"/>
      <c r="CY84" s="441"/>
      <c r="CZ84" s="442"/>
      <c r="DA84" s="440"/>
      <c r="DB84" s="441"/>
      <c r="DC84" s="442"/>
      <c r="DD84" s="440"/>
      <c r="DE84" s="441"/>
      <c r="DF84" s="442"/>
      <c r="DG84" s="42"/>
      <c r="DH84" s="443"/>
      <c r="DI84" s="443"/>
      <c r="DJ84" s="444"/>
      <c r="DK84" s="444"/>
      <c r="DL84" s="444"/>
      <c r="DM84" s="444"/>
      <c r="DN84" s="444"/>
      <c r="DO84" s="444"/>
      <c r="DP84" s="444"/>
      <c r="DQ84" s="444"/>
      <c r="DR84" s="444"/>
      <c r="DS84" s="444"/>
      <c r="DV84" s="41"/>
    </row>
    <row r="85" spans="1:126" ht="7.4" customHeight="1" x14ac:dyDescent="0.5">
      <c r="A85" s="42"/>
      <c r="B85" s="230"/>
      <c r="C85" s="230"/>
      <c r="D85" s="230"/>
      <c r="E85" s="230"/>
      <c r="F85" s="230"/>
      <c r="G85" s="230"/>
      <c r="H85" s="230"/>
      <c r="I85" s="230"/>
      <c r="J85" s="230"/>
      <c r="K85" s="230"/>
      <c r="L85" s="230"/>
      <c r="M85" s="230"/>
      <c r="N85" s="230"/>
      <c r="O85" s="230"/>
      <c r="P85" s="230"/>
      <c r="Q85" s="230"/>
      <c r="R85" s="230"/>
      <c r="S85" s="230"/>
      <c r="T85" s="230"/>
      <c r="U85" s="230"/>
      <c r="W85" s="61"/>
      <c r="X85" s="180"/>
      <c r="Y85" s="180"/>
      <c r="Z85" s="180"/>
      <c r="AA85" s="180"/>
      <c r="AB85" s="180"/>
      <c r="AC85" s="180"/>
      <c r="AD85" s="180"/>
      <c r="AE85" s="180"/>
      <c r="AF85" s="180"/>
      <c r="AG85" s="180"/>
      <c r="AH85" s="215"/>
      <c r="AI85" s="39"/>
      <c r="AJ85" s="39"/>
      <c r="AK85" s="39"/>
      <c r="AL85" s="39"/>
      <c r="AM85" s="89"/>
      <c r="AN85" s="89"/>
      <c r="AO85" s="89"/>
      <c r="AP85" s="176"/>
      <c r="AQ85" s="79"/>
      <c r="AR85" s="61"/>
      <c r="AS85" s="400"/>
      <c r="AT85" s="400"/>
      <c r="AU85" s="400"/>
      <c r="AV85" s="400"/>
      <c r="AW85" s="400"/>
      <c r="AX85" s="400"/>
      <c r="AY85" s="400"/>
      <c r="AZ85" s="400"/>
      <c r="BA85" s="400"/>
      <c r="BB85" s="400"/>
      <c r="BC85" s="400"/>
      <c r="BD85" s="448"/>
      <c r="BF85" s="518"/>
      <c r="BG85" s="518"/>
      <c r="BH85" s="450"/>
      <c r="BI85" s="41"/>
      <c r="BK85" s="440">
        <f>IF(M54&gt;0,HLOOKUP(BK81,$DY$110:$ME$112,3),0)</f>
        <v>5</v>
      </c>
      <c r="BL85" s="441"/>
      <c r="BM85" s="442"/>
      <c r="BN85" s="440">
        <f>IF(P54&gt;0,HLOOKUP(BN81,$DY$110:$ME$112,3),0)</f>
        <v>0</v>
      </c>
      <c r="BO85" s="441"/>
      <c r="BP85" s="442"/>
      <c r="BQ85" s="440">
        <f>IF(S54&gt;0,HLOOKUP(BQ81,$DY$110:$ME$112,3),0)</f>
        <v>0</v>
      </c>
      <c r="BR85" s="441"/>
      <c r="BS85" s="442"/>
      <c r="BT85" s="440">
        <f>IF(V54&gt;0,HLOOKUP(BT81,$DY$110:$ME$112,3),0)</f>
        <v>0</v>
      </c>
      <c r="BU85" s="441"/>
      <c r="BV85" s="442"/>
      <c r="BW85" s="440">
        <f>IF(Y54&gt;0,HLOOKUP(BW81,$DY$110:$ME$112,3),0)</f>
        <v>0</v>
      </c>
      <c r="BX85" s="441"/>
      <c r="BY85" s="442"/>
      <c r="BZ85" s="440">
        <f>IF(AB54&gt;0,HLOOKUP(BZ81,$DY$110:$ME$112,3),0)</f>
        <v>0</v>
      </c>
      <c r="CA85" s="441"/>
      <c r="CB85" s="442"/>
      <c r="CC85" s="440">
        <f>IF(AE54&gt;0,HLOOKUP(CC81,$DY$110:$ME$112,3),0)</f>
        <v>0</v>
      </c>
      <c r="CD85" s="441"/>
      <c r="CE85" s="442"/>
      <c r="CF85" s="440">
        <f>IF(AH54&gt;0,HLOOKUP(CF81,$DY$110:$ME$112,3),0)</f>
        <v>0</v>
      </c>
      <c r="CG85" s="441"/>
      <c r="CH85" s="442"/>
      <c r="CI85" s="440">
        <f>IF(AK54&gt;0,HLOOKUP(CI81,$DY$110:$ME$112,3),0)</f>
        <v>0</v>
      </c>
      <c r="CJ85" s="441"/>
      <c r="CK85" s="442"/>
      <c r="CL85" s="440">
        <f>IF(AN54&gt;0,HLOOKUP(CL81,$DY$110:$ME$112,3),0)</f>
        <v>0</v>
      </c>
      <c r="CM85" s="441"/>
      <c r="CN85" s="442"/>
      <c r="CO85" s="440">
        <f>IF(AQ54&gt;0,HLOOKUP(CO81,$DY$110:$ME$112,3),0)</f>
        <v>0</v>
      </c>
      <c r="CP85" s="441"/>
      <c r="CQ85" s="442"/>
      <c r="CR85" s="440">
        <f>IF(AT54&gt;0,HLOOKUP(CR81,$DY$110:$ME$112,3),0)</f>
        <v>0</v>
      </c>
      <c r="CS85" s="441"/>
      <c r="CT85" s="442"/>
      <c r="CU85" s="440">
        <f>IF(AW54&gt;0,HLOOKUP(CU81,$DY$110:$ME$112,3),0)</f>
        <v>0</v>
      </c>
      <c r="CV85" s="441"/>
      <c r="CW85" s="442"/>
      <c r="CX85" s="440">
        <f>IF(AZ54&gt;0,HLOOKUP(CX81,$DY$110:$ME$112,3),0)</f>
        <v>0</v>
      </c>
      <c r="CY85" s="441"/>
      <c r="CZ85" s="442"/>
      <c r="DA85" s="440">
        <f>IF(BC54&gt;0,HLOOKUP(DA81,$DY$110:$ME$112,3),0)</f>
        <v>0</v>
      </c>
      <c r="DB85" s="441"/>
      <c r="DC85" s="442"/>
      <c r="DD85" s="440">
        <f>IF(BF54&gt;0,HLOOKUP(DD81,$DY$110:$ME$112,3),0)</f>
        <v>0</v>
      </c>
      <c r="DE85" s="441"/>
      <c r="DF85" s="442"/>
      <c r="DG85" s="42"/>
      <c r="DH85" s="443">
        <f>DX112</f>
        <v>5.85</v>
      </c>
      <c r="DI85" s="443"/>
      <c r="DJ85" s="444" t="s">
        <v>101</v>
      </c>
      <c r="DK85" s="444"/>
      <c r="DL85" s="444"/>
      <c r="DM85" s="444"/>
      <c r="DN85" s="444"/>
      <c r="DO85" s="444"/>
      <c r="DP85" s="444"/>
      <c r="DQ85" s="444"/>
      <c r="DR85" s="444"/>
      <c r="DS85" s="444"/>
      <c r="DV85" s="41"/>
    </row>
    <row r="86" spans="1:126" ht="7.4" customHeight="1" x14ac:dyDescent="0.5">
      <c r="A86" s="42"/>
      <c r="B86" s="230"/>
      <c r="C86" s="230"/>
      <c r="D86" s="230"/>
      <c r="E86" s="230"/>
      <c r="F86" s="230"/>
      <c r="G86" s="230"/>
      <c r="H86" s="230"/>
      <c r="I86" s="230"/>
      <c r="J86" s="230"/>
      <c r="K86" s="230"/>
      <c r="L86" s="230"/>
      <c r="M86" s="230"/>
      <c r="N86" s="230"/>
      <c r="O86" s="230"/>
      <c r="P86" s="230"/>
      <c r="Q86" s="230"/>
      <c r="R86" s="230"/>
      <c r="S86" s="230"/>
      <c r="T86" s="230"/>
      <c r="U86" s="230"/>
      <c r="W86" s="61"/>
      <c r="X86" s="476" t="s">
        <v>148</v>
      </c>
      <c r="Y86" s="476"/>
      <c r="Z86" s="476"/>
      <c r="AA86" s="476"/>
      <c r="AB86" s="476"/>
      <c r="AC86" s="476"/>
      <c r="AD86" s="476"/>
      <c r="AE86" s="476"/>
      <c r="AF86" s="476"/>
      <c r="AG86" s="476"/>
      <c r="AH86" s="477"/>
      <c r="AI86" s="452" t="s">
        <v>42</v>
      </c>
      <c r="AJ86" s="453"/>
      <c r="AK86" s="453"/>
      <c r="AL86" s="453"/>
      <c r="AM86" s="453"/>
      <c r="AN86" s="453"/>
      <c r="AO86" s="453"/>
      <c r="AP86" s="454"/>
      <c r="AQ86" s="79"/>
      <c r="AR86" s="64"/>
      <c r="AS86" s="65"/>
      <c r="AT86" s="65"/>
      <c r="AU86" s="65"/>
      <c r="AV86" s="65"/>
      <c r="AW86" s="65"/>
      <c r="AX86" s="65"/>
      <c r="AY86" s="65"/>
      <c r="AZ86" s="65"/>
      <c r="BA86" s="65"/>
      <c r="BB86" s="65"/>
      <c r="BC86" s="65"/>
      <c r="BD86" s="66"/>
      <c r="BE86" s="51"/>
      <c r="BF86" s="51"/>
      <c r="BG86" s="51"/>
      <c r="BH86" s="52"/>
      <c r="BI86" s="41"/>
      <c r="BK86" s="440"/>
      <c r="BL86" s="441"/>
      <c r="BM86" s="442"/>
      <c r="BN86" s="440"/>
      <c r="BO86" s="441"/>
      <c r="BP86" s="442"/>
      <c r="BQ86" s="440"/>
      <c r="BR86" s="441"/>
      <c r="BS86" s="442"/>
      <c r="BT86" s="440"/>
      <c r="BU86" s="441"/>
      <c r="BV86" s="442"/>
      <c r="BW86" s="440"/>
      <c r="BX86" s="441"/>
      <c r="BY86" s="442"/>
      <c r="BZ86" s="440"/>
      <c r="CA86" s="441"/>
      <c r="CB86" s="442"/>
      <c r="CC86" s="440"/>
      <c r="CD86" s="441"/>
      <c r="CE86" s="442"/>
      <c r="CF86" s="440"/>
      <c r="CG86" s="441"/>
      <c r="CH86" s="442"/>
      <c r="CI86" s="440"/>
      <c r="CJ86" s="441"/>
      <c r="CK86" s="442"/>
      <c r="CL86" s="440"/>
      <c r="CM86" s="441"/>
      <c r="CN86" s="442"/>
      <c r="CO86" s="440"/>
      <c r="CP86" s="441"/>
      <c r="CQ86" s="442"/>
      <c r="CR86" s="440"/>
      <c r="CS86" s="441"/>
      <c r="CT86" s="442"/>
      <c r="CU86" s="440"/>
      <c r="CV86" s="441"/>
      <c r="CW86" s="442"/>
      <c r="CX86" s="440"/>
      <c r="CY86" s="441"/>
      <c r="CZ86" s="442"/>
      <c r="DA86" s="440"/>
      <c r="DB86" s="441"/>
      <c r="DC86" s="442"/>
      <c r="DD86" s="440"/>
      <c r="DE86" s="441"/>
      <c r="DF86" s="442"/>
      <c r="DG86" s="42"/>
      <c r="DH86" s="443"/>
      <c r="DI86" s="443"/>
      <c r="DJ86" s="444"/>
      <c r="DK86" s="444"/>
      <c r="DL86" s="444"/>
      <c r="DM86" s="444"/>
      <c r="DN86" s="444"/>
      <c r="DO86" s="444"/>
      <c r="DP86" s="444"/>
      <c r="DQ86" s="444"/>
      <c r="DR86" s="444"/>
      <c r="DS86" s="444"/>
      <c r="DV86" s="41"/>
    </row>
    <row r="87" spans="1:126" ht="7.4" customHeight="1" x14ac:dyDescent="0.5">
      <c r="A87" s="42"/>
      <c r="B87" s="230"/>
      <c r="C87" s="230"/>
      <c r="D87" s="230"/>
      <c r="E87" s="230"/>
      <c r="F87" s="230"/>
      <c r="G87" s="230"/>
      <c r="H87" s="230"/>
      <c r="I87" s="230"/>
      <c r="J87" s="230"/>
      <c r="K87" s="230"/>
      <c r="L87" s="230"/>
      <c r="M87" s="230"/>
      <c r="N87" s="230"/>
      <c r="O87" s="230"/>
      <c r="P87" s="230"/>
      <c r="Q87" s="230"/>
      <c r="R87" s="230"/>
      <c r="S87" s="230"/>
      <c r="T87" s="230"/>
      <c r="U87" s="230"/>
      <c r="V87" s="79"/>
      <c r="W87" s="61"/>
      <c r="X87" s="476"/>
      <c r="Y87" s="476"/>
      <c r="Z87" s="476"/>
      <c r="AA87" s="476"/>
      <c r="AB87" s="476"/>
      <c r="AC87" s="476"/>
      <c r="AD87" s="476"/>
      <c r="AE87" s="476"/>
      <c r="AF87" s="476"/>
      <c r="AG87" s="476"/>
      <c r="AH87" s="477"/>
      <c r="AI87" s="452"/>
      <c r="AJ87" s="453"/>
      <c r="AK87" s="453"/>
      <c r="AL87" s="453"/>
      <c r="AM87" s="453"/>
      <c r="AN87" s="453"/>
      <c r="AO87" s="453"/>
      <c r="AP87" s="454"/>
      <c r="AQ87" s="79"/>
      <c r="AR87" s="79"/>
      <c r="AS87" s="79"/>
      <c r="AT87" s="79"/>
      <c r="AU87" s="79"/>
      <c r="AV87" s="79"/>
      <c r="AW87" s="79"/>
      <c r="AX87" s="79"/>
      <c r="AY87" s="79"/>
      <c r="AZ87" s="79"/>
      <c r="BA87" s="79"/>
      <c r="BB87" s="79"/>
      <c r="BC87" s="79"/>
      <c r="BD87" s="79"/>
      <c r="BE87" s="79"/>
      <c r="BF87" s="79"/>
      <c r="BG87" s="79"/>
      <c r="BH87" s="79"/>
      <c r="BI87" s="41"/>
      <c r="BK87" s="430">
        <f>IF(M58&gt;0,$AE$45*M58+20*(M58-1)+$N$78*2,0)</f>
        <v>28930</v>
      </c>
      <c r="BL87" s="431"/>
      <c r="BM87" s="432"/>
      <c r="BN87" s="430">
        <f>IF(P58&gt;0,$AE$45*P58+20*(P58-1)+$N$78*2,0)</f>
        <v>0</v>
      </c>
      <c r="BO87" s="431"/>
      <c r="BP87" s="432"/>
      <c r="BQ87" s="430">
        <f>IF(S58&gt;0,$AE$45*S58+20*(S58-1)+$N$78*2,0)</f>
        <v>0</v>
      </c>
      <c r="BR87" s="431"/>
      <c r="BS87" s="432"/>
      <c r="BT87" s="430">
        <f>IF(V58&gt;0,$AE$45*V58+20*(V58-1)+$N$78*2,0)</f>
        <v>0</v>
      </c>
      <c r="BU87" s="431"/>
      <c r="BV87" s="432"/>
      <c r="BW87" s="430">
        <f>IF(Y58&gt;0,$AE$45*Y58+20*(Y58-1)+$N$78*2,0)</f>
        <v>0</v>
      </c>
      <c r="BX87" s="431"/>
      <c r="BY87" s="432"/>
      <c r="BZ87" s="430">
        <f>IF(AB58&gt;0,$AE$45*AB58+20*(AB58-1)+$N$78*2,0)</f>
        <v>0</v>
      </c>
      <c r="CA87" s="431"/>
      <c r="CB87" s="432"/>
      <c r="CC87" s="430">
        <f>IF(AE58&gt;0,$AE$45*AE58+20*(AE58-1)+$N$78*2,0)</f>
        <v>0</v>
      </c>
      <c r="CD87" s="431"/>
      <c r="CE87" s="432"/>
      <c r="CF87" s="430">
        <f>IF(AH58&gt;0,$AE$45*AH58+20*(AH58-1)+$N$78*2,0)</f>
        <v>0</v>
      </c>
      <c r="CG87" s="431"/>
      <c r="CH87" s="432"/>
      <c r="CI87" s="430">
        <f>IF(AK58&gt;0,$AE$45*AK58+20*(AK58-1)+$N$78*2,0)</f>
        <v>0</v>
      </c>
      <c r="CJ87" s="431"/>
      <c r="CK87" s="432"/>
      <c r="CL87" s="430">
        <f>IF(AN58&gt;0,$AE$45*AN58+20*(AN58-1)+$N$78*2,0)</f>
        <v>0</v>
      </c>
      <c r="CM87" s="431"/>
      <c r="CN87" s="432"/>
      <c r="CO87" s="430">
        <f>IF(AQ58&gt;0,$AE$45*AQ58+20*(AQ58-1)+$N$78*2,0)</f>
        <v>0</v>
      </c>
      <c r="CP87" s="431"/>
      <c r="CQ87" s="432"/>
      <c r="CR87" s="430">
        <f>IF(AT58&gt;0,$AE$45*AT58+20*(AT58-1)+$N$78*2,0)</f>
        <v>0</v>
      </c>
      <c r="CS87" s="431"/>
      <c r="CT87" s="432"/>
      <c r="CU87" s="430">
        <f>IF(AW58&gt;0,$AE$45*AW58+20*(AW58-1)+$N$78*2,0)</f>
        <v>0</v>
      </c>
      <c r="CV87" s="431"/>
      <c r="CW87" s="432"/>
      <c r="CX87" s="430">
        <f>IF(AZ58&gt;0,$AE$45*AZ58+20*(AZ58-1)+$N$78*2,0)</f>
        <v>0</v>
      </c>
      <c r="CY87" s="431"/>
      <c r="CZ87" s="432"/>
      <c r="DA87" s="430">
        <f>IF(BC58&gt;0,$AE$45*BC58+20*(BC58-1)+$N$78*2,0)</f>
        <v>0</v>
      </c>
      <c r="DB87" s="431"/>
      <c r="DC87" s="432"/>
      <c r="DD87" s="430">
        <f>IF(BF58&gt;0,$AE$45*BF58+20*(BF58-1)+$N$78*2,0)</f>
        <v>0</v>
      </c>
      <c r="DE87" s="431"/>
      <c r="DF87" s="432"/>
      <c r="DG87" s="42"/>
      <c r="DH87" s="382" t="s">
        <v>102</v>
      </c>
      <c r="DI87" s="382"/>
      <c r="DJ87" s="382"/>
      <c r="DK87" s="382"/>
      <c r="DL87" s="382"/>
      <c r="DM87" s="382"/>
      <c r="DN87" s="382"/>
      <c r="DO87" s="382"/>
      <c r="DP87" s="382"/>
      <c r="DQ87" s="382"/>
      <c r="DR87" s="382"/>
      <c r="DS87" s="382"/>
      <c r="DT87" s="382"/>
      <c r="DU87" s="382"/>
      <c r="DV87" s="41"/>
    </row>
    <row r="88" spans="1:126" ht="7.4" customHeight="1" x14ac:dyDescent="0.5">
      <c r="A88" s="42"/>
      <c r="B88" s="230"/>
      <c r="C88" s="230"/>
      <c r="D88" s="230"/>
      <c r="E88" s="230"/>
      <c r="F88" s="230"/>
      <c r="G88" s="230"/>
      <c r="H88" s="230"/>
      <c r="I88" s="230"/>
      <c r="J88" s="230"/>
      <c r="K88" s="230"/>
      <c r="L88" s="230"/>
      <c r="M88" s="230"/>
      <c r="N88" s="230"/>
      <c r="O88" s="230"/>
      <c r="P88" s="230"/>
      <c r="Q88" s="230"/>
      <c r="R88" s="230"/>
      <c r="S88" s="230"/>
      <c r="T88" s="230"/>
      <c r="U88" s="230"/>
      <c r="V88" s="79"/>
      <c r="W88" s="64"/>
      <c r="X88" s="218"/>
      <c r="Y88" s="218"/>
      <c r="Z88" s="218"/>
      <c r="AA88" s="218"/>
      <c r="AB88" s="218"/>
      <c r="AC88" s="218"/>
      <c r="AD88" s="218"/>
      <c r="AE88" s="218"/>
      <c r="AF88" s="218"/>
      <c r="AG88" s="218"/>
      <c r="AH88" s="219"/>
      <c r="AI88" s="50"/>
      <c r="AJ88" s="51"/>
      <c r="AK88" s="51"/>
      <c r="AL88" s="51"/>
      <c r="AM88" s="97"/>
      <c r="AN88" s="97"/>
      <c r="AO88" s="97"/>
      <c r="AP88" s="98"/>
      <c r="AQ88" s="79"/>
      <c r="AR88" s="79"/>
      <c r="AS88" s="79"/>
      <c r="AT88" s="79"/>
      <c r="AU88" s="79"/>
      <c r="AV88" s="79"/>
      <c r="AW88" s="79"/>
      <c r="AX88" s="79"/>
      <c r="AY88" s="79"/>
      <c r="AZ88" s="79"/>
      <c r="BA88" s="79"/>
      <c r="BB88" s="79"/>
      <c r="BC88" s="79"/>
      <c r="BD88" s="79"/>
      <c r="BE88" s="79"/>
      <c r="BF88" s="79"/>
      <c r="BG88" s="79"/>
      <c r="BH88" s="79"/>
      <c r="BI88" s="41"/>
      <c r="BK88" s="430"/>
      <c r="BL88" s="431"/>
      <c r="BM88" s="432"/>
      <c r="BN88" s="430"/>
      <c r="BO88" s="431"/>
      <c r="BP88" s="432"/>
      <c r="BQ88" s="430"/>
      <c r="BR88" s="431"/>
      <c r="BS88" s="432"/>
      <c r="BT88" s="430"/>
      <c r="BU88" s="431"/>
      <c r="BV88" s="432"/>
      <c r="BW88" s="430"/>
      <c r="BX88" s="431"/>
      <c r="BY88" s="432"/>
      <c r="BZ88" s="430"/>
      <c r="CA88" s="431"/>
      <c r="CB88" s="432"/>
      <c r="CC88" s="430"/>
      <c r="CD88" s="431"/>
      <c r="CE88" s="432"/>
      <c r="CF88" s="430"/>
      <c r="CG88" s="431"/>
      <c r="CH88" s="432"/>
      <c r="CI88" s="430"/>
      <c r="CJ88" s="431"/>
      <c r="CK88" s="432"/>
      <c r="CL88" s="430"/>
      <c r="CM88" s="431"/>
      <c r="CN88" s="432"/>
      <c r="CO88" s="430"/>
      <c r="CP88" s="431"/>
      <c r="CQ88" s="432"/>
      <c r="CR88" s="430"/>
      <c r="CS88" s="431"/>
      <c r="CT88" s="432"/>
      <c r="CU88" s="430"/>
      <c r="CV88" s="431"/>
      <c r="CW88" s="432"/>
      <c r="CX88" s="430"/>
      <c r="CY88" s="431"/>
      <c r="CZ88" s="432"/>
      <c r="DA88" s="430"/>
      <c r="DB88" s="431"/>
      <c r="DC88" s="432"/>
      <c r="DD88" s="430"/>
      <c r="DE88" s="431"/>
      <c r="DF88" s="432"/>
      <c r="DG88" s="42"/>
      <c r="DH88" s="382"/>
      <c r="DI88" s="382"/>
      <c r="DJ88" s="382"/>
      <c r="DK88" s="382"/>
      <c r="DL88" s="382"/>
      <c r="DM88" s="382"/>
      <c r="DN88" s="382"/>
      <c r="DO88" s="382"/>
      <c r="DP88" s="382"/>
      <c r="DQ88" s="382"/>
      <c r="DR88" s="382"/>
      <c r="DS88" s="382"/>
      <c r="DT88" s="382"/>
      <c r="DU88" s="382"/>
      <c r="DV88" s="41"/>
    </row>
    <row r="89" spans="1:126" ht="7.4" customHeight="1" x14ac:dyDescent="0.5">
      <c r="A89" s="233"/>
      <c r="B89" s="232"/>
      <c r="C89" s="232"/>
      <c r="D89" s="232"/>
      <c r="E89" s="232"/>
      <c r="F89" s="232"/>
      <c r="G89" s="232"/>
      <c r="H89" s="232"/>
      <c r="I89" s="232"/>
      <c r="J89" s="232"/>
      <c r="K89" s="232"/>
      <c r="L89" s="232"/>
      <c r="M89" s="232"/>
      <c r="N89" s="232"/>
      <c r="O89" s="232"/>
      <c r="P89" s="232"/>
      <c r="Q89" s="232"/>
      <c r="R89" s="232"/>
      <c r="S89" s="232"/>
      <c r="T89" s="232"/>
      <c r="U89" s="232"/>
      <c r="V89" s="232"/>
      <c r="W89" s="232"/>
      <c r="X89" s="232"/>
      <c r="Y89" s="232"/>
      <c r="Z89" s="232"/>
      <c r="AA89" s="232"/>
      <c r="AB89" s="232"/>
      <c r="AC89" s="232"/>
      <c r="AD89" s="232"/>
      <c r="AE89" s="232"/>
      <c r="AF89" s="232"/>
      <c r="AG89" s="232"/>
      <c r="AH89" s="232"/>
      <c r="AI89" s="232"/>
      <c r="AJ89" s="232"/>
      <c r="AK89" s="232"/>
      <c r="AL89" s="232"/>
      <c r="AM89" s="232"/>
      <c r="AN89" s="232"/>
      <c r="AO89" s="232"/>
      <c r="AP89" s="232"/>
      <c r="AQ89" s="232"/>
      <c r="AR89" s="232"/>
      <c r="AS89" s="232"/>
      <c r="AT89" s="232"/>
      <c r="AU89" s="232"/>
      <c r="AV89" s="232"/>
      <c r="AW89" s="232"/>
      <c r="AX89" s="232"/>
      <c r="AY89" s="232"/>
      <c r="AZ89" s="232"/>
      <c r="BA89" s="232"/>
      <c r="BB89" s="232"/>
      <c r="BC89" s="232"/>
      <c r="BD89" s="232"/>
      <c r="BE89" s="232"/>
      <c r="BF89" s="232"/>
      <c r="BG89" s="232"/>
      <c r="BH89" s="232"/>
      <c r="BI89" s="231"/>
      <c r="BK89" s="430">
        <f>IF($N$74="Combination",0,IF(M58&gt;0,(($AE$45*M58+20*(M58-1)+$N$78*2)/$N$74-ROUNDDOWN(($AE$45*M58+20*(M58-1)+$N$78*2)/$N$74,0))*$N$74,0))</f>
        <v>0</v>
      </c>
      <c r="BL89" s="431"/>
      <c r="BM89" s="432"/>
      <c r="BN89" s="430">
        <f>IF($N$74="Combination",0,IF(P58&gt;0,(($AE$45*P58+20*(P58-1)+$N$78*2)/$N$74-ROUNDDOWN(($AE$45*P58+20*(P58-1)+$N$78*2)/$N$74,0))*$N$74,0))</f>
        <v>0</v>
      </c>
      <c r="BO89" s="431"/>
      <c r="BP89" s="432"/>
      <c r="BQ89" s="430">
        <f>IF($N$74="Combination",0,IF(S58&gt;0,(($AE$45*S58+20*(S58-1)+$N$78*2)/$N$74-ROUNDDOWN(($AE$45*S58+20*(S58-1)+$N$78*2)/$N$74,0))*$N$74,0))</f>
        <v>0</v>
      </c>
      <c r="BR89" s="431"/>
      <c r="BS89" s="432"/>
      <c r="BT89" s="430">
        <f>IF($N$74="Combination",0,IF(V58&gt;0,(($AE$45*V58+20*(V58-1)+$N$78*2)/$N$74-ROUNDDOWN(($AE$45*V58+20*(V58-1)+$N$78*2)/$N$74,0))*$N$74,0))</f>
        <v>0</v>
      </c>
      <c r="BU89" s="431"/>
      <c r="BV89" s="432"/>
      <c r="BW89" s="430">
        <f>IF($N$74="Combination",0,IF(Y58&gt;0,(($AE$45*Y58+20*(Y58-1)+$N$78*2)/$N$74-ROUNDDOWN(($AE$45*Y58+20*(Y58-1)+$N$78*2)/$N$74,0))*$N$74,0))</f>
        <v>0</v>
      </c>
      <c r="BX89" s="431"/>
      <c r="BY89" s="432"/>
      <c r="BZ89" s="430">
        <f>IF($N$74="Combination",0,IF(AB58&gt;0,(($AE$45*AB58+20*(AB58-1)+$N$78*2)/$N$74-ROUNDDOWN(($AE$45*AB58+20*(AB58-1)+$N$78*2)/$N$74,0))*$N$74,0))</f>
        <v>0</v>
      </c>
      <c r="CA89" s="431"/>
      <c r="CB89" s="432"/>
      <c r="CC89" s="430">
        <f>IF($N$74="Combination",0,IF(AE58&gt;0,(($AE$45*AE58+20*(AE58-1)+$N$78*2)/$N$74-ROUNDDOWN(($AE$45*AE58+20*(AE58-1)+$N$78*2)/$N$74,0))*$N$74,0))</f>
        <v>0</v>
      </c>
      <c r="CD89" s="431"/>
      <c r="CE89" s="432"/>
      <c r="CF89" s="430">
        <f>IF($N$74="Combination",0,IF(AH58&gt;0,(($AE$45*AH58+20*(AH58-1)+$N$78*2)/$N$74-ROUNDDOWN(($AE$45*AH58+20*(AH58-1)+$N$78*2)/$N$74,0))*$N$74,0))</f>
        <v>0</v>
      </c>
      <c r="CG89" s="431"/>
      <c r="CH89" s="432"/>
      <c r="CI89" s="430">
        <f>IF($N$74="Combination",0,IF(AK58&gt;0,(($AE$45*AK58+20*(AK58-1)+$N$78*2)/$N$74-ROUNDDOWN(($AE$45*AK58+20*(AK58-1)+$N$78*2)/$N$74,0))*$N$74,0))</f>
        <v>0</v>
      </c>
      <c r="CJ89" s="431"/>
      <c r="CK89" s="432"/>
      <c r="CL89" s="430">
        <f>IF($N$74="Combination",0,IF(AN58&gt;0,(($AE$45*AN58+20*(AN58-1)+$N$78*2)/$N$74-ROUNDDOWN(($AE$45*AN58+20*(AN58-1)+$N$78*2)/$N$74,0))*$N$74,0))</f>
        <v>0</v>
      </c>
      <c r="CM89" s="431"/>
      <c r="CN89" s="432"/>
      <c r="CO89" s="430">
        <f>IF($N$74="Combination",0,IF(AQ58&gt;0,(($AE$45*AQ58+20*(AQ58-1)+$N$78*2)/$N$74-ROUNDDOWN(($AE$45*AQ58+20*(AQ58-1)+$N$78*2)/$N$74,0))*$N$74,0))</f>
        <v>0</v>
      </c>
      <c r="CP89" s="431"/>
      <c r="CQ89" s="432"/>
      <c r="CR89" s="430">
        <f>IF($N$74="Combination",0,IF(AT58&gt;0,(($AE$45*AT58+20*(AT58-1)+$N$78*2)/$N$74-ROUNDDOWN(($AE$45*AT58+20*(AT58-1)+$N$78*2)/$N$74,0))*$N$74,0))</f>
        <v>0</v>
      </c>
      <c r="CS89" s="431"/>
      <c r="CT89" s="432"/>
      <c r="CU89" s="430">
        <f>IF($N$74="Combination",0,IF(AW58&gt;0,(($AE$45*AW58+20*(AW58-1)+$N$78*2)/$N$74-ROUNDDOWN(($AE$45*AW58+20*(AW58-1)+$N$78*2)/$N$74,0))*$N$74,0))</f>
        <v>0</v>
      </c>
      <c r="CV89" s="431"/>
      <c r="CW89" s="432"/>
      <c r="CX89" s="430">
        <f>IF($N$74="Combination",0,IF(AZ58&gt;0,(($AE$45*AZ58+20*(AZ58-1)+$N$78*2)/$N$74-ROUNDDOWN(($AE$45*AZ58+20*(AZ58-1)+$N$78*2)/$N$74,0))*$N$74,0))</f>
        <v>0</v>
      </c>
      <c r="CY89" s="431"/>
      <c r="CZ89" s="432"/>
      <c r="DA89" s="430">
        <f>IF($N$74="Combination",0,IF(BC58&gt;0,(($AE$45*BC58+20*(BC58-1)+$N$78*2)/$N$74-ROUNDDOWN(($AE$45*BC58+20*(BC58-1)+$N$78*2)/$N$74,0))*$N$74,0))</f>
        <v>0</v>
      </c>
      <c r="DB89" s="431"/>
      <c r="DC89" s="432"/>
      <c r="DD89" s="430">
        <f>IF($N$74="Combination",0,IF(BF58&gt;0,(($AE$45*BF58+20*(BF58-1)+$N$78*2)/$N$74-ROUNDDOWN(($AE$45*BF58+20*(BF58-1)+$N$78*2)/$N$74,0))*$N$74,0))</f>
        <v>0</v>
      </c>
      <c r="DE89" s="431"/>
      <c r="DF89" s="432"/>
      <c r="DG89" s="42"/>
      <c r="DH89" s="382" t="s">
        <v>103</v>
      </c>
      <c r="DI89" s="382"/>
      <c r="DJ89" s="382"/>
      <c r="DK89" s="382"/>
      <c r="DL89" s="382"/>
      <c r="DM89" s="382"/>
      <c r="DN89" s="382"/>
      <c r="DO89" s="382"/>
      <c r="DP89" s="382"/>
      <c r="DQ89" s="382"/>
      <c r="DR89" s="382"/>
      <c r="DS89" s="382"/>
      <c r="DV89" s="41"/>
    </row>
    <row r="90" spans="1:126" ht="7.4" customHeight="1" x14ac:dyDescent="0.5">
      <c r="A90" s="230"/>
      <c r="B90" s="230"/>
      <c r="C90" s="230"/>
      <c r="D90" s="230"/>
      <c r="E90" s="230"/>
      <c r="F90" s="230"/>
      <c r="G90" s="230"/>
      <c r="H90" s="230"/>
      <c r="I90" s="230"/>
      <c r="J90" s="230"/>
      <c r="K90" s="230"/>
      <c r="L90" s="230"/>
      <c r="M90" s="230"/>
      <c r="N90" s="230"/>
      <c r="O90" s="230"/>
      <c r="P90" s="230"/>
      <c r="Q90" s="230"/>
      <c r="R90" s="230"/>
      <c r="S90" s="230"/>
      <c r="T90" s="230"/>
      <c r="U90" s="230"/>
      <c r="V90" s="230"/>
      <c r="W90" s="230"/>
      <c r="X90" s="230"/>
      <c r="Y90" s="230"/>
      <c r="Z90" s="230"/>
      <c r="AA90" s="230"/>
      <c r="AB90" s="230"/>
      <c r="AC90" s="230"/>
      <c r="AD90" s="230"/>
      <c r="AE90" s="230"/>
      <c r="AF90" s="230"/>
      <c r="AG90" s="230"/>
      <c r="AH90" s="230"/>
      <c r="AI90" s="230"/>
      <c r="AJ90" s="230"/>
      <c r="AK90" s="230"/>
      <c r="AL90" s="230"/>
      <c r="AM90" s="230"/>
      <c r="AN90" s="230"/>
      <c r="AO90" s="230"/>
      <c r="AP90" s="230"/>
      <c r="AQ90" s="230"/>
      <c r="AR90" s="230"/>
      <c r="AS90" s="230"/>
      <c r="AT90" s="230"/>
      <c r="AU90" s="230"/>
      <c r="AV90" s="230"/>
      <c r="AW90" s="230"/>
      <c r="AX90" s="230"/>
      <c r="AY90" s="230"/>
      <c r="AZ90" s="230"/>
      <c r="BA90" s="230"/>
      <c r="BB90" s="230"/>
      <c r="BC90" s="230"/>
      <c r="BD90" s="230"/>
      <c r="BE90" s="230"/>
      <c r="BF90" s="230"/>
      <c r="BG90" s="230"/>
      <c r="BH90" s="230"/>
      <c r="BI90" s="230"/>
      <c r="BK90" s="430"/>
      <c r="BL90" s="431"/>
      <c r="BM90" s="432"/>
      <c r="BN90" s="430"/>
      <c r="BO90" s="431"/>
      <c r="BP90" s="432"/>
      <c r="BQ90" s="430"/>
      <c r="BR90" s="431"/>
      <c r="BS90" s="432"/>
      <c r="BT90" s="430"/>
      <c r="BU90" s="431"/>
      <c r="BV90" s="432"/>
      <c r="BW90" s="430"/>
      <c r="BX90" s="431"/>
      <c r="BY90" s="432"/>
      <c r="BZ90" s="430"/>
      <c r="CA90" s="431"/>
      <c r="CB90" s="432"/>
      <c r="CC90" s="430"/>
      <c r="CD90" s="431"/>
      <c r="CE90" s="432"/>
      <c r="CF90" s="430"/>
      <c r="CG90" s="431"/>
      <c r="CH90" s="432"/>
      <c r="CI90" s="430"/>
      <c r="CJ90" s="431"/>
      <c r="CK90" s="432"/>
      <c r="CL90" s="430"/>
      <c r="CM90" s="431"/>
      <c r="CN90" s="432"/>
      <c r="CO90" s="430"/>
      <c r="CP90" s="431"/>
      <c r="CQ90" s="432"/>
      <c r="CR90" s="430"/>
      <c r="CS90" s="431"/>
      <c r="CT90" s="432"/>
      <c r="CU90" s="430"/>
      <c r="CV90" s="431"/>
      <c r="CW90" s="432"/>
      <c r="CX90" s="430"/>
      <c r="CY90" s="431"/>
      <c r="CZ90" s="432"/>
      <c r="DA90" s="430"/>
      <c r="DB90" s="431"/>
      <c r="DC90" s="432"/>
      <c r="DD90" s="430"/>
      <c r="DE90" s="431"/>
      <c r="DF90" s="432"/>
      <c r="DG90" s="42"/>
      <c r="DH90" s="382"/>
      <c r="DI90" s="382"/>
      <c r="DJ90" s="382"/>
      <c r="DK90" s="382"/>
      <c r="DL90" s="382"/>
      <c r="DM90" s="382"/>
      <c r="DN90" s="382"/>
      <c r="DO90" s="382"/>
      <c r="DP90" s="382"/>
      <c r="DQ90" s="382"/>
      <c r="DR90" s="382"/>
      <c r="DS90" s="382"/>
      <c r="DV90" s="41"/>
    </row>
    <row r="91" spans="1:126" ht="7.4" customHeight="1" x14ac:dyDescent="0.5">
      <c r="A91" s="337" t="s">
        <v>46</v>
      </c>
      <c r="B91" s="337"/>
      <c r="C91" s="337"/>
      <c r="D91" s="337"/>
      <c r="E91" s="337"/>
      <c r="F91" s="337"/>
      <c r="G91" s="337"/>
      <c r="H91" s="337"/>
      <c r="I91" s="337"/>
      <c r="J91" s="337"/>
      <c r="K91" s="337"/>
      <c r="L91" s="337"/>
      <c r="M91" s="337"/>
      <c r="N91" s="337"/>
      <c r="O91" s="337"/>
      <c r="P91" s="337"/>
      <c r="Q91" s="337"/>
      <c r="R91" s="337"/>
      <c r="S91" s="337"/>
      <c r="T91" s="337"/>
      <c r="U91" s="337"/>
      <c r="V91" s="337"/>
      <c r="W91" s="337"/>
      <c r="X91" s="337"/>
      <c r="Y91" s="337"/>
      <c r="Z91" s="337"/>
      <c r="AA91" s="337"/>
      <c r="AB91" s="337"/>
      <c r="AC91" s="337"/>
      <c r="AD91" s="337"/>
      <c r="AE91" s="337"/>
      <c r="AF91" s="337"/>
      <c r="AG91" s="337"/>
      <c r="AH91" s="337"/>
      <c r="AI91" s="337"/>
      <c r="AJ91" s="337"/>
      <c r="AK91" s="337"/>
      <c r="AL91" s="337"/>
      <c r="AM91" s="337"/>
      <c r="AN91" s="337"/>
      <c r="AO91" s="337"/>
      <c r="AP91" s="337"/>
      <c r="AQ91" s="337"/>
      <c r="AR91" s="337"/>
      <c r="AS91" s="337"/>
      <c r="AT91" s="337"/>
      <c r="AU91" s="337"/>
      <c r="AV91" s="337"/>
      <c r="AW91" s="337"/>
      <c r="AX91" s="337"/>
      <c r="AY91" s="337"/>
      <c r="AZ91" s="337"/>
      <c r="BA91" s="337"/>
      <c r="BB91" s="337"/>
      <c r="BC91" s="337"/>
      <c r="BD91" s="337"/>
      <c r="BE91" s="337"/>
      <c r="BF91" s="337"/>
      <c r="BG91" s="337"/>
      <c r="BH91" s="337"/>
      <c r="BI91" s="337"/>
      <c r="BK91" s="430">
        <f>IF($N$74="Combination",0,IF(M58&gt;0,$N$74-BK89,0))</f>
        <v>0</v>
      </c>
      <c r="BL91" s="431"/>
      <c r="BM91" s="432"/>
      <c r="BN91" s="430">
        <f>IF($N$74="Combination",0,IF(P58&gt;0,$N$74-BN89,0))</f>
        <v>0</v>
      </c>
      <c r="BO91" s="431"/>
      <c r="BP91" s="432"/>
      <c r="BQ91" s="430">
        <f>IF($N$74="Combination",0,IF(S58&gt;0,$N$74-BQ89,0))</f>
        <v>0</v>
      </c>
      <c r="BR91" s="431"/>
      <c r="BS91" s="432"/>
      <c r="BT91" s="430">
        <f>IF($N$74="Combination",0,IF(V58&gt;0,$N$74-BT89,0))</f>
        <v>0</v>
      </c>
      <c r="BU91" s="431"/>
      <c r="BV91" s="432"/>
      <c r="BW91" s="430">
        <f>IF($N$74="Combination",0,IF(Y58&gt;0,$N$74-BW89,0))</f>
        <v>0</v>
      </c>
      <c r="BX91" s="431"/>
      <c r="BY91" s="432"/>
      <c r="BZ91" s="430">
        <f>IF($N$74="Combination",0,IF(AB58&gt;0,$N$74-BZ89,0))</f>
        <v>0</v>
      </c>
      <c r="CA91" s="431"/>
      <c r="CB91" s="432"/>
      <c r="CC91" s="430">
        <f>IF($N$74="Combination",0,IF(AE58&gt;0,$N$74-CC89,0))</f>
        <v>0</v>
      </c>
      <c r="CD91" s="431"/>
      <c r="CE91" s="432"/>
      <c r="CF91" s="430">
        <f>IF($N$74="Combination",0,IF(AH58&gt;0,$N$74-CF89,0))</f>
        <v>0</v>
      </c>
      <c r="CG91" s="431"/>
      <c r="CH91" s="432"/>
      <c r="CI91" s="430">
        <f>IF($N$74="Combination",0,IF(AK58&gt;0,$N$74-CI89,0))</f>
        <v>0</v>
      </c>
      <c r="CJ91" s="431"/>
      <c r="CK91" s="432"/>
      <c r="CL91" s="430">
        <f>IF($N$74="Combination",0,IF(AN58&gt;0,$N$74-CL89,0))</f>
        <v>0</v>
      </c>
      <c r="CM91" s="431"/>
      <c r="CN91" s="432"/>
      <c r="CO91" s="430">
        <f>IF($N$74="Combination",0,IF(AQ58&gt;0,$N$74-CO89,0))</f>
        <v>0</v>
      </c>
      <c r="CP91" s="431"/>
      <c r="CQ91" s="432"/>
      <c r="CR91" s="430">
        <f>IF($N$74="Combination",0,IF(AT58&gt;0,$N$74-CR89,0))</f>
        <v>0</v>
      </c>
      <c r="CS91" s="431"/>
      <c r="CT91" s="432"/>
      <c r="CU91" s="430">
        <f>IF($N$74="Combination",0,IF(AW58&gt;0,$N$74-CU89,0))</f>
        <v>0</v>
      </c>
      <c r="CV91" s="431"/>
      <c r="CW91" s="432"/>
      <c r="CX91" s="430">
        <f>IF($N$74="Combination",0,IF(AZ58&gt;0,$N$74-CX89,0))</f>
        <v>0</v>
      </c>
      <c r="CY91" s="431"/>
      <c r="CZ91" s="432"/>
      <c r="DA91" s="430">
        <f>IF($N$74="Combination",0,IF(BC58&gt;0,$N$74-DA89,0))</f>
        <v>0</v>
      </c>
      <c r="DB91" s="431"/>
      <c r="DC91" s="432"/>
      <c r="DD91" s="430">
        <f>IF($N$74="Combination",0,IF(BF58&gt;0,$N$74-DD89,0))</f>
        <v>0</v>
      </c>
      <c r="DE91" s="431"/>
      <c r="DF91" s="432"/>
      <c r="DG91" s="42"/>
      <c r="DH91" s="382" t="s">
        <v>104</v>
      </c>
      <c r="DI91" s="382"/>
      <c r="DJ91" s="382"/>
      <c r="DK91" s="382"/>
      <c r="DL91" s="382"/>
      <c r="DM91" s="382"/>
      <c r="DN91" s="382"/>
      <c r="DO91" s="382"/>
      <c r="DP91" s="382"/>
      <c r="DQ91" s="382"/>
      <c r="DR91" s="382"/>
      <c r="DS91" s="382"/>
      <c r="DV91" s="41"/>
    </row>
    <row r="92" spans="1:126" ht="7.4" customHeight="1" x14ac:dyDescent="0.5">
      <c r="A92" s="337"/>
      <c r="B92" s="337"/>
      <c r="C92" s="337"/>
      <c r="D92" s="337"/>
      <c r="E92" s="337"/>
      <c r="F92" s="337"/>
      <c r="G92" s="337"/>
      <c r="H92" s="337"/>
      <c r="I92" s="337"/>
      <c r="J92" s="337"/>
      <c r="K92" s="337"/>
      <c r="L92" s="337"/>
      <c r="M92" s="337"/>
      <c r="N92" s="337"/>
      <c r="O92" s="337"/>
      <c r="P92" s="337"/>
      <c r="Q92" s="337"/>
      <c r="R92" s="337"/>
      <c r="S92" s="337"/>
      <c r="T92" s="337"/>
      <c r="U92" s="337"/>
      <c r="V92" s="337"/>
      <c r="W92" s="337"/>
      <c r="X92" s="337"/>
      <c r="Y92" s="337"/>
      <c r="Z92" s="337"/>
      <c r="AA92" s="337"/>
      <c r="AB92" s="337"/>
      <c r="AC92" s="337"/>
      <c r="AD92" s="337"/>
      <c r="AE92" s="337"/>
      <c r="AF92" s="337"/>
      <c r="AG92" s="337"/>
      <c r="AH92" s="337"/>
      <c r="AI92" s="337"/>
      <c r="AJ92" s="337"/>
      <c r="AK92" s="337"/>
      <c r="AL92" s="337"/>
      <c r="AM92" s="337"/>
      <c r="AN92" s="337"/>
      <c r="AO92" s="337"/>
      <c r="AP92" s="337"/>
      <c r="AQ92" s="337"/>
      <c r="AR92" s="337"/>
      <c r="AS92" s="337"/>
      <c r="AT92" s="337"/>
      <c r="AU92" s="337"/>
      <c r="AV92" s="337"/>
      <c r="AW92" s="337"/>
      <c r="AX92" s="337"/>
      <c r="AY92" s="337"/>
      <c r="AZ92" s="337"/>
      <c r="BA92" s="337"/>
      <c r="BB92" s="337"/>
      <c r="BC92" s="337"/>
      <c r="BD92" s="337"/>
      <c r="BE92" s="337"/>
      <c r="BF92" s="337"/>
      <c r="BG92" s="337"/>
      <c r="BH92" s="337"/>
      <c r="BI92" s="337"/>
      <c r="BK92" s="430"/>
      <c r="BL92" s="431"/>
      <c r="BM92" s="432"/>
      <c r="BN92" s="430"/>
      <c r="BO92" s="431"/>
      <c r="BP92" s="432"/>
      <c r="BQ92" s="430"/>
      <c r="BR92" s="431"/>
      <c r="BS92" s="432"/>
      <c r="BT92" s="430"/>
      <c r="BU92" s="431"/>
      <c r="BV92" s="432"/>
      <c r="BW92" s="430"/>
      <c r="BX92" s="431"/>
      <c r="BY92" s="432"/>
      <c r="BZ92" s="430"/>
      <c r="CA92" s="431"/>
      <c r="CB92" s="432"/>
      <c r="CC92" s="430"/>
      <c r="CD92" s="431"/>
      <c r="CE92" s="432"/>
      <c r="CF92" s="430"/>
      <c r="CG92" s="431"/>
      <c r="CH92" s="432"/>
      <c r="CI92" s="430"/>
      <c r="CJ92" s="431"/>
      <c r="CK92" s="432"/>
      <c r="CL92" s="430"/>
      <c r="CM92" s="431"/>
      <c r="CN92" s="432"/>
      <c r="CO92" s="430"/>
      <c r="CP92" s="431"/>
      <c r="CQ92" s="432"/>
      <c r="CR92" s="430"/>
      <c r="CS92" s="431"/>
      <c r="CT92" s="432"/>
      <c r="CU92" s="430"/>
      <c r="CV92" s="431"/>
      <c r="CW92" s="432"/>
      <c r="CX92" s="430"/>
      <c r="CY92" s="431"/>
      <c r="CZ92" s="432"/>
      <c r="DA92" s="430"/>
      <c r="DB92" s="431"/>
      <c r="DC92" s="432"/>
      <c r="DD92" s="430"/>
      <c r="DE92" s="431"/>
      <c r="DF92" s="432"/>
      <c r="DG92" s="42"/>
      <c r="DH92" s="382"/>
      <c r="DI92" s="382"/>
      <c r="DJ92" s="382"/>
      <c r="DK92" s="382"/>
      <c r="DL92" s="382"/>
      <c r="DM92" s="382"/>
      <c r="DN92" s="382"/>
      <c r="DO92" s="382"/>
      <c r="DP92" s="382"/>
      <c r="DQ92" s="382"/>
      <c r="DR92" s="382"/>
      <c r="DS92" s="382"/>
      <c r="DV92" s="41"/>
    </row>
    <row r="93" spans="1:126" ht="7.4" customHeight="1" x14ac:dyDescent="0.5">
      <c r="BK93" s="430">
        <f>BK81*1000-BK87</f>
        <v>320</v>
      </c>
      <c r="BL93" s="431"/>
      <c r="BM93" s="432"/>
      <c r="BN93" s="430">
        <f>BN81*1000-BN87</f>
        <v>0</v>
      </c>
      <c r="BO93" s="431"/>
      <c r="BP93" s="432"/>
      <c r="BQ93" s="430">
        <f>BQ81*1000-BQ87</f>
        <v>0</v>
      </c>
      <c r="BR93" s="431"/>
      <c r="BS93" s="432"/>
      <c r="BT93" s="430">
        <f>BT81*1000-BT87</f>
        <v>0</v>
      </c>
      <c r="BU93" s="431"/>
      <c r="BV93" s="432"/>
      <c r="BW93" s="430">
        <f>BW81*1000-BW87</f>
        <v>0</v>
      </c>
      <c r="BX93" s="431"/>
      <c r="BY93" s="432"/>
      <c r="BZ93" s="430">
        <f>BZ81*1000-BZ87</f>
        <v>0</v>
      </c>
      <c r="CA93" s="431"/>
      <c r="CB93" s="432"/>
      <c r="CC93" s="430">
        <f>CC81*1000-CC87</f>
        <v>0</v>
      </c>
      <c r="CD93" s="431"/>
      <c r="CE93" s="432"/>
      <c r="CF93" s="430">
        <f>CF81*1000-CF87</f>
        <v>0</v>
      </c>
      <c r="CG93" s="431"/>
      <c r="CH93" s="432"/>
      <c r="CI93" s="430">
        <f>CI81*1000-CI87</f>
        <v>0</v>
      </c>
      <c r="CJ93" s="431"/>
      <c r="CK93" s="432"/>
      <c r="CL93" s="430">
        <f>CL81*1000-CL87</f>
        <v>0</v>
      </c>
      <c r="CM93" s="431"/>
      <c r="CN93" s="432"/>
      <c r="CO93" s="430">
        <f>CO81*1000-CO87</f>
        <v>0</v>
      </c>
      <c r="CP93" s="431"/>
      <c r="CQ93" s="432"/>
      <c r="CR93" s="430">
        <f>CR81*1000-CR87</f>
        <v>0</v>
      </c>
      <c r="CS93" s="431"/>
      <c r="CT93" s="432"/>
      <c r="CU93" s="430">
        <f>CU81*1000-CU87</f>
        <v>0</v>
      </c>
      <c r="CV93" s="431"/>
      <c r="CW93" s="432"/>
      <c r="CX93" s="430">
        <f>CX81*1000-CX87</f>
        <v>0</v>
      </c>
      <c r="CY93" s="431"/>
      <c r="CZ93" s="432"/>
      <c r="DA93" s="430">
        <f>DA81*1000-DA87</f>
        <v>0</v>
      </c>
      <c r="DB93" s="431"/>
      <c r="DC93" s="432"/>
      <c r="DD93" s="430">
        <f>DD81*1000-DD87</f>
        <v>0</v>
      </c>
      <c r="DE93" s="431"/>
      <c r="DF93" s="432"/>
      <c r="DG93" s="42"/>
      <c r="DH93" s="436" t="s">
        <v>105</v>
      </c>
      <c r="DI93" s="436"/>
      <c r="DJ93" s="436"/>
      <c r="DK93" s="436"/>
      <c r="DL93" s="436"/>
      <c r="DM93" s="436"/>
      <c r="DN93" s="436"/>
      <c r="DO93" s="436"/>
      <c r="DP93" s="436"/>
      <c r="DQ93" s="436"/>
      <c r="DR93" s="436"/>
      <c r="DS93" s="436"/>
      <c r="DT93" s="436"/>
      <c r="DU93" s="436"/>
      <c r="DV93" s="437"/>
    </row>
    <row r="94" spans="1:126" ht="7.4" customHeight="1" x14ac:dyDescent="0.5">
      <c r="BK94" s="433"/>
      <c r="BL94" s="434"/>
      <c r="BM94" s="435"/>
      <c r="BN94" s="433"/>
      <c r="BO94" s="434"/>
      <c r="BP94" s="435"/>
      <c r="BQ94" s="433"/>
      <c r="BR94" s="434"/>
      <c r="BS94" s="435"/>
      <c r="BT94" s="433"/>
      <c r="BU94" s="434"/>
      <c r="BV94" s="435"/>
      <c r="BW94" s="433"/>
      <c r="BX94" s="434"/>
      <c r="BY94" s="435"/>
      <c r="BZ94" s="433"/>
      <c r="CA94" s="434"/>
      <c r="CB94" s="435"/>
      <c r="CC94" s="433"/>
      <c r="CD94" s="434"/>
      <c r="CE94" s="435"/>
      <c r="CF94" s="433"/>
      <c r="CG94" s="434"/>
      <c r="CH94" s="435"/>
      <c r="CI94" s="433"/>
      <c r="CJ94" s="434"/>
      <c r="CK94" s="435"/>
      <c r="CL94" s="433"/>
      <c r="CM94" s="434"/>
      <c r="CN94" s="435"/>
      <c r="CO94" s="433"/>
      <c r="CP94" s="434"/>
      <c r="CQ94" s="435"/>
      <c r="CR94" s="433"/>
      <c r="CS94" s="434"/>
      <c r="CT94" s="435"/>
      <c r="CU94" s="433"/>
      <c r="CV94" s="434"/>
      <c r="CW94" s="435"/>
      <c r="CX94" s="433"/>
      <c r="CY94" s="434"/>
      <c r="CZ94" s="435"/>
      <c r="DA94" s="433"/>
      <c r="DB94" s="434"/>
      <c r="DC94" s="435"/>
      <c r="DD94" s="433"/>
      <c r="DE94" s="434"/>
      <c r="DF94" s="435"/>
      <c r="DG94" s="50"/>
      <c r="DH94" s="438"/>
      <c r="DI94" s="438"/>
      <c r="DJ94" s="438"/>
      <c r="DK94" s="438"/>
      <c r="DL94" s="438"/>
      <c r="DM94" s="438"/>
      <c r="DN94" s="438"/>
      <c r="DO94" s="438"/>
      <c r="DP94" s="438"/>
      <c r="DQ94" s="438"/>
      <c r="DR94" s="438"/>
      <c r="DS94" s="438"/>
      <c r="DT94" s="438"/>
      <c r="DU94" s="438"/>
      <c r="DV94" s="439"/>
    </row>
    <row r="95" spans="1:126" ht="7.4" customHeight="1" x14ac:dyDescent="0.5">
      <c r="BK95" s="183"/>
      <c r="BL95" s="183"/>
      <c r="BM95" s="183"/>
      <c r="BN95" s="183"/>
      <c r="BO95" s="183"/>
      <c r="BP95" s="183"/>
      <c r="BQ95" s="183"/>
      <c r="BR95" s="183"/>
      <c r="BS95" s="183"/>
      <c r="BT95" s="183"/>
      <c r="BU95" s="183"/>
      <c r="BV95" s="183"/>
      <c r="BW95" s="183"/>
      <c r="BX95" s="183"/>
      <c r="BY95" s="183"/>
      <c r="BZ95" s="183"/>
      <c r="CA95" s="183"/>
      <c r="CB95" s="183"/>
      <c r="CC95" s="183"/>
      <c r="CD95" s="183"/>
      <c r="CE95" s="183"/>
      <c r="CF95" s="183"/>
      <c r="CG95" s="183"/>
      <c r="CH95" s="183"/>
      <c r="CI95" s="183"/>
      <c r="CJ95" s="183"/>
      <c r="CK95" s="183"/>
      <c r="CL95" s="183"/>
      <c r="CM95" s="183"/>
      <c r="CN95" s="183"/>
      <c r="CO95" s="183"/>
      <c r="CP95" s="183"/>
      <c r="CQ95" s="183"/>
      <c r="CR95" s="183"/>
      <c r="CS95" s="183"/>
      <c r="CT95" s="183"/>
      <c r="CU95" s="183"/>
      <c r="CV95" s="183"/>
      <c r="CW95" s="183"/>
      <c r="CX95" s="183"/>
      <c r="CY95" s="183"/>
      <c r="CZ95" s="183"/>
      <c r="DA95" s="183"/>
      <c r="DB95" s="183"/>
      <c r="DC95" s="183"/>
      <c r="DD95" s="183"/>
      <c r="DE95" s="183"/>
      <c r="DF95" s="183"/>
      <c r="DH95" s="182"/>
      <c r="DI95" s="182"/>
      <c r="DJ95" s="182"/>
      <c r="DK95" s="182"/>
      <c r="DL95" s="182"/>
      <c r="DM95" s="182"/>
      <c r="DN95" s="182"/>
      <c r="DO95" s="182"/>
      <c r="DP95" s="182"/>
      <c r="DQ95" s="182"/>
      <c r="DR95" s="182"/>
      <c r="DS95" s="182"/>
      <c r="DT95" s="182"/>
      <c r="DU95" s="182"/>
      <c r="DV95" s="182"/>
    </row>
    <row r="96" spans="1:126" ht="7.4" customHeight="1" x14ac:dyDescent="0.5">
      <c r="BK96" s="183"/>
      <c r="BL96" s="183"/>
      <c r="BM96" s="183"/>
      <c r="BN96" s="183"/>
      <c r="BO96" s="183"/>
      <c r="BP96" s="183"/>
      <c r="BQ96" s="183"/>
      <c r="BR96" s="183"/>
      <c r="BS96" s="183"/>
      <c r="BT96" s="183"/>
      <c r="BU96" s="183"/>
      <c r="BV96" s="183"/>
      <c r="BW96" s="183"/>
      <c r="BX96" s="183"/>
      <c r="BY96" s="183"/>
      <c r="BZ96" s="183"/>
      <c r="CA96" s="183"/>
      <c r="CB96" s="183"/>
      <c r="CC96" s="183"/>
      <c r="CD96" s="183"/>
      <c r="CE96" s="183"/>
      <c r="CF96" s="183"/>
      <c r="CG96" s="183"/>
      <c r="CH96" s="183"/>
      <c r="CI96" s="183"/>
      <c r="CJ96" s="183"/>
      <c r="CK96" s="183"/>
      <c r="CL96" s="183"/>
      <c r="CM96" s="183"/>
      <c r="CN96" s="183"/>
      <c r="CO96" s="183"/>
      <c r="CP96" s="183"/>
      <c r="CQ96" s="183"/>
      <c r="CR96" s="183"/>
      <c r="CS96" s="183"/>
      <c r="CT96" s="183"/>
      <c r="CU96" s="183"/>
      <c r="CV96" s="183"/>
      <c r="CW96" s="183"/>
      <c r="CX96" s="183"/>
      <c r="CY96" s="183"/>
      <c r="CZ96" s="183"/>
      <c r="DA96" s="183"/>
      <c r="DB96" s="183"/>
      <c r="DC96" s="183"/>
      <c r="DD96" s="183"/>
      <c r="DE96" s="183"/>
      <c r="DF96" s="183"/>
      <c r="DH96" s="182"/>
      <c r="DI96" s="182"/>
      <c r="DJ96" s="182"/>
      <c r="DK96" s="182"/>
      <c r="DL96" s="182"/>
      <c r="DM96" s="182"/>
      <c r="DN96" s="182"/>
      <c r="DO96" s="182"/>
      <c r="DP96" s="182"/>
      <c r="DQ96" s="182"/>
      <c r="DR96" s="182"/>
      <c r="DS96" s="182"/>
      <c r="DT96" s="182"/>
      <c r="DU96" s="182"/>
      <c r="DV96" s="182"/>
    </row>
    <row r="97" spans="1:343" ht="7.4" customHeight="1" x14ac:dyDescent="0.5">
      <c r="BK97" s="183"/>
      <c r="BL97" s="183"/>
      <c r="BM97" s="183"/>
      <c r="BN97" s="183"/>
      <c r="BO97" s="183"/>
      <c r="BP97" s="183"/>
      <c r="BQ97" s="183"/>
      <c r="BR97" s="183"/>
      <c r="BS97" s="183"/>
      <c r="BT97" s="183"/>
      <c r="BU97" s="183"/>
      <c r="BV97" s="183"/>
      <c r="BW97" s="183"/>
      <c r="BX97" s="183"/>
      <c r="BY97" s="183"/>
      <c r="BZ97" s="183"/>
      <c r="CA97" s="183"/>
      <c r="CB97" s="183"/>
      <c r="CC97" s="183"/>
      <c r="CD97" s="183"/>
      <c r="CE97" s="183"/>
      <c r="CF97" s="183"/>
      <c r="CG97" s="183"/>
      <c r="CH97" s="183"/>
      <c r="CI97" s="183"/>
      <c r="CJ97" s="183"/>
      <c r="CK97" s="183"/>
      <c r="CL97" s="183"/>
      <c r="CM97" s="183"/>
      <c r="CN97" s="183"/>
      <c r="CO97" s="183"/>
      <c r="CP97" s="183"/>
      <c r="CQ97" s="183"/>
      <c r="CR97" s="183"/>
      <c r="CS97" s="183"/>
      <c r="CT97" s="183"/>
      <c r="CU97" s="183"/>
      <c r="CV97" s="183"/>
      <c r="CW97" s="183"/>
      <c r="CX97" s="183"/>
      <c r="CY97" s="183"/>
      <c r="CZ97" s="183"/>
      <c r="DA97" s="183"/>
      <c r="DB97" s="183"/>
      <c r="DC97" s="183"/>
      <c r="DD97" s="183"/>
      <c r="DE97" s="183"/>
      <c r="DF97" s="183"/>
      <c r="DH97" s="182"/>
      <c r="DI97" s="182"/>
      <c r="DJ97" s="182"/>
      <c r="DK97" s="182"/>
      <c r="DL97" s="182"/>
      <c r="DM97" s="182"/>
      <c r="DN97" s="182"/>
      <c r="DO97" s="182"/>
      <c r="DP97" s="182"/>
      <c r="DQ97" s="182"/>
      <c r="DR97" s="182"/>
      <c r="DS97" s="182"/>
      <c r="DT97" s="182"/>
      <c r="DU97" s="182"/>
      <c r="DV97" s="182"/>
    </row>
    <row r="98" spans="1:343" ht="7.4" customHeight="1" x14ac:dyDescent="0.5">
      <c r="BK98" s="183"/>
      <c r="BL98" s="183"/>
      <c r="BM98" s="183"/>
      <c r="BN98" s="183"/>
      <c r="BO98" s="183"/>
      <c r="BP98" s="183"/>
      <c r="BQ98" s="183"/>
      <c r="BR98" s="183"/>
      <c r="BS98" s="183"/>
      <c r="BT98" s="183"/>
      <c r="BU98" s="183"/>
      <c r="BV98" s="183"/>
      <c r="BW98" s="183"/>
      <c r="BX98" s="183"/>
      <c r="BY98" s="183"/>
      <c r="BZ98" s="183"/>
      <c r="CA98" s="183"/>
      <c r="CB98" s="183"/>
      <c r="CC98" s="183"/>
      <c r="CD98" s="183"/>
      <c r="CE98" s="183"/>
      <c r="CF98" s="183"/>
      <c r="CG98" s="183"/>
      <c r="CH98" s="183"/>
      <c r="CI98" s="183"/>
      <c r="CJ98" s="183"/>
      <c r="CK98" s="183"/>
      <c r="CL98" s="183"/>
      <c r="CM98" s="183"/>
      <c r="CN98" s="183"/>
      <c r="CO98" s="183"/>
      <c r="CP98" s="183"/>
      <c r="CQ98" s="183"/>
      <c r="CR98" s="183"/>
      <c r="CS98" s="183"/>
      <c r="CT98" s="183"/>
      <c r="CU98" s="183"/>
      <c r="CV98" s="183"/>
      <c r="CW98" s="183"/>
      <c r="CX98" s="183"/>
      <c r="CY98" s="183"/>
      <c r="CZ98" s="183"/>
      <c r="DA98" s="183"/>
      <c r="DB98" s="183"/>
      <c r="DC98" s="183"/>
      <c r="DD98" s="183"/>
      <c r="DE98" s="183"/>
      <c r="DF98" s="183"/>
      <c r="DH98" s="182"/>
      <c r="DI98" s="182"/>
      <c r="DJ98" s="182"/>
      <c r="DK98" s="182"/>
      <c r="DL98" s="182"/>
      <c r="DM98" s="182"/>
      <c r="DN98" s="182"/>
      <c r="DO98" s="182"/>
      <c r="DP98" s="182"/>
      <c r="DQ98" s="182"/>
      <c r="DR98" s="182"/>
      <c r="DS98" s="182"/>
      <c r="DT98" s="182"/>
      <c r="DU98" s="182"/>
      <c r="DV98" s="182"/>
    </row>
    <row r="99" spans="1:343" ht="7.4" customHeight="1" x14ac:dyDescent="0.5">
      <c r="BK99" s="183"/>
      <c r="BL99" s="183"/>
      <c r="BM99" s="183"/>
      <c r="BN99" s="183"/>
      <c r="BO99" s="183"/>
      <c r="BP99" s="183"/>
      <c r="BQ99" s="183"/>
      <c r="BR99" s="183"/>
      <c r="BS99" s="183"/>
      <c r="BT99" s="183"/>
      <c r="BU99" s="183"/>
      <c r="BV99" s="183"/>
      <c r="BW99" s="183"/>
      <c r="BX99" s="183"/>
      <c r="BY99" s="183"/>
      <c r="BZ99" s="183"/>
      <c r="CA99" s="183"/>
      <c r="CB99" s="183"/>
      <c r="CC99" s="183"/>
      <c r="CD99" s="183"/>
      <c r="CE99" s="183"/>
      <c r="CF99" s="183"/>
      <c r="CG99" s="183"/>
      <c r="CH99" s="183"/>
      <c r="CI99" s="183"/>
      <c r="CJ99" s="183"/>
      <c r="CK99" s="183"/>
      <c r="CL99" s="183"/>
      <c r="CM99" s="183"/>
      <c r="CN99" s="183"/>
      <c r="CO99" s="183"/>
      <c r="CP99" s="183"/>
      <c r="CQ99" s="183"/>
      <c r="CR99" s="183"/>
      <c r="CS99" s="183"/>
      <c r="CT99" s="183"/>
      <c r="CU99" s="183"/>
      <c r="CV99" s="183"/>
      <c r="CW99" s="183"/>
      <c r="CX99" s="183"/>
      <c r="CY99" s="183"/>
      <c r="CZ99" s="183"/>
      <c r="DA99" s="183"/>
      <c r="DB99" s="183"/>
      <c r="DC99" s="183"/>
      <c r="DD99" s="183"/>
      <c r="DE99" s="183"/>
      <c r="DF99" s="183"/>
      <c r="DH99" s="182"/>
      <c r="DI99" s="182"/>
      <c r="DJ99" s="182"/>
      <c r="DK99" s="182"/>
      <c r="DL99" s="182"/>
      <c r="DM99" s="182"/>
      <c r="DN99" s="182"/>
      <c r="DO99" s="182"/>
      <c r="DP99" s="182"/>
      <c r="DQ99" s="182"/>
      <c r="DR99" s="182"/>
      <c r="DS99" s="182"/>
      <c r="DT99" s="182"/>
      <c r="DU99" s="182"/>
      <c r="DV99" s="182"/>
    </row>
    <row r="100" spans="1:343" ht="7.4" customHeight="1" x14ac:dyDescent="0.5">
      <c r="BK100" s="183"/>
      <c r="BL100" s="183"/>
      <c r="BM100" s="183"/>
      <c r="BN100" s="183"/>
      <c r="BO100" s="183"/>
      <c r="BP100" s="183"/>
      <c r="BQ100" s="183"/>
      <c r="BR100" s="183"/>
      <c r="BS100" s="183"/>
      <c r="BT100" s="183"/>
      <c r="BU100" s="183"/>
      <c r="BV100" s="183"/>
      <c r="BW100" s="183"/>
      <c r="BX100" s="183"/>
      <c r="BY100" s="183"/>
      <c r="BZ100" s="183"/>
      <c r="CA100" s="183"/>
      <c r="CB100" s="183"/>
      <c r="CC100" s="183"/>
      <c r="CD100" s="183"/>
      <c r="CE100" s="183"/>
      <c r="CF100" s="183"/>
      <c r="CG100" s="183"/>
      <c r="CH100" s="183"/>
      <c r="CI100" s="183"/>
      <c r="CJ100" s="183"/>
      <c r="CK100" s="183"/>
      <c r="CL100" s="183"/>
      <c r="CM100" s="183"/>
      <c r="CN100" s="183"/>
      <c r="CO100" s="183"/>
      <c r="CP100" s="183"/>
      <c r="CQ100" s="183"/>
      <c r="CR100" s="183"/>
      <c r="CS100" s="183"/>
      <c r="CT100" s="183"/>
      <c r="CU100" s="183"/>
      <c r="CV100" s="183"/>
      <c r="CW100" s="183"/>
      <c r="CX100" s="183"/>
      <c r="CY100" s="183"/>
      <c r="CZ100" s="183"/>
      <c r="DA100" s="183"/>
      <c r="DB100" s="183"/>
      <c r="DC100" s="183"/>
      <c r="DD100" s="183"/>
      <c r="DE100" s="183"/>
      <c r="DF100" s="183"/>
      <c r="DH100" s="182"/>
      <c r="DI100" s="182"/>
      <c r="DJ100" s="182"/>
      <c r="DK100" s="182"/>
      <c r="DL100" s="182"/>
      <c r="DM100" s="182"/>
      <c r="DN100" s="182"/>
      <c r="DO100" s="182"/>
      <c r="DP100" s="182"/>
      <c r="DQ100" s="182"/>
      <c r="DR100" s="182"/>
      <c r="DS100" s="182"/>
      <c r="DT100" s="182"/>
      <c r="DU100" s="182"/>
      <c r="DV100" s="182"/>
    </row>
    <row r="101" spans="1:343" ht="7.4" customHeight="1" x14ac:dyDescent="0.5">
      <c r="BK101" s="183"/>
      <c r="BL101" s="183"/>
      <c r="BM101" s="183"/>
      <c r="BN101" s="183"/>
      <c r="BO101" s="183"/>
      <c r="BP101" s="183"/>
      <c r="BQ101" s="183"/>
      <c r="BR101" s="183"/>
      <c r="BS101" s="183"/>
      <c r="BT101" s="183"/>
      <c r="BU101" s="183"/>
      <c r="BV101" s="183"/>
      <c r="BW101" s="183"/>
      <c r="BX101" s="183"/>
      <c r="BY101" s="183"/>
      <c r="BZ101" s="183"/>
      <c r="CA101" s="183"/>
      <c r="CB101" s="183"/>
      <c r="CC101" s="183"/>
      <c r="CD101" s="183"/>
      <c r="CE101" s="183"/>
      <c r="CF101" s="183"/>
      <c r="CG101" s="183"/>
      <c r="CH101" s="183"/>
      <c r="CI101" s="183"/>
      <c r="CJ101" s="183"/>
      <c r="CK101" s="183"/>
      <c r="CL101" s="183"/>
      <c r="CM101" s="183"/>
      <c r="CN101" s="183"/>
      <c r="CO101" s="183"/>
      <c r="CP101" s="183"/>
      <c r="CQ101" s="183"/>
      <c r="CR101" s="183"/>
      <c r="CS101" s="183"/>
      <c r="CT101" s="183"/>
      <c r="CU101" s="183"/>
      <c r="CV101" s="183"/>
      <c r="CW101" s="183"/>
      <c r="CX101" s="183"/>
      <c r="CY101" s="183"/>
      <c r="CZ101" s="183"/>
      <c r="DA101" s="183"/>
      <c r="DB101" s="183"/>
      <c r="DC101" s="183"/>
      <c r="DD101" s="183"/>
      <c r="DE101" s="183"/>
      <c r="DF101" s="183"/>
      <c r="DH101" s="182"/>
      <c r="DI101" s="182"/>
      <c r="DJ101" s="182"/>
      <c r="DK101" s="182"/>
      <c r="DL101" s="182"/>
      <c r="DM101" s="182"/>
      <c r="DN101" s="182"/>
      <c r="DO101" s="182"/>
      <c r="DP101" s="182"/>
      <c r="DQ101" s="182"/>
      <c r="DR101" s="182"/>
      <c r="DS101" s="182"/>
      <c r="DT101" s="182"/>
      <c r="DU101" s="182"/>
      <c r="DV101" s="182"/>
    </row>
    <row r="102" spans="1:343" ht="7.4" customHeight="1" x14ac:dyDescent="0.5">
      <c r="BK102" s="183"/>
      <c r="BL102" s="183"/>
      <c r="BM102" s="183"/>
      <c r="BN102" s="183"/>
      <c r="BO102" s="183"/>
      <c r="BP102" s="183"/>
      <c r="BQ102" s="183"/>
      <c r="BR102" s="183"/>
      <c r="BS102" s="183"/>
      <c r="BT102" s="183"/>
      <c r="BU102" s="183"/>
      <c r="BV102" s="183"/>
      <c r="BW102" s="183"/>
      <c r="BX102" s="183"/>
      <c r="BY102" s="183"/>
      <c r="BZ102" s="183"/>
      <c r="CA102" s="183"/>
      <c r="CB102" s="183"/>
      <c r="CC102" s="183"/>
      <c r="CD102" s="183"/>
      <c r="CE102" s="183"/>
      <c r="CF102" s="183"/>
      <c r="CG102" s="183"/>
      <c r="CH102" s="183"/>
      <c r="CI102" s="183"/>
      <c r="CJ102" s="183"/>
      <c r="CK102" s="183"/>
      <c r="CL102" s="183"/>
      <c r="CM102" s="183"/>
      <c r="CN102" s="183"/>
      <c r="CO102" s="183"/>
      <c r="CP102" s="183"/>
      <c r="CQ102" s="183"/>
      <c r="CR102" s="183"/>
      <c r="CS102" s="183"/>
      <c r="CT102" s="183"/>
      <c r="CU102" s="183"/>
      <c r="CV102" s="183"/>
      <c r="CW102" s="183"/>
      <c r="CX102" s="183"/>
      <c r="CY102" s="183"/>
      <c r="CZ102" s="183"/>
      <c r="DA102" s="183"/>
      <c r="DB102" s="183"/>
      <c r="DC102" s="183"/>
      <c r="DD102" s="183"/>
      <c r="DE102" s="183"/>
      <c r="DF102" s="183"/>
      <c r="DH102" s="182"/>
      <c r="DI102" s="182"/>
      <c r="DJ102" s="182"/>
      <c r="DK102" s="182"/>
      <c r="DL102" s="182"/>
      <c r="DM102" s="182"/>
      <c r="DN102" s="182"/>
      <c r="DO102" s="182"/>
      <c r="DP102" s="182"/>
      <c r="DQ102" s="182"/>
      <c r="DR102" s="182"/>
      <c r="DS102" s="182"/>
      <c r="DT102" s="182"/>
      <c r="DU102" s="182"/>
      <c r="DV102" s="182"/>
    </row>
    <row r="103" spans="1:343" ht="7.4" customHeight="1" x14ac:dyDescent="0.5">
      <c r="DH103" s="24"/>
      <c r="DI103" s="24"/>
      <c r="DJ103" s="24"/>
      <c r="DK103" s="24"/>
      <c r="DL103" s="24"/>
    </row>
    <row r="104" spans="1:343" ht="7.4" customHeight="1" x14ac:dyDescent="0.5">
      <c r="DH104" s="24"/>
      <c r="DI104" s="24"/>
      <c r="DJ104" s="24"/>
      <c r="DK104" s="24"/>
      <c r="DL104" s="24"/>
    </row>
    <row r="105" spans="1:343" ht="7.4" customHeight="1" x14ac:dyDescent="0.5">
      <c r="BK105" s="333"/>
      <c r="BL105" s="333"/>
      <c r="BM105" s="333"/>
      <c r="BN105" s="333"/>
      <c r="BO105" s="333"/>
      <c r="BP105" s="333"/>
      <c r="BQ105" s="298"/>
      <c r="BR105" s="298"/>
      <c r="BS105" s="298"/>
      <c r="BT105" s="298"/>
      <c r="BU105" s="298"/>
      <c r="BV105" s="298"/>
      <c r="BW105" s="298"/>
      <c r="BX105" s="334"/>
      <c r="BY105" s="334"/>
      <c r="BZ105" s="334"/>
      <c r="CA105" s="334"/>
      <c r="CB105" s="334"/>
      <c r="CC105" s="334"/>
    </row>
    <row r="106" spans="1:343" ht="7.4" customHeight="1" x14ac:dyDescent="0.5">
      <c r="BK106" s="333"/>
      <c r="BL106" s="333"/>
      <c r="BM106" s="333"/>
      <c r="BN106" s="333"/>
      <c r="BO106" s="333"/>
      <c r="BP106" s="333"/>
      <c r="BQ106" s="298"/>
      <c r="BR106" s="298"/>
      <c r="BS106" s="298"/>
      <c r="BT106" s="298"/>
      <c r="BU106" s="298"/>
      <c r="BV106" s="298"/>
      <c r="BW106" s="298"/>
      <c r="BX106" s="334"/>
      <c r="BY106" s="334"/>
      <c r="BZ106" s="334"/>
      <c r="CA106" s="334"/>
      <c r="CB106" s="334"/>
      <c r="CC106" s="334"/>
    </row>
    <row r="107" spans="1:343" ht="7.4" customHeight="1" x14ac:dyDescent="0.5">
      <c r="BB107" s="184"/>
      <c r="BC107" s="184"/>
      <c r="BD107" s="184"/>
      <c r="BE107" s="184"/>
      <c r="BF107" s="184"/>
      <c r="BG107" s="184"/>
      <c r="BH107" s="184"/>
      <c r="BI107" s="184"/>
      <c r="BK107" s="339"/>
      <c r="BL107" s="339"/>
      <c r="BM107" s="339"/>
      <c r="BN107" s="339"/>
      <c r="BO107" s="339"/>
      <c r="BP107" s="339"/>
      <c r="BQ107" s="340"/>
      <c r="BR107" s="340"/>
      <c r="BS107" s="340"/>
      <c r="BT107" s="340"/>
      <c r="BU107" s="340"/>
      <c r="BV107" s="340"/>
      <c r="BW107" s="340"/>
      <c r="BX107" s="341"/>
      <c r="BY107" s="341"/>
      <c r="BZ107" s="341"/>
      <c r="CA107" s="341"/>
      <c r="CB107" s="341"/>
      <c r="CC107" s="341"/>
      <c r="CJ107" s="108"/>
      <c r="CK107" s="108"/>
      <c r="CL107" s="108"/>
      <c r="CM107" s="108"/>
      <c r="CN107" s="108"/>
      <c r="CO107" s="108"/>
      <c r="DB107" s="75"/>
      <c r="DC107" s="75"/>
      <c r="DD107" s="75"/>
      <c r="DE107" s="75"/>
      <c r="DF107" s="75"/>
      <c r="DH107" s="24"/>
      <c r="DI107" s="24"/>
      <c r="DJ107" s="24"/>
      <c r="DK107" s="24"/>
      <c r="DL107" s="24"/>
    </row>
    <row r="108" spans="1:343" ht="7.4" customHeight="1" x14ac:dyDescent="0.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BB108" s="184"/>
      <c r="BC108" s="184"/>
      <c r="BD108" s="184"/>
      <c r="BE108" s="184"/>
      <c r="BF108" s="184"/>
      <c r="BG108" s="184"/>
      <c r="BH108" s="184"/>
      <c r="BI108" s="184"/>
      <c r="BK108" s="339"/>
      <c r="BL108" s="339"/>
      <c r="BM108" s="339"/>
      <c r="BN108" s="339"/>
      <c r="BO108" s="339"/>
      <c r="BP108" s="339"/>
      <c r="BQ108" s="340"/>
      <c r="BR108" s="340"/>
      <c r="BS108" s="340"/>
      <c r="BT108" s="340"/>
      <c r="BU108" s="340"/>
      <c r="BV108" s="340"/>
      <c r="BW108" s="340"/>
      <c r="BX108" s="341"/>
      <c r="BY108" s="341"/>
      <c r="BZ108" s="341"/>
      <c r="CA108" s="341"/>
      <c r="CB108" s="341"/>
      <c r="CC108" s="341"/>
      <c r="CJ108" s="108"/>
      <c r="CK108" s="108"/>
      <c r="CL108" s="108"/>
      <c r="CM108" s="108"/>
      <c r="CN108" s="108"/>
      <c r="CO108" s="108"/>
      <c r="DB108" s="75"/>
      <c r="DC108" s="75"/>
      <c r="DD108" s="75"/>
      <c r="DE108" s="75"/>
      <c r="DF108" s="75"/>
      <c r="DH108" s="24"/>
      <c r="DI108" s="24"/>
      <c r="DJ108" s="24"/>
      <c r="DK108" s="24"/>
      <c r="DL108" s="24"/>
    </row>
    <row r="109" spans="1:343" ht="7.4" customHeight="1" x14ac:dyDescent="0.5">
      <c r="A109" s="38"/>
      <c r="B109" s="39"/>
      <c r="C109" s="39"/>
      <c r="D109" s="39"/>
      <c r="E109" s="39"/>
      <c r="F109" s="39"/>
      <c r="G109" s="39"/>
      <c r="H109" s="39"/>
      <c r="I109" s="39"/>
      <c r="J109" s="39"/>
      <c r="K109" s="39"/>
      <c r="L109" s="39"/>
      <c r="M109" s="39"/>
      <c r="N109" s="39"/>
      <c r="O109" s="39"/>
      <c r="P109" s="39"/>
      <c r="Q109" s="39"/>
      <c r="R109" s="39"/>
      <c r="S109" s="67"/>
      <c r="T109" s="68"/>
      <c r="U109" s="68"/>
      <c r="V109" s="68"/>
      <c r="W109" s="68"/>
      <c r="X109" s="68"/>
      <c r="Y109" s="68"/>
      <c r="Z109" s="68"/>
      <c r="AA109" s="68"/>
      <c r="AB109" s="68"/>
      <c r="AC109" s="68"/>
      <c r="AD109" s="68"/>
      <c r="AE109" s="68"/>
      <c r="AF109" s="68"/>
      <c r="AG109" s="68"/>
      <c r="AH109" s="68"/>
      <c r="AI109" s="68"/>
      <c r="AJ109" s="68"/>
      <c r="AK109" s="68"/>
      <c r="AL109" s="68"/>
      <c r="AM109" s="68"/>
      <c r="AN109" s="68"/>
      <c r="AO109" s="68"/>
      <c r="AP109" s="68"/>
      <c r="AQ109" s="69"/>
      <c r="AR109" s="39"/>
      <c r="AS109" s="39"/>
      <c r="AT109" s="39"/>
      <c r="AU109" s="39"/>
      <c r="AV109" s="39"/>
      <c r="AW109" s="39"/>
      <c r="AX109" s="39"/>
      <c r="AY109" s="39"/>
      <c r="AZ109" s="39"/>
      <c r="BA109" s="39"/>
      <c r="BB109" s="39"/>
      <c r="BC109" s="39"/>
      <c r="BD109" s="39"/>
      <c r="BE109" s="39"/>
      <c r="BF109" s="39"/>
      <c r="BG109" s="39"/>
      <c r="BH109" s="39"/>
      <c r="BI109" s="40"/>
      <c r="BK109" s="334"/>
      <c r="BL109" s="334"/>
      <c r="BM109" s="334"/>
      <c r="BN109" s="334"/>
      <c r="BO109" s="334"/>
      <c r="BP109" s="334"/>
      <c r="BQ109" s="429"/>
      <c r="BR109" s="429"/>
      <c r="BS109" s="429"/>
      <c r="BT109" s="429"/>
      <c r="BU109" s="429"/>
      <c r="BV109" s="429"/>
      <c r="BW109" s="429"/>
      <c r="BX109" s="429"/>
      <c r="BY109" s="429"/>
      <c r="BZ109" s="429"/>
      <c r="CA109" s="429"/>
      <c r="CB109" s="429"/>
      <c r="CC109" s="334"/>
      <c r="CD109" s="334"/>
      <c r="CE109" s="334"/>
      <c r="CF109" s="334"/>
      <c r="CG109" s="334"/>
      <c r="CH109" s="334"/>
      <c r="CI109" s="333"/>
      <c r="CJ109" s="333"/>
      <c r="CK109" s="333"/>
      <c r="CL109" s="333"/>
      <c r="CM109" s="333"/>
      <c r="CN109" s="333"/>
      <c r="CO109" s="334"/>
      <c r="CP109" s="334"/>
      <c r="CQ109" s="334"/>
      <c r="CR109" s="334"/>
      <c r="CS109" s="334"/>
      <c r="CT109" s="334"/>
    </row>
    <row r="110" spans="1:343" ht="7.4" customHeight="1" x14ac:dyDescent="0.5">
      <c r="A110" s="42"/>
      <c r="S110" s="70"/>
      <c r="T110" s="509" t="str">
        <f>"Roof Top Tilted Railed ("&amp;$AO$35&amp;")"</f>
        <v>Roof Top Tilted Railed (IBR)</v>
      </c>
      <c r="U110" s="509"/>
      <c r="V110" s="509"/>
      <c r="W110" s="509"/>
      <c r="X110" s="509"/>
      <c r="Y110" s="509"/>
      <c r="Z110" s="509"/>
      <c r="AA110" s="509"/>
      <c r="AB110" s="509"/>
      <c r="AC110" s="509"/>
      <c r="AD110" s="509"/>
      <c r="AE110" s="509"/>
      <c r="AF110" s="509"/>
      <c r="AG110" s="509"/>
      <c r="AH110" s="509"/>
      <c r="AI110" s="509"/>
      <c r="AJ110" s="509"/>
      <c r="AK110" s="509"/>
      <c r="AL110" s="509"/>
      <c r="AM110" s="509"/>
      <c r="AN110" s="509"/>
      <c r="AO110" s="509"/>
      <c r="AP110" s="509"/>
      <c r="AQ110" s="71"/>
      <c r="BI110" s="41"/>
      <c r="BK110" s="334"/>
      <c r="BL110" s="334"/>
      <c r="BM110" s="334"/>
      <c r="BN110" s="334"/>
      <c r="BO110" s="334"/>
      <c r="BP110" s="334"/>
      <c r="BQ110" s="429"/>
      <c r="BR110" s="429"/>
      <c r="BS110" s="429"/>
      <c r="BT110" s="429"/>
      <c r="BU110" s="429"/>
      <c r="BV110" s="429"/>
      <c r="BW110" s="429"/>
      <c r="BX110" s="429"/>
      <c r="BY110" s="429"/>
      <c r="BZ110" s="429"/>
      <c r="CA110" s="429"/>
      <c r="CB110" s="429"/>
      <c r="CC110" s="334"/>
      <c r="CD110" s="334"/>
      <c r="CE110" s="334"/>
      <c r="CF110" s="334"/>
      <c r="CG110" s="334"/>
      <c r="CH110" s="334"/>
      <c r="CI110" s="333"/>
      <c r="CJ110" s="333"/>
      <c r="CK110" s="333"/>
      <c r="CL110" s="333"/>
      <c r="CM110" s="333"/>
      <c r="CN110" s="333"/>
      <c r="CO110" s="334"/>
      <c r="CP110" s="334"/>
      <c r="CQ110" s="334"/>
      <c r="CR110" s="334"/>
      <c r="CS110" s="334"/>
      <c r="CT110" s="334"/>
      <c r="DY110" s="185">
        <f t="shared" ref="DY110:GJ110" si="0">$DX$111*DY111+$DX$112*DY112</f>
        <v>0</v>
      </c>
      <c r="DZ110" s="185">
        <f t="shared" si="0"/>
        <v>2.35</v>
      </c>
      <c r="EA110" s="185">
        <f t="shared" si="0"/>
        <v>2.9249999999999998</v>
      </c>
      <c r="EB110" s="185">
        <f t="shared" si="0"/>
        <v>4.7</v>
      </c>
      <c r="EC110" s="185">
        <f t="shared" si="0"/>
        <v>5.2750000000000004</v>
      </c>
      <c r="ED110" s="185">
        <f t="shared" si="0"/>
        <v>5.85</v>
      </c>
      <c r="EE110" s="185">
        <f t="shared" si="0"/>
        <v>7.0500000000000007</v>
      </c>
      <c r="EF110" s="185">
        <f t="shared" si="0"/>
        <v>7.625</v>
      </c>
      <c r="EG110" s="185">
        <f t="shared" si="0"/>
        <v>8.1999999999999993</v>
      </c>
      <c r="EH110" s="185">
        <f t="shared" si="0"/>
        <v>8.7749999999999986</v>
      </c>
      <c r="EI110" s="185">
        <f t="shared" si="0"/>
        <v>9.4</v>
      </c>
      <c r="EJ110" s="185">
        <f t="shared" si="0"/>
        <v>9.9750000000000014</v>
      </c>
      <c r="EK110" s="185">
        <f t="shared" si="0"/>
        <v>10.55</v>
      </c>
      <c r="EL110" s="185">
        <f t="shared" si="0"/>
        <v>11.124999999999998</v>
      </c>
      <c r="EM110" s="185">
        <f t="shared" si="0"/>
        <v>11.7</v>
      </c>
      <c r="EN110" s="185">
        <f t="shared" si="0"/>
        <v>11.75</v>
      </c>
      <c r="EO110" s="185">
        <f t="shared" si="0"/>
        <v>12.324999999999999</v>
      </c>
      <c r="EP110" s="185">
        <f t="shared" si="0"/>
        <v>12.9</v>
      </c>
      <c r="EQ110" s="185">
        <f t="shared" si="0"/>
        <v>13.474999999999998</v>
      </c>
      <c r="ER110" s="185">
        <f t="shared" si="0"/>
        <v>14.049999999999999</v>
      </c>
      <c r="ES110" s="185">
        <f t="shared" si="0"/>
        <v>14.049999999999999</v>
      </c>
      <c r="ET110" s="185">
        <f t="shared" si="0"/>
        <v>14.625</v>
      </c>
      <c r="EU110" s="185">
        <f t="shared" si="0"/>
        <v>14.675000000000001</v>
      </c>
      <c r="EV110" s="185">
        <f t="shared" si="0"/>
        <v>15.25</v>
      </c>
      <c r="EW110" s="185">
        <f t="shared" si="0"/>
        <v>15.824999999999999</v>
      </c>
      <c r="EX110" s="185">
        <f t="shared" si="0"/>
        <v>16.399999999999999</v>
      </c>
      <c r="EY110" s="185">
        <f t="shared" si="0"/>
        <v>16.45</v>
      </c>
      <c r="EZ110" s="185">
        <f t="shared" si="0"/>
        <v>16.975000000000001</v>
      </c>
      <c r="FA110" s="185">
        <f t="shared" si="0"/>
        <v>16.975000000000001</v>
      </c>
      <c r="FB110" s="185">
        <f t="shared" si="0"/>
        <v>17.549999999999997</v>
      </c>
      <c r="FC110" s="185">
        <f t="shared" si="0"/>
        <v>17.549999999999997</v>
      </c>
      <c r="FD110" s="185">
        <f t="shared" si="0"/>
        <v>18.174999999999997</v>
      </c>
      <c r="FE110" s="185">
        <f t="shared" si="0"/>
        <v>18.75</v>
      </c>
      <c r="FF110" s="185">
        <f t="shared" si="0"/>
        <v>18.75</v>
      </c>
      <c r="FG110" s="185">
        <f t="shared" si="0"/>
        <v>19.324999999999999</v>
      </c>
      <c r="FH110" s="185">
        <f t="shared" si="0"/>
        <v>19.375</v>
      </c>
      <c r="FI110" s="185">
        <f t="shared" si="0"/>
        <v>19.899999999999999</v>
      </c>
      <c r="FJ110" s="185">
        <f t="shared" si="0"/>
        <v>19.950000000000003</v>
      </c>
      <c r="FK110" s="185">
        <f t="shared" si="0"/>
        <v>20.474999999999998</v>
      </c>
      <c r="FL110" s="185">
        <f t="shared" si="0"/>
        <v>20.474999999999998</v>
      </c>
      <c r="FM110" s="185">
        <f t="shared" si="0"/>
        <v>21.1</v>
      </c>
      <c r="FN110" s="185">
        <f t="shared" si="0"/>
        <v>21.150000000000002</v>
      </c>
      <c r="FO110" s="185">
        <f t="shared" si="0"/>
        <v>21.675000000000001</v>
      </c>
      <c r="FP110" s="185">
        <f t="shared" si="0"/>
        <v>21.675000000000001</v>
      </c>
      <c r="FQ110" s="185">
        <f t="shared" si="0"/>
        <v>22.249999999999996</v>
      </c>
      <c r="FR110" s="185">
        <f t="shared" si="0"/>
        <v>22.249999999999996</v>
      </c>
      <c r="FS110" s="185">
        <f t="shared" si="0"/>
        <v>22.824999999999999</v>
      </c>
      <c r="FT110" s="185">
        <f t="shared" si="0"/>
        <v>22.875</v>
      </c>
      <c r="FU110" s="185">
        <f t="shared" si="0"/>
        <v>23.4</v>
      </c>
      <c r="FV110" s="185">
        <f t="shared" si="0"/>
        <v>23.45</v>
      </c>
      <c r="FW110" s="185">
        <f t="shared" si="0"/>
        <v>23.45</v>
      </c>
      <c r="FX110" s="185">
        <f t="shared" si="0"/>
        <v>24.024999999999999</v>
      </c>
      <c r="FY110" s="185">
        <f t="shared" si="0"/>
        <v>24.075000000000003</v>
      </c>
      <c r="FZ110" s="185">
        <f t="shared" si="0"/>
        <v>24.599999999999998</v>
      </c>
      <c r="GA110" s="185">
        <f t="shared" si="0"/>
        <v>24.65</v>
      </c>
      <c r="GB110" s="185">
        <f t="shared" si="0"/>
        <v>25.174999999999997</v>
      </c>
      <c r="GC110" s="185">
        <f t="shared" si="0"/>
        <v>25.174999999999997</v>
      </c>
      <c r="GD110" s="185">
        <f t="shared" si="0"/>
        <v>25.75</v>
      </c>
      <c r="GE110" s="185">
        <f t="shared" si="0"/>
        <v>25.75</v>
      </c>
      <c r="GF110" s="185">
        <f t="shared" si="0"/>
        <v>25.85</v>
      </c>
      <c r="GG110" s="185">
        <f t="shared" si="0"/>
        <v>26.324999999999999</v>
      </c>
      <c r="GH110" s="185">
        <f t="shared" si="0"/>
        <v>26.375</v>
      </c>
      <c r="GI110" s="185">
        <f t="shared" si="0"/>
        <v>26.375</v>
      </c>
      <c r="GJ110" s="185">
        <f t="shared" si="0"/>
        <v>26.949999999999996</v>
      </c>
      <c r="GK110" s="185">
        <f t="shared" ref="GK110:IV110" si="1">$DX$111*GK111+$DX$112*GK112</f>
        <v>26.949999999999996</v>
      </c>
      <c r="GL110" s="185">
        <f t="shared" si="1"/>
        <v>27.524999999999999</v>
      </c>
      <c r="GM110" s="185">
        <f t="shared" si="1"/>
        <v>27.574999999999999</v>
      </c>
      <c r="GN110" s="185">
        <f t="shared" si="1"/>
        <v>28.099999999999998</v>
      </c>
      <c r="GO110" s="185">
        <f t="shared" si="1"/>
        <v>28.15</v>
      </c>
      <c r="GP110" s="185">
        <f t="shared" si="1"/>
        <v>28.15</v>
      </c>
      <c r="GQ110" s="185">
        <f t="shared" si="1"/>
        <v>28.675000000000001</v>
      </c>
      <c r="GR110" s="185">
        <f t="shared" si="1"/>
        <v>28.675000000000001</v>
      </c>
      <c r="GS110" s="185">
        <f t="shared" si="1"/>
        <v>28.775000000000002</v>
      </c>
      <c r="GT110" s="185">
        <f t="shared" si="1"/>
        <v>29.25</v>
      </c>
      <c r="GU110" s="185">
        <f t="shared" si="1"/>
        <v>29.25</v>
      </c>
      <c r="GV110" s="185">
        <f t="shared" si="1"/>
        <v>29.35</v>
      </c>
      <c r="GW110" s="185">
        <f t="shared" si="1"/>
        <v>29.875</v>
      </c>
      <c r="GX110" s="185">
        <f t="shared" si="1"/>
        <v>29.875</v>
      </c>
      <c r="GY110" s="185">
        <f t="shared" si="1"/>
        <v>30.45</v>
      </c>
      <c r="GZ110" s="185">
        <f t="shared" si="1"/>
        <v>30.45</v>
      </c>
      <c r="HA110" s="185">
        <f t="shared" si="1"/>
        <v>30.55</v>
      </c>
      <c r="HB110" s="185">
        <f t="shared" si="1"/>
        <v>31.024999999999999</v>
      </c>
      <c r="HC110" s="185">
        <f t="shared" si="1"/>
        <v>31.074999999999999</v>
      </c>
      <c r="HD110" s="185">
        <f t="shared" si="1"/>
        <v>31.074999999999999</v>
      </c>
      <c r="HE110" s="185">
        <f t="shared" si="1"/>
        <v>31.6</v>
      </c>
      <c r="HF110" s="185">
        <f t="shared" si="1"/>
        <v>31.65</v>
      </c>
      <c r="HG110" s="185">
        <f t="shared" si="1"/>
        <v>31.65</v>
      </c>
      <c r="HH110" s="185">
        <f t="shared" si="1"/>
        <v>32.174999999999997</v>
      </c>
      <c r="HI110" s="185">
        <f t="shared" si="1"/>
        <v>32.174999999999997</v>
      </c>
      <c r="HJ110" s="185">
        <f t="shared" si="1"/>
        <v>32.274999999999999</v>
      </c>
      <c r="HK110" s="185">
        <f t="shared" si="1"/>
        <v>32.799999999999997</v>
      </c>
      <c r="HL110" s="185">
        <f t="shared" si="1"/>
        <v>32.85</v>
      </c>
      <c r="HM110" s="185">
        <f t="shared" si="1"/>
        <v>32.85</v>
      </c>
      <c r="HN110" s="185">
        <f t="shared" si="1"/>
        <v>33.375</v>
      </c>
      <c r="HO110" s="185">
        <f t="shared" si="1"/>
        <v>33.375</v>
      </c>
      <c r="HP110" s="185">
        <f t="shared" si="1"/>
        <v>33.475000000000001</v>
      </c>
      <c r="HQ110" s="185">
        <f t="shared" si="1"/>
        <v>33.950000000000003</v>
      </c>
      <c r="HR110" s="185">
        <f t="shared" si="1"/>
        <v>33.950000000000003</v>
      </c>
      <c r="HS110" s="185">
        <f t="shared" si="1"/>
        <v>34.050000000000004</v>
      </c>
      <c r="HT110" s="185">
        <f t="shared" si="1"/>
        <v>34.524999999999999</v>
      </c>
      <c r="HU110" s="185">
        <f t="shared" si="1"/>
        <v>34.575000000000003</v>
      </c>
      <c r="HV110" s="185">
        <f t="shared" si="1"/>
        <v>34.575000000000003</v>
      </c>
      <c r="HW110" s="185">
        <f t="shared" si="1"/>
        <v>35.099999999999994</v>
      </c>
      <c r="HX110" s="185">
        <f t="shared" si="1"/>
        <v>35.15</v>
      </c>
      <c r="HY110" s="185">
        <f t="shared" si="1"/>
        <v>35.15</v>
      </c>
      <c r="HZ110" s="185">
        <f t="shared" si="1"/>
        <v>35.25</v>
      </c>
      <c r="IA110" s="185">
        <f t="shared" si="1"/>
        <v>35.725000000000001</v>
      </c>
      <c r="IB110" s="185">
        <f t="shared" si="1"/>
        <v>35.775000000000006</v>
      </c>
      <c r="IC110" s="185">
        <f t="shared" si="1"/>
        <v>35.775000000000006</v>
      </c>
      <c r="ID110" s="185">
        <f t="shared" si="1"/>
        <v>36.299999999999997</v>
      </c>
      <c r="IE110" s="185">
        <f t="shared" si="1"/>
        <v>36.349999999999994</v>
      </c>
      <c r="IF110" s="185">
        <f t="shared" si="1"/>
        <v>36.349999999999994</v>
      </c>
      <c r="IG110" s="185">
        <f t="shared" si="1"/>
        <v>36.875</v>
      </c>
      <c r="IH110" s="185">
        <f t="shared" si="1"/>
        <v>36.875</v>
      </c>
      <c r="II110" s="185">
        <f t="shared" si="1"/>
        <v>36.975000000000001</v>
      </c>
      <c r="IJ110" s="185">
        <f t="shared" si="1"/>
        <v>37.449999999999996</v>
      </c>
      <c r="IK110" s="185">
        <f t="shared" si="1"/>
        <v>37.449999999999996</v>
      </c>
      <c r="IL110" s="185">
        <f t="shared" si="1"/>
        <v>37.549999999999997</v>
      </c>
      <c r="IM110" s="185">
        <f t="shared" si="1"/>
        <v>37.549999999999997</v>
      </c>
      <c r="IN110" s="185">
        <f t="shared" si="1"/>
        <v>38.024999999999999</v>
      </c>
      <c r="IO110" s="185">
        <f t="shared" si="1"/>
        <v>38.075000000000003</v>
      </c>
      <c r="IP110" s="185">
        <f t="shared" si="1"/>
        <v>38.075000000000003</v>
      </c>
      <c r="IQ110" s="185">
        <f t="shared" si="1"/>
        <v>38.174999999999997</v>
      </c>
      <c r="IR110" s="185">
        <f t="shared" si="1"/>
        <v>38.65</v>
      </c>
      <c r="IS110" s="185">
        <f t="shared" si="1"/>
        <v>38.65</v>
      </c>
      <c r="IT110" s="185">
        <f t="shared" si="1"/>
        <v>38.75</v>
      </c>
      <c r="IU110" s="185">
        <f t="shared" si="1"/>
        <v>39.224999999999994</v>
      </c>
      <c r="IV110" s="185">
        <f t="shared" si="1"/>
        <v>39.274999999999999</v>
      </c>
      <c r="IW110" s="185">
        <f t="shared" ref="IW110:LH110" si="2">$DX$111*IW111+$DX$112*IW112</f>
        <v>39.274999999999999</v>
      </c>
      <c r="IX110" s="185">
        <f t="shared" si="2"/>
        <v>39.799999999999997</v>
      </c>
      <c r="IY110" s="185">
        <f t="shared" si="2"/>
        <v>39.849999999999994</v>
      </c>
      <c r="IZ110" s="185">
        <f t="shared" si="2"/>
        <v>39.849999999999994</v>
      </c>
      <c r="JA110" s="185">
        <f t="shared" si="2"/>
        <v>39.950000000000003</v>
      </c>
      <c r="JB110" s="185">
        <f t="shared" si="2"/>
        <v>40.375</v>
      </c>
      <c r="JC110" s="185">
        <f t="shared" si="2"/>
        <v>40.375</v>
      </c>
      <c r="JD110" s="185">
        <f t="shared" si="2"/>
        <v>40.475000000000001</v>
      </c>
      <c r="JE110" s="185">
        <f t="shared" si="2"/>
        <v>40.475000000000001</v>
      </c>
      <c r="JF110" s="185">
        <f t="shared" si="2"/>
        <v>40.949999999999996</v>
      </c>
      <c r="JG110" s="185">
        <f t="shared" si="2"/>
        <v>40.949999999999996</v>
      </c>
      <c r="JH110" s="185">
        <f t="shared" si="2"/>
        <v>41.05</v>
      </c>
      <c r="JI110" s="185">
        <f t="shared" si="2"/>
        <v>41.05</v>
      </c>
      <c r="JJ110" s="185">
        <f t="shared" si="2"/>
        <v>41.574999999999996</v>
      </c>
      <c r="JK110" s="185">
        <f t="shared" si="2"/>
        <v>41.574999999999996</v>
      </c>
      <c r="JL110" s="185">
        <f t="shared" si="2"/>
        <v>41.674999999999997</v>
      </c>
      <c r="JM110" s="185">
        <f t="shared" si="2"/>
        <v>42.149999999999991</v>
      </c>
      <c r="JN110" s="185">
        <f t="shared" si="2"/>
        <v>42.149999999999991</v>
      </c>
      <c r="JO110" s="185">
        <f t="shared" si="2"/>
        <v>42.25</v>
      </c>
      <c r="JP110" s="185">
        <f t="shared" si="2"/>
        <v>42.25</v>
      </c>
      <c r="JQ110" s="185">
        <f t="shared" si="2"/>
        <v>42.725000000000001</v>
      </c>
      <c r="JR110" s="185">
        <f t="shared" si="2"/>
        <v>42.774999999999999</v>
      </c>
      <c r="JS110" s="185">
        <f t="shared" si="2"/>
        <v>42.774999999999999</v>
      </c>
      <c r="JT110" s="185">
        <f t="shared" si="2"/>
        <v>42.875</v>
      </c>
      <c r="JU110" s="185">
        <f t="shared" si="2"/>
        <v>43.3</v>
      </c>
      <c r="JV110" s="185">
        <f t="shared" si="2"/>
        <v>43.35</v>
      </c>
      <c r="JW110" s="185">
        <f t="shared" si="2"/>
        <v>43.35</v>
      </c>
      <c r="JX110" s="185">
        <f t="shared" si="2"/>
        <v>43.45</v>
      </c>
      <c r="JY110" s="185">
        <f t="shared" si="2"/>
        <v>43.875</v>
      </c>
      <c r="JZ110" s="185">
        <f t="shared" si="2"/>
        <v>43.875</v>
      </c>
      <c r="KA110" s="185">
        <f t="shared" si="2"/>
        <v>43.974999999999994</v>
      </c>
      <c r="KB110" s="185">
        <f t="shared" si="2"/>
        <v>43.974999999999994</v>
      </c>
      <c r="KC110" s="185">
        <f t="shared" si="2"/>
        <v>44.499999999999993</v>
      </c>
      <c r="KD110" s="185">
        <f t="shared" si="2"/>
        <v>44.55</v>
      </c>
      <c r="KE110" s="185">
        <f t="shared" si="2"/>
        <v>44.55</v>
      </c>
      <c r="KF110" s="185">
        <f t="shared" si="2"/>
        <v>44.65</v>
      </c>
      <c r="KG110" s="185">
        <f t="shared" si="2"/>
        <v>45.075000000000003</v>
      </c>
      <c r="KH110" s="185">
        <f t="shared" si="2"/>
        <v>45.075000000000003</v>
      </c>
      <c r="KI110" s="185">
        <f t="shared" si="2"/>
        <v>45.174999999999997</v>
      </c>
      <c r="KJ110" s="185">
        <f t="shared" si="2"/>
        <v>45.174999999999997</v>
      </c>
      <c r="KK110" s="185">
        <f t="shared" si="2"/>
        <v>45.65</v>
      </c>
      <c r="KL110" s="185">
        <f t="shared" si="2"/>
        <v>45.65</v>
      </c>
      <c r="KM110" s="185">
        <f t="shared" si="2"/>
        <v>45.75</v>
      </c>
      <c r="KN110" s="185">
        <f t="shared" si="2"/>
        <v>45.75</v>
      </c>
      <c r="KO110" s="185">
        <f t="shared" si="2"/>
        <v>46.225000000000001</v>
      </c>
      <c r="KP110" s="185">
        <f t="shared" si="2"/>
        <v>46.274999999999999</v>
      </c>
      <c r="KQ110" s="185">
        <f t="shared" si="2"/>
        <v>46.274999999999999</v>
      </c>
      <c r="KR110" s="185">
        <f t="shared" si="2"/>
        <v>46.375</v>
      </c>
      <c r="KS110" s="185">
        <f t="shared" si="2"/>
        <v>46.8</v>
      </c>
      <c r="KT110" s="185">
        <f t="shared" si="2"/>
        <v>46.849999999999994</v>
      </c>
      <c r="KU110" s="185">
        <f t="shared" si="2"/>
        <v>46.849999999999994</v>
      </c>
      <c r="KV110" s="185">
        <f t="shared" si="2"/>
        <v>46.95</v>
      </c>
      <c r="KW110" s="185">
        <f t="shared" si="2"/>
        <v>47.424999999999997</v>
      </c>
      <c r="KX110" s="185">
        <f t="shared" si="2"/>
        <v>47.475000000000001</v>
      </c>
      <c r="KY110" s="185">
        <f t="shared" si="2"/>
        <v>47.475000000000001</v>
      </c>
      <c r="KZ110" s="185">
        <f t="shared" si="2"/>
        <v>48</v>
      </c>
      <c r="LA110" s="185">
        <f t="shared" si="2"/>
        <v>48.05</v>
      </c>
      <c r="LB110" s="185">
        <f t="shared" si="2"/>
        <v>48.05</v>
      </c>
      <c r="LC110" s="185">
        <f t="shared" si="2"/>
        <v>48.150000000000006</v>
      </c>
      <c r="LD110" s="185">
        <f t="shared" si="2"/>
        <v>48.575000000000003</v>
      </c>
      <c r="LE110" s="185">
        <f t="shared" si="2"/>
        <v>48.575000000000003</v>
      </c>
      <c r="LF110" s="185">
        <f t="shared" si="2"/>
        <v>48.674999999999997</v>
      </c>
      <c r="LG110" s="185">
        <f t="shared" si="2"/>
        <v>48.674999999999997</v>
      </c>
      <c r="LH110" s="185">
        <f t="shared" si="2"/>
        <v>49.15</v>
      </c>
      <c r="LI110" s="185">
        <f t="shared" ref="LI110:ME110" si="3">$DX$111*LI111+$DX$112*LI112</f>
        <v>49.15</v>
      </c>
      <c r="LJ110" s="185">
        <f t="shared" si="3"/>
        <v>49.25</v>
      </c>
      <c r="LK110" s="185">
        <f t="shared" si="3"/>
        <v>49.25</v>
      </c>
      <c r="LL110" s="185">
        <f t="shared" si="3"/>
        <v>49.35</v>
      </c>
      <c r="LM110" s="185">
        <f t="shared" si="3"/>
        <v>49.724999999999994</v>
      </c>
      <c r="LN110" s="185">
        <f t="shared" si="3"/>
        <v>49.774999999999999</v>
      </c>
      <c r="LO110" s="185">
        <f t="shared" si="3"/>
        <v>49.774999999999999</v>
      </c>
      <c r="LP110" s="185">
        <f t="shared" si="3"/>
        <v>49.875</v>
      </c>
      <c r="LQ110" s="185">
        <f t="shared" si="3"/>
        <v>49.875</v>
      </c>
      <c r="LR110" s="185">
        <f t="shared" si="3"/>
        <v>50.349999999999994</v>
      </c>
      <c r="LS110" s="185">
        <f t="shared" si="3"/>
        <v>50.349999999999994</v>
      </c>
      <c r="LT110" s="185">
        <f t="shared" si="3"/>
        <v>50.449999999999996</v>
      </c>
      <c r="LU110" s="185">
        <f t="shared" si="3"/>
        <v>50.924999999999997</v>
      </c>
      <c r="LV110" s="185">
        <f t="shared" si="3"/>
        <v>50.974999999999994</v>
      </c>
      <c r="LW110" s="185">
        <f t="shared" si="3"/>
        <v>50.974999999999994</v>
      </c>
      <c r="LX110" s="185">
        <f t="shared" si="3"/>
        <v>51.075000000000003</v>
      </c>
      <c r="LY110" s="185">
        <f t="shared" si="3"/>
        <v>51.5</v>
      </c>
      <c r="LZ110" s="185">
        <f t="shared" si="3"/>
        <v>51.55</v>
      </c>
      <c r="MA110" s="185">
        <f t="shared" si="3"/>
        <v>51.55</v>
      </c>
      <c r="MB110" s="185">
        <f t="shared" si="3"/>
        <v>51.650000000000006</v>
      </c>
      <c r="MC110" s="185">
        <f t="shared" si="3"/>
        <v>51.650000000000006</v>
      </c>
      <c r="MD110" s="185">
        <f t="shared" si="3"/>
        <v>52.074999999999996</v>
      </c>
      <c r="ME110" s="185">
        <f t="shared" si="3"/>
        <v>52.074999999999996</v>
      </c>
    </row>
    <row r="111" spans="1:343" ht="7.4" customHeight="1" x14ac:dyDescent="0.5">
      <c r="A111" s="42"/>
      <c r="S111" s="70"/>
      <c r="T111" s="509"/>
      <c r="U111" s="509"/>
      <c r="V111" s="509"/>
      <c r="W111" s="509"/>
      <c r="X111" s="509"/>
      <c r="Y111" s="509"/>
      <c r="Z111" s="509"/>
      <c r="AA111" s="509"/>
      <c r="AB111" s="509"/>
      <c r="AC111" s="509"/>
      <c r="AD111" s="509"/>
      <c r="AE111" s="509"/>
      <c r="AF111" s="509"/>
      <c r="AG111" s="509"/>
      <c r="AH111" s="509"/>
      <c r="AI111" s="509"/>
      <c r="AJ111" s="509"/>
      <c r="AK111" s="509"/>
      <c r="AL111" s="509"/>
      <c r="AM111" s="509"/>
      <c r="AN111" s="509"/>
      <c r="AO111" s="509"/>
      <c r="AP111" s="509"/>
      <c r="AQ111" s="71"/>
      <c r="BI111" s="41"/>
      <c r="BK111" s="427"/>
      <c r="BL111" s="427"/>
      <c r="BM111" s="427"/>
      <c r="BN111" s="427"/>
      <c r="BO111" s="427"/>
      <c r="BP111" s="427"/>
      <c r="BQ111" s="510"/>
      <c r="BR111" s="510"/>
      <c r="BS111" s="510"/>
      <c r="BT111" s="510"/>
      <c r="BU111" s="510"/>
      <c r="BV111" s="510"/>
      <c r="BW111" s="510"/>
      <c r="BX111" s="510"/>
      <c r="BY111" s="510"/>
      <c r="BZ111" s="510"/>
      <c r="CA111" s="510"/>
      <c r="CB111" s="510"/>
      <c r="CC111" s="339"/>
      <c r="CD111" s="339"/>
      <c r="CE111" s="339"/>
      <c r="CF111" s="339"/>
      <c r="CG111" s="339"/>
      <c r="CH111" s="339"/>
      <c r="CI111" s="336"/>
      <c r="CJ111" s="336"/>
      <c r="CK111" s="336"/>
      <c r="CL111" s="336"/>
      <c r="CM111" s="336"/>
      <c r="CN111" s="336"/>
      <c r="CO111" s="336"/>
      <c r="CP111" s="336"/>
      <c r="CQ111" s="336"/>
      <c r="CR111" s="336"/>
      <c r="CS111" s="336"/>
      <c r="CT111" s="336"/>
      <c r="DW111" s="186">
        <f>DX111*1000</f>
        <v>4700</v>
      </c>
      <c r="DX111" s="187">
        <v>4.7</v>
      </c>
      <c r="DY111" s="188">
        <v>0</v>
      </c>
      <c r="DZ111" s="188">
        <v>0.5</v>
      </c>
      <c r="EA111" s="188">
        <v>0</v>
      </c>
      <c r="EB111" s="188">
        <v>1</v>
      </c>
      <c r="EC111" s="188">
        <v>0.5</v>
      </c>
      <c r="ED111" s="188">
        <v>0</v>
      </c>
      <c r="EE111" s="188">
        <v>1.5</v>
      </c>
      <c r="EF111" s="188">
        <v>1</v>
      </c>
      <c r="EG111" s="188">
        <v>0.5</v>
      </c>
      <c r="EH111" s="188">
        <v>0</v>
      </c>
      <c r="EI111" s="188">
        <v>2</v>
      </c>
      <c r="EJ111" s="188">
        <v>1.5</v>
      </c>
      <c r="EK111" s="188">
        <v>1</v>
      </c>
      <c r="EL111" s="188">
        <v>0.5</v>
      </c>
      <c r="EM111" s="188">
        <v>0</v>
      </c>
      <c r="EN111" s="188">
        <v>2.5</v>
      </c>
      <c r="EO111" s="188">
        <v>2</v>
      </c>
      <c r="EP111" s="188">
        <v>1.5</v>
      </c>
      <c r="EQ111" s="188">
        <v>1</v>
      </c>
      <c r="ER111" s="188">
        <v>0.5</v>
      </c>
      <c r="ES111" s="188">
        <v>0.5</v>
      </c>
      <c r="ET111" s="188">
        <v>0</v>
      </c>
      <c r="EU111" s="188">
        <v>2.5</v>
      </c>
      <c r="EV111" s="188">
        <v>2</v>
      </c>
      <c r="EW111" s="188">
        <v>1.5</v>
      </c>
      <c r="EX111" s="188">
        <v>1</v>
      </c>
      <c r="EY111" s="188">
        <v>3.5</v>
      </c>
      <c r="EZ111" s="188">
        <v>0.5</v>
      </c>
      <c r="FA111" s="188">
        <v>0.5</v>
      </c>
      <c r="FB111" s="188">
        <v>0</v>
      </c>
      <c r="FC111" s="188">
        <v>0</v>
      </c>
      <c r="FD111" s="188">
        <v>2</v>
      </c>
      <c r="FE111" s="188">
        <v>1.5</v>
      </c>
      <c r="FF111" s="188">
        <v>1.5</v>
      </c>
      <c r="FG111" s="188">
        <v>1</v>
      </c>
      <c r="FH111" s="188">
        <v>3.5</v>
      </c>
      <c r="FI111" s="188">
        <v>0.5</v>
      </c>
      <c r="FJ111" s="188">
        <v>3</v>
      </c>
      <c r="FK111" s="188">
        <v>0</v>
      </c>
      <c r="FL111" s="188">
        <v>0</v>
      </c>
      <c r="FM111" s="188">
        <v>2</v>
      </c>
      <c r="FN111" s="188">
        <v>4.5</v>
      </c>
      <c r="FO111" s="188">
        <v>1.5</v>
      </c>
      <c r="FP111" s="188">
        <v>1.5</v>
      </c>
      <c r="FQ111" s="188">
        <v>1</v>
      </c>
      <c r="FR111" s="188">
        <v>1</v>
      </c>
      <c r="FS111" s="188">
        <v>0.5</v>
      </c>
      <c r="FT111" s="188">
        <v>3</v>
      </c>
      <c r="FU111" s="188">
        <v>0</v>
      </c>
      <c r="FV111" s="188">
        <v>2.5</v>
      </c>
      <c r="FW111" s="188">
        <v>2.5</v>
      </c>
      <c r="FX111" s="188">
        <v>2</v>
      </c>
      <c r="FY111" s="188">
        <v>4.5</v>
      </c>
      <c r="FZ111" s="188">
        <v>1.5</v>
      </c>
      <c r="GA111" s="188">
        <v>4</v>
      </c>
      <c r="GB111" s="188">
        <v>1</v>
      </c>
      <c r="GC111" s="188">
        <v>1</v>
      </c>
      <c r="GD111" s="188">
        <v>0.5</v>
      </c>
      <c r="GE111" s="188">
        <v>0.5</v>
      </c>
      <c r="GF111" s="188">
        <v>5.5</v>
      </c>
      <c r="GG111" s="188">
        <v>0</v>
      </c>
      <c r="GH111" s="188">
        <v>2.5</v>
      </c>
      <c r="GI111" s="188">
        <v>2.5</v>
      </c>
      <c r="GJ111" s="188">
        <v>2</v>
      </c>
      <c r="GK111" s="188">
        <v>2</v>
      </c>
      <c r="GL111" s="188">
        <v>1.5</v>
      </c>
      <c r="GM111" s="188">
        <v>4</v>
      </c>
      <c r="GN111" s="188">
        <v>1</v>
      </c>
      <c r="GO111" s="188">
        <v>3.5</v>
      </c>
      <c r="GP111" s="188">
        <v>3.5</v>
      </c>
      <c r="GQ111" s="188">
        <v>0.5</v>
      </c>
      <c r="GR111" s="188">
        <v>0.5</v>
      </c>
      <c r="GS111" s="188">
        <v>5.5</v>
      </c>
      <c r="GT111" s="188">
        <v>0</v>
      </c>
      <c r="GU111" s="188">
        <v>0</v>
      </c>
      <c r="GV111" s="188">
        <v>5</v>
      </c>
      <c r="GW111" s="188">
        <v>2</v>
      </c>
      <c r="GX111" s="188">
        <v>2</v>
      </c>
      <c r="GY111" s="188">
        <v>1.5</v>
      </c>
      <c r="GZ111" s="188">
        <v>1.5</v>
      </c>
      <c r="HA111" s="188">
        <v>6.5</v>
      </c>
      <c r="HB111" s="188">
        <v>1</v>
      </c>
      <c r="HC111" s="188">
        <v>3.5</v>
      </c>
      <c r="HD111" s="188">
        <v>3.5</v>
      </c>
      <c r="HE111" s="188">
        <v>0.5</v>
      </c>
      <c r="HF111" s="188">
        <v>3</v>
      </c>
      <c r="HG111" s="188">
        <v>3</v>
      </c>
      <c r="HH111" s="188">
        <v>0</v>
      </c>
      <c r="HI111" s="188">
        <v>0</v>
      </c>
      <c r="HJ111" s="188">
        <v>5</v>
      </c>
      <c r="HK111" s="188">
        <v>2</v>
      </c>
      <c r="HL111" s="188">
        <v>4.5</v>
      </c>
      <c r="HM111" s="188">
        <v>4.5</v>
      </c>
      <c r="HN111" s="188">
        <v>1.5</v>
      </c>
      <c r="HO111" s="188">
        <v>1.5</v>
      </c>
      <c r="HP111" s="188">
        <v>6.5</v>
      </c>
      <c r="HQ111" s="188">
        <v>1</v>
      </c>
      <c r="HR111" s="188">
        <v>1</v>
      </c>
      <c r="HS111" s="188">
        <v>6</v>
      </c>
      <c r="HT111" s="188">
        <v>0.5</v>
      </c>
      <c r="HU111" s="188">
        <v>3</v>
      </c>
      <c r="HV111" s="188">
        <v>3</v>
      </c>
      <c r="HW111" s="188">
        <v>0</v>
      </c>
      <c r="HX111" s="188">
        <v>2.5</v>
      </c>
      <c r="HY111" s="188">
        <v>2.5</v>
      </c>
      <c r="HZ111" s="188">
        <v>7.5</v>
      </c>
      <c r="IA111" s="188">
        <v>2</v>
      </c>
      <c r="IB111" s="188">
        <v>4.5</v>
      </c>
      <c r="IC111" s="188">
        <v>4.5</v>
      </c>
      <c r="ID111" s="188">
        <v>1.5</v>
      </c>
      <c r="IE111" s="188">
        <v>4</v>
      </c>
      <c r="IF111" s="188">
        <v>4</v>
      </c>
      <c r="IG111" s="188">
        <v>1</v>
      </c>
      <c r="IH111" s="188">
        <v>1</v>
      </c>
      <c r="II111" s="188">
        <v>6</v>
      </c>
      <c r="IJ111" s="188">
        <v>0.5</v>
      </c>
      <c r="IK111" s="188">
        <v>0.5</v>
      </c>
      <c r="IL111" s="188">
        <v>5.5</v>
      </c>
      <c r="IM111" s="188">
        <v>5.5</v>
      </c>
      <c r="IN111" s="188">
        <v>0</v>
      </c>
      <c r="IO111" s="188">
        <v>2.5</v>
      </c>
      <c r="IP111" s="188">
        <v>2.5</v>
      </c>
      <c r="IQ111" s="188">
        <v>7.5</v>
      </c>
      <c r="IR111" s="188">
        <v>2</v>
      </c>
      <c r="IS111" s="188">
        <v>2</v>
      </c>
      <c r="IT111" s="188">
        <v>7</v>
      </c>
      <c r="IU111" s="188">
        <v>1.5</v>
      </c>
      <c r="IV111" s="188">
        <v>4</v>
      </c>
      <c r="IW111" s="188">
        <v>4</v>
      </c>
      <c r="IX111" s="188">
        <v>1</v>
      </c>
      <c r="IY111" s="188">
        <v>3.5</v>
      </c>
      <c r="IZ111" s="188">
        <v>3.5</v>
      </c>
      <c r="JA111" s="188">
        <v>8.5</v>
      </c>
      <c r="JB111" s="188">
        <v>0.5</v>
      </c>
      <c r="JC111" s="188">
        <v>0.5</v>
      </c>
      <c r="JD111" s="188">
        <v>5.5</v>
      </c>
      <c r="JE111" s="188">
        <v>5.5</v>
      </c>
      <c r="JF111" s="188">
        <v>0</v>
      </c>
      <c r="JG111" s="188">
        <v>0</v>
      </c>
      <c r="JH111" s="188">
        <v>5</v>
      </c>
      <c r="JI111" s="188">
        <v>5</v>
      </c>
      <c r="JJ111" s="188">
        <v>2</v>
      </c>
      <c r="JK111" s="188">
        <v>2</v>
      </c>
      <c r="JL111" s="188">
        <v>7</v>
      </c>
      <c r="JM111" s="188">
        <v>1.5</v>
      </c>
      <c r="JN111" s="188">
        <v>1.5</v>
      </c>
      <c r="JO111" s="188">
        <v>6.5</v>
      </c>
      <c r="JP111" s="188">
        <v>6.5</v>
      </c>
      <c r="JQ111" s="188">
        <v>1</v>
      </c>
      <c r="JR111" s="188">
        <v>3.5</v>
      </c>
      <c r="JS111" s="188">
        <v>3.5</v>
      </c>
      <c r="JT111" s="188">
        <v>8.5</v>
      </c>
      <c r="JU111" s="188">
        <v>0.5</v>
      </c>
      <c r="JV111" s="188">
        <v>3</v>
      </c>
      <c r="JW111" s="188">
        <v>3</v>
      </c>
      <c r="JX111" s="188">
        <v>8</v>
      </c>
      <c r="JY111" s="188">
        <v>0</v>
      </c>
      <c r="JZ111" s="188">
        <v>0</v>
      </c>
      <c r="KA111" s="188">
        <v>5</v>
      </c>
      <c r="KB111" s="188">
        <v>5</v>
      </c>
      <c r="KC111" s="188">
        <v>2</v>
      </c>
      <c r="KD111" s="188">
        <v>4.5</v>
      </c>
      <c r="KE111" s="188">
        <v>4.5</v>
      </c>
      <c r="KF111" s="188">
        <v>9.5</v>
      </c>
      <c r="KG111" s="188">
        <v>1.5</v>
      </c>
      <c r="KH111" s="188">
        <v>1.5</v>
      </c>
      <c r="KI111" s="188">
        <v>6.5</v>
      </c>
      <c r="KJ111" s="188">
        <v>6.5</v>
      </c>
      <c r="KK111" s="188">
        <v>1</v>
      </c>
      <c r="KL111" s="188">
        <v>1</v>
      </c>
      <c r="KM111" s="188">
        <v>6</v>
      </c>
      <c r="KN111" s="188">
        <v>6</v>
      </c>
      <c r="KO111" s="188">
        <v>0.5</v>
      </c>
      <c r="KP111" s="188">
        <v>3</v>
      </c>
      <c r="KQ111" s="188">
        <v>3</v>
      </c>
      <c r="KR111" s="188">
        <v>8</v>
      </c>
      <c r="KS111" s="188">
        <v>0</v>
      </c>
      <c r="KT111" s="188">
        <v>2.5</v>
      </c>
      <c r="KU111" s="188">
        <v>2.5</v>
      </c>
      <c r="KV111" s="188">
        <v>7.5</v>
      </c>
      <c r="KW111" s="188">
        <v>2</v>
      </c>
      <c r="KX111" s="188">
        <v>4.5</v>
      </c>
      <c r="KY111" s="188">
        <v>4.5</v>
      </c>
      <c r="KZ111" s="188">
        <v>1.5</v>
      </c>
      <c r="LA111" s="188">
        <v>4</v>
      </c>
      <c r="LB111" s="188">
        <v>4</v>
      </c>
      <c r="LC111" s="188">
        <v>9</v>
      </c>
      <c r="LD111" s="188">
        <v>1</v>
      </c>
      <c r="LE111" s="188">
        <v>1</v>
      </c>
      <c r="LF111" s="188">
        <v>6</v>
      </c>
      <c r="LG111" s="188">
        <v>6</v>
      </c>
      <c r="LH111" s="188">
        <v>0.5</v>
      </c>
      <c r="LI111" s="188">
        <v>0.5</v>
      </c>
      <c r="LJ111" s="188">
        <v>5.5</v>
      </c>
      <c r="LK111" s="188">
        <v>5.5</v>
      </c>
      <c r="LL111" s="188">
        <v>10.5</v>
      </c>
      <c r="LM111" s="188">
        <v>0</v>
      </c>
      <c r="LN111" s="188">
        <v>2.5</v>
      </c>
      <c r="LO111" s="188">
        <v>2.5</v>
      </c>
      <c r="LP111" s="188">
        <v>7.5</v>
      </c>
      <c r="LQ111" s="188">
        <v>7.5</v>
      </c>
      <c r="LR111" s="188">
        <v>2</v>
      </c>
      <c r="LS111" s="188">
        <v>2</v>
      </c>
      <c r="LT111" s="188">
        <v>7</v>
      </c>
      <c r="LU111" s="188">
        <v>1.5</v>
      </c>
      <c r="LV111" s="188">
        <v>4</v>
      </c>
      <c r="LW111" s="188">
        <v>4</v>
      </c>
      <c r="LX111" s="188">
        <v>9</v>
      </c>
      <c r="LY111" s="188">
        <v>1</v>
      </c>
      <c r="LZ111" s="188">
        <v>3.5</v>
      </c>
      <c r="MA111" s="188">
        <v>3.5</v>
      </c>
      <c r="MB111" s="188">
        <v>8.5</v>
      </c>
      <c r="MC111" s="188">
        <v>8.5</v>
      </c>
      <c r="MD111" s="188">
        <v>0.5</v>
      </c>
      <c r="ME111" s="188">
        <v>0.5</v>
      </c>
    </row>
    <row r="112" spans="1:343" ht="7.4" customHeight="1" x14ac:dyDescent="0.5">
      <c r="A112" s="42"/>
      <c r="S112" s="72"/>
      <c r="T112" s="73"/>
      <c r="U112" s="73"/>
      <c r="V112" s="73"/>
      <c r="W112" s="73"/>
      <c r="X112" s="73"/>
      <c r="Y112" s="73"/>
      <c r="Z112" s="73"/>
      <c r="AA112" s="73"/>
      <c r="AB112" s="73"/>
      <c r="AC112" s="73"/>
      <c r="AD112" s="73"/>
      <c r="AE112" s="73"/>
      <c r="AF112" s="73"/>
      <c r="AG112" s="73"/>
      <c r="AH112" s="73"/>
      <c r="AI112" s="73"/>
      <c r="AJ112" s="73"/>
      <c r="AK112" s="73"/>
      <c r="AL112" s="73"/>
      <c r="AM112" s="73"/>
      <c r="AN112" s="73"/>
      <c r="AO112" s="73"/>
      <c r="AP112" s="73"/>
      <c r="AQ112" s="74"/>
      <c r="BI112" s="41"/>
      <c r="BK112" s="427"/>
      <c r="BL112" s="427"/>
      <c r="BM112" s="427"/>
      <c r="BN112" s="427"/>
      <c r="BO112" s="427"/>
      <c r="BP112" s="427"/>
      <c r="BQ112" s="510"/>
      <c r="BR112" s="510"/>
      <c r="BS112" s="510"/>
      <c r="BT112" s="510"/>
      <c r="BU112" s="510"/>
      <c r="BV112" s="510"/>
      <c r="BW112" s="510"/>
      <c r="BX112" s="510"/>
      <c r="BY112" s="510"/>
      <c r="BZ112" s="510"/>
      <c r="CA112" s="510"/>
      <c r="CB112" s="510"/>
      <c r="CC112" s="339"/>
      <c r="CD112" s="339"/>
      <c r="CE112" s="339"/>
      <c r="CF112" s="339"/>
      <c r="CG112" s="339"/>
      <c r="CH112" s="339"/>
      <c r="CI112" s="336"/>
      <c r="CJ112" s="336"/>
      <c r="CK112" s="336"/>
      <c r="CL112" s="336"/>
      <c r="CM112" s="336"/>
      <c r="CN112" s="336"/>
      <c r="CO112" s="336"/>
      <c r="CP112" s="336"/>
      <c r="CQ112" s="336"/>
      <c r="CR112" s="336"/>
      <c r="CS112" s="336"/>
      <c r="CT112" s="336"/>
      <c r="DW112" s="186">
        <f>DX112*1000</f>
        <v>5850</v>
      </c>
      <c r="DX112" s="187">
        <v>5.85</v>
      </c>
      <c r="DY112" s="188">
        <v>0</v>
      </c>
      <c r="DZ112" s="188">
        <v>0</v>
      </c>
      <c r="EA112" s="188">
        <v>0.5</v>
      </c>
      <c r="EB112" s="188">
        <v>0</v>
      </c>
      <c r="EC112" s="188">
        <v>0.5</v>
      </c>
      <c r="ED112" s="188">
        <v>1</v>
      </c>
      <c r="EE112" s="188">
        <v>0</v>
      </c>
      <c r="EF112" s="188">
        <v>0.5</v>
      </c>
      <c r="EG112" s="188">
        <v>1</v>
      </c>
      <c r="EH112" s="188">
        <v>1.5</v>
      </c>
      <c r="EI112" s="188">
        <v>0</v>
      </c>
      <c r="EJ112" s="188">
        <v>0.5</v>
      </c>
      <c r="EK112" s="188">
        <v>1</v>
      </c>
      <c r="EL112" s="188">
        <v>1.5</v>
      </c>
      <c r="EM112" s="188">
        <v>2</v>
      </c>
      <c r="EN112" s="188">
        <v>0</v>
      </c>
      <c r="EO112" s="188">
        <v>0.5</v>
      </c>
      <c r="EP112" s="188">
        <v>1</v>
      </c>
      <c r="EQ112" s="188">
        <v>1.5</v>
      </c>
      <c r="ER112" s="188">
        <v>2</v>
      </c>
      <c r="ES112" s="188">
        <v>2</v>
      </c>
      <c r="ET112" s="188">
        <v>2.5</v>
      </c>
      <c r="EU112" s="188">
        <v>0.5</v>
      </c>
      <c r="EV112" s="188">
        <v>1</v>
      </c>
      <c r="EW112" s="188">
        <v>1.5</v>
      </c>
      <c r="EX112" s="188">
        <v>2</v>
      </c>
      <c r="EY112" s="188">
        <v>0</v>
      </c>
      <c r="EZ112" s="188">
        <v>2.5</v>
      </c>
      <c r="FA112" s="188">
        <v>2.5</v>
      </c>
      <c r="FB112" s="188">
        <v>3</v>
      </c>
      <c r="FC112" s="188">
        <v>3</v>
      </c>
      <c r="FD112" s="188">
        <v>1.5</v>
      </c>
      <c r="FE112" s="188">
        <v>2</v>
      </c>
      <c r="FF112" s="188">
        <v>2</v>
      </c>
      <c r="FG112" s="188">
        <v>2.5</v>
      </c>
      <c r="FH112" s="188">
        <v>0.5</v>
      </c>
      <c r="FI112" s="188">
        <v>3</v>
      </c>
      <c r="FJ112" s="188">
        <v>1</v>
      </c>
      <c r="FK112" s="188">
        <v>3.5</v>
      </c>
      <c r="FL112" s="188">
        <v>3.5</v>
      </c>
      <c r="FM112" s="188">
        <v>2</v>
      </c>
      <c r="FN112" s="188">
        <v>0</v>
      </c>
      <c r="FO112" s="188">
        <v>2.5</v>
      </c>
      <c r="FP112" s="188">
        <v>2.5</v>
      </c>
      <c r="FQ112" s="188">
        <v>3</v>
      </c>
      <c r="FR112" s="188">
        <v>3</v>
      </c>
      <c r="FS112" s="188">
        <v>3.5</v>
      </c>
      <c r="FT112" s="188">
        <v>1.5</v>
      </c>
      <c r="FU112" s="188">
        <v>4</v>
      </c>
      <c r="FV112" s="188">
        <v>2</v>
      </c>
      <c r="FW112" s="188">
        <v>2</v>
      </c>
      <c r="FX112" s="188">
        <v>2.5</v>
      </c>
      <c r="FY112" s="188">
        <v>0.5</v>
      </c>
      <c r="FZ112" s="188">
        <v>3</v>
      </c>
      <c r="GA112" s="188">
        <v>1</v>
      </c>
      <c r="GB112" s="188">
        <v>3.5</v>
      </c>
      <c r="GC112" s="188">
        <v>3.5</v>
      </c>
      <c r="GD112" s="188">
        <v>4</v>
      </c>
      <c r="GE112" s="188">
        <v>4</v>
      </c>
      <c r="GF112" s="188">
        <v>0</v>
      </c>
      <c r="GG112" s="188">
        <v>4.5</v>
      </c>
      <c r="GH112" s="188">
        <v>2.5</v>
      </c>
      <c r="GI112" s="188">
        <v>2.5</v>
      </c>
      <c r="GJ112" s="188">
        <v>3</v>
      </c>
      <c r="GK112" s="188">
        <v>3</v>
      </c>
      <c r="GL112" s="188">
        <v>3.5</v>
      </c>
      <c r="GM112" s="188">
        <v>1.5</v>
      </c>
      <c r="GN112" s="188">
        <v>4</v>
      </c>
      <c r="GO112" s="188">
        <v>2</v>
      </c>
      <c r="GP112" s="188">
        <v>2</v>
      </c>
      <c r="GQ112" s="188">
        <v>4.5</v>
      </c>
      <c r="GR112" s="188">
        <v>4.5</v>
      </c>
      <c r="GS112" s="188">
        <v>0.5</v>
      </c>
      <c r="GT112" s="188">
        <v>5</v>
      </c>
      <c r="GU112" s="188">
        <v>5</v>
      </c>
      <c r="GV112" s="188">
        <v>1</v>
      </c>
      <c r="GW112" s="188">
        <v>3.5</v>
      </c>
      <c r="GX112" s="188">
        <v>3.5</v>
      </c>
      <c r="GY112" s="188">
        <v>4</v>
      </c>
      <c r="GZ112" s="188">
        <v>4</v>
      </c>
      <c r="HA112" s="188">
        <v>0</v>
      </c>
      <c r="HB112" s="188">
        <v>4.5</v>
      </c>
      <c r="HC112" s="188">
        <v>2.5</v>
      </c>
      <c r="HD112" s="188">
        <v>2.5</v>
      </c>
      <c r="HE112" s="188">
        <v>5</v>
      </c>
      <c r="HF112" s="188">
        <v>3</v>
      </c>
      <c r="HG112" s="188">
        <v>3</v>
      </c>
      <c r="HH112" s="188">
        <v>5.5</v>
      </c>
      <c r="HI112" s="188">
        <v>5.5</v>
      </c>
      <c r="HJ112" s="188">
        <v>1.5</v>
      </c>
      <c r="HK112" s="188">
        <v>4</v>
      </c>
      <c r="HL112" s="188">
        <v>2</v>
      </c>
      <c r="HM112" s="188">
        <v>2</v>
      </c>
      <c r="HN112" s="188">
        <v>4.5</v>
      </c>
      <c r="HO112" s="188">
        <v>4.5</v>
      </c>
      <c r="HP112" s="188">
        <v>0.5</v>
      </c>
      <c r="HQ112" s="188">
        <v>5</v>
      </c>
      <c r="HR112" s="188">
        <v>5</v>
      </c>
      <c r="HS112" s="188">
        <v>1</v>
      </c>
      <c r="HT112" s="188">
        <v>5.5</v>
      </c>
      <c r="HU112" s="188">
        <v>3.5</v>
      </c>
      <c r="HV112" s="188">
        <v>3.5</v>
      </c>
      <c r="HW112" s="188">
        <v>6</v>
      </c>
      <c r="HX112" s="188">
        <v>4</v>
      </c>
      <c r="HY112" s="188">
        <v>4</v>
      </c>
      <c r="HZ112" s="188">
        <v>0</v>
      </c>
      <c r="IA112" s="188">
        <v>4.5</v>
      </c>
      <c r="IB112" s="188">
        <v>2.5</v>
      </c>
      <c r="IC112" s="188">
        <v>2.5</v>
      </c>
      <c r="ID112" s="188">
        <v>5</v>
      </c>
      <c r="IE112" s="188">
        <v>3</v>
      </c>
      <c r="IF112" s="188">
        <v>3</v>
      </c>
      <c r="IG112" s="188">
        <v>5.5</v>
      </c>
      <c r="IH112" s="188">
        <v>5.5</v>
      </c>
      <c r="II112" s="188">
        <v>1.5</v>
      </c>
      <c r="IJ112" s="188">
        <v>6</v>
      </c>
      <c r="IK112" s="188">
        <v>6</v>
      </c>
      <c r="IL112" s="188">
        <v>2</v>
      </c>
      <c r="IM112" s="188">
        <v>2</v>
      </c>
      <c r="IN112" s="188">
        <v>6.5</v>
      </c>
      <c r="IO112" s="188">
        <v>4.5</v>
      </c>
      <c r="IP112" s="188">
        <v>4.5</v>
      </c>
      <c r="IQ112" s="188">
        <v>0.5</v>
      </c>
      <c r="IR112" s="188">
        <v>5</v>
      </c>
      <c r="IS112" s="188">
        <v>5</v>
      </c>
      <c r="IT112" s="188">
        <v>1</v>
      </c>
      <c r="IU112" s="188">
        <v>5.5</v>
      </c>
      <c r="IV112" s="188">
        <v>3.5</v>
      </c>
      <c r="IW112" s="188">
        <v>3.5</v>
      </c>
      <c r="IX112" s="188">
        <v>6</v>
      </c>
      <c r="IY112" s="188">
        <v>4</v>
      </c>
      <c r="IZ112" s="188">
        <v>4</v>
      </c>
      <c r="JA112" s="188">
        <v>0</v>
      </c>
      <c r="JB112" s="188">
        <v>6.5</v>
      </c>
      <c r="JC112" s="188">
        <v>6.5</v>
      </c>
      <c r="JD112" s="188">
        <v>2.5</v>
      </c>
      <c r="JE112" s="188">
        <v>2.5</v>
      </c>
      <c r="JF112" s="188">
        <v>7</v>
      </c>
      <c r="JG112" s="188">
        <v>7</v>
      </c>
      <c r="JH112" s="188">
        <v>3</v>
      </c>
      <c r="JI112" s="188">
        <v>3</v>
      </c>
      <c r="JJ112" s="188">
        <v>5.5</v>
      </c>
      <c r="JK112" s="188">
        <v>5.5</v>
      </c>
      <c r="JL112" s="188">
        <v>1.5</v>
      </c>
      <c r="JM112" s="188">
        <v>6</v>
      </c>
      <c r="JN112" s="188">
        <v>6</v>
      </c>
      <c r="JO112" s="188">
        <v>2</v>
      </c>
      <c r="JP112" s="188">
        <v>2</v>
      </c>
      <c r="JQ112" s="188">
        <v>6.5</v>
      </c>
      <c r="JR112" s="188">
        <v>4.5</v>
      </c>
      <c r="JS112" s="188">
        <v>4.5</v>
      </c>
      <c r="JT112" s="188">
        <v>0.5</v>
      </c>
      <c r="JU112" s="188">
        <v>7</v>
      </c>
      <c r="JV112" s="188">
        <v>5</v>
      </c>
      <c r="JW112" s="188">
        <v>5</v>
      </c>
      <c r="JX112" s="188">
        <v>1</v>
      </c>
      <c r="JY112" s="188">
        <v>7.5</v>
      </c>
      <c r="JZ112" s="188">
        <v>7.5</v>
      </c>
      <c r="KA112" s="188">
        <v>3.5</v>
      </c>
      <c r="KB112" s="188">
        <v>3.5</v>
      </c>
      <c r="KC112" s="188">
        <v>6</v>
      </c>
      <c r="KD112" s="188">
        <v>4</v>
      </c>
      <c r="KE112" s="188">
        <v>4</v>
      </c>
      <c r="KF112" s="188">
        <v>0</v>
      </c>
      <c r="KG112" s="188">
        <v>6.5</v>
      </c>
      <c r="KH112" s="188">
        <v>6.5</v>
      </c>
      <c r="KI112" s="188">
        <v>2.5</v>
      </c>
      <c r="KJ112" s="188">
        <v>2.5</v>
      </c>
      <c r="KK112" s="188">
        <v>7</v>
      </c>
      <c r="KL112" s="188">
        <v>7</v>
      </c>
      <c r="KM112" s="188">
        <v>3</v>
      </c>
      <c r="KN112" s="188">
        <v>3</v>
      </c>
      <c r="KO112" s="188">
        <v>7.5</v>
      </c>
      <c r="KP112" s="188">
        <v>5.5</v>
      </c>
      <c r="KQ112" s="188">
        <v>5.5</v>
      </c>
      <c r="KR112" s="188">
        <v>1.5</v>
      </c>
      <c r="KS112" s="188">
        <v>8</v>
      </c>
      <c r="KT112" s="188">
        <v>6</v>
      </c>
      <c r="KU112" s="188">
        <v>6</v>
      </c>
      <c r="KV112" s="188">
        <v>2</v>
      </c>
      <c r="KW112" s="188">
        <v>6.5</v>
      </c>
      <c r="KX112" s="188">
        <v>4.5</v>
      </c>
      <c r="KY112" s="188">
        <v>4.5</v>
      </c>
      <c r="KZ112" s="188">
        <v>7</v>
      </c>
      <c r="LA112" s="188">
        <v>5</v>
      </c>
      <c r="LB112" s="188">
        <v>5</v>
      </c>
      <c r="LC112" s="188">
        <v>1</v>
      </c>
      <c r="LD112" s="188">
        <v>7.5</v>
      </c>
      <c r="LE112" s="188">
        <v>7.5</v>
      </c>
      <c r="LF112" s="188">
        <v>3.5</v>
      </c>
      <c r="LG112" s="188">
        <v>3.5</v>
      </c>
      <c r="LH112" s="188">
        <v>8</v>
      </c>
      <c r="LI112" s="188">
        <v>8</v>
      </c>
      <c r="LJ112" s="188">
        <v>4</v>
      </c>
      <c r="LK112" s="188">
        <v>4</v>
      </c>
      <c r="LL112" s="188">
        <v>0</v>
      </c>
      <c r="LM112" s="188">
        <v>8.5</v>
      </c>
      <c r="LN112" s="188">
        <v>6.5</v>
      </c>
      <c r="LO112" s="188">
        <v>6.5</v>
      </c>
      <c r="LP112" s="188">
        <v>2.5</v>
      </c>
      <c r="LQ112" s="188">
        <v>2.5</v>
      </c>
      <c r="LR112" s="188">
        <v>7</v>
      </c>
      <c r="LS112" s="188">
        <v>7</v>
      </c>
      <c r="LT112" s="188">
        <v>3</v>
      </c>
      <c r="LU112" s="188">
        <v>7.5</v>
      </c>
      <c r="LV112" s="188">
        <v>5.5</v>
      </c>
      <c r="LW112" s="188">
        <v>5.5</v>
      </c>
      <c r="LX112" s="188">
        <v>1.5</v>
      </c>
      <c r="LY112" s="188">
        <v>8</v>
      </c>
      <c r="LZ112" s="188">
        <v>6</v>
      </c>
      <c r="MA112" s="188">
        <v>6</v>
      </c>
      <c r="MB112" s="188">
        <v>2</v>
      </c>
      <c r="MC112" s="188">
        <v>2</v>
      </c>
      <c r="MD112" s="188">
        <v>8.5</v>
      </c>
      <c r="ME112" s="188">
        <v>8.5</v>
      </c>
    </row>
    <row r="113" spans="1:342" ht="7.4" customHeight="1" x14ac:dyDescent="0.5">
      <c r="A113" s="42"/>
      <c r="BI113" s="41"/>
      <c r="CO113" s="298"/>
      <c r="CP113" s="298"/>
      <c r="CQ113" s="298"/>
      <c r="CR113" s="298"/>
      <c r="CS113" s="298"/>
      <c r="CT113" s="298"/>
      <c r="DW113" s="24" t="s">
        <v>86</v>
      </c>
    </row>
    <row r="114" spans="1:342" ht="7.4" customHeight="1" x14ac:dyDescent="0.5">
      <c r="A114" s="42"/>
      <c r="B114" s="29"/>
      <c r="C114" s="422" t="s">
        <v>49</v>
      </c>
      <c r="D114" s="422"/>
      <c r="E114" s="423"/>
      <c r="F114" s="29"/>
      <c r="G114" s="422" t="s">
        <v>50</v>
      </c>
      <c r="H114" s="422"/>
      <c r="I114" s="422"/>
      <c r="J114" s="422"/>
      <c r="K114" s="422"/>
      <c r="L114" s="422"/>
      <c r="M114" s="422"/>
      <c r="N114" s="422"/>
      <c r="O114" s="422"/>
      <c r="P114" s="422"/>
      <c r="Q114" s="422"/>
      <c r="R114" s="423"/>
      <c r="S114" s="29"/>
      <c r="T114" s="363" t="s">
        <v>51</v>
      </c>
      <c r="U114" s="363"/>
      <c r="V114" s="363"/>
      <c r="W114" s="363"/>
      <c r="X114" s="363"/>
      <c r="Y114" s="363"/>
      <c r="Z114" s="363"/>
      <c r="AA114" s="363"/>
      <c r="AB114" s="363"/>
      <c r="AC114" s="363"/>
      <c r="AD114" s="363"/>
      <c r="AE114" s="363"/>
      <c r="AF114" s="363"/>
      <c r="AG114" s="363"/>
      <c r="AH114" s="363"/>
      <c r="AI114" s="363"/>
      <c r="AJ114" s="364"/>
      <c r="AK114" s="29"/>
      <c r="AL114" s="422" t="s">
        <v>106</v>
      </c>
      <c r="AM114" s="422"/>
      <c r="AN114" s="422"/>
      <c r="AO114" s="422"/>
      <c r="AP114" s="423"/>
      <c r="AQ114" s="299" t="s">
        <v>53</v>
      </c>
      <c r="AR114" s="363"/>
      <c r="AS114" s="363"/>
      <c r="AT114" s="363"/>
      <c r="AU114" s="363"/>
      <c r="AV114" s="363"/>
      <c r="AW114" s="363"/>
      <c r="AX114" s="363"/>
      <c r="AY114" s="363"/>
      <c r="AZ114" s="363"/>
      <c r="BA114" s="363"/>
      <c r="BB114" s="363"/>
      <c r="BC114" s="363"/>
      <c r="BD114" s="363"/>
      <c r="BE114" s="363"/>
      <c r="BF114" s="363"/>
      <c r="BG114" s="363"/>
      <c r="BH114" s="364"/>
      <c r="BI114" s="41"/>
      <c r="BK114" s="81"/>
      <c r="BL114" s="77"/>
      <c r="BM114" s="40"/>
      <c r="BN114" s="77"/>
      <c r="BO114" s="77"/>
      <c r="BP114" s="40"/>
      <c r="BQ114" s="81"/>
      <c r="BR114" s="77"/>
      <c r="BS114" s="40"/>
      <c r="BT114" s="81"/>
      <c r="BU114" s="77"/>
      <c r="BV114" s="40"/>
      <c r="BW114" s="81"/>
      <c r="BX114" s="77"/>
      <c r="BY114" s="40"/>
      <c r="BZ114" s="81"/>
      <c r="CA114" s="77"/>
      <c r="CB114" s="40"/>
      <c r="CC114" s="81"/>
      <c r="CD114" s="77"/>
      <c r="CE114" s="40"/>
      <c r="CF114" s="81"/>
      <c r="CG114" s="77"/>
      <c r="CH114" s="40"/>
      <c r="CI114" s="81"/>
      <c r="CJ114" s="77"/>
      <c r="CK114" s="40"/>
      <c r="CL114" s="81"/>
      <c r="CM114" s="77"/>
      <c r="CN114" s="40"/>
      <c r="CO114" s="81"/>
      <c r="CP114" s="77"/>
      <c r="CQ114" s="40"/>
      <c r="CR114" s="81"/>
      <c r="CS114" s="77"/>
      <c r="CT114" s="40"/>
      <c r="CU114" s="81"/>
      <c r="CV114" s="77"/>
      <c r="CW114" s="40"/>
      <c r="CX114" s="81"/>
      <c r="CY114" s="77"/>
      <c r="CZ114" s="40"/>
      <c r="DA114" s="81"/>
      <c r="DB114" s="77"/>
      <c r="DC114" s="40"/>
      <c r="DD114" s="81"/>
      <c r="DE114" s="77"/>
      <c r="DF114" s="40"/>
      <c r="DY114" s="189"/>
      <c r="DZ114" s="189"/>
      <c r="EA114" s="189"/>
      <c r="EB114" s="189"/>
      <c r="EC114" s="189"/>
      <c r="ED114" s="189"/>
      <c r="EE114" s="189"/>
      <c r="EF114" s="189"/>
      <c r="EG114" s="189"/>
      <c r="EH114" s="189"/>
      <c r="EI114" s="189"/>
      <c r="EJ114" s="189"/>
      <c r="EK114" s="189"/>
      <c r="EL114" s="189"/>
      <c r="EM114" s="189"/>
      <c r="EN114" s="189"/>
      <c r="EO114" s="189"/>
      <c r="EP114" s="189"/>
      <c r="EQ114" s="189"/>
      <c r="ER114" s="189"/>
      <c r="ES114" s="189"/>
      <c r="ET114" s="189"/>
      <c r="EU114" s="189"/>
      <c r="EV114" s="189"/>
      <c r="EW114" s="189"/>
      <c r="EX114" s="189"/>
      <c r="EY114" s="189"/>
      <c r="EZ114" s="189"/>
      <c r="FA114" s="189"/>
      <c r="FB114" s="189"/>
      <c r="FC114" s="189"/>
      <c r="FD114" s="189"/>
      <c r="FE114" s="189"/>
      <c r="FF114" s="189"/>
      <c r="FG114" s="189"/>
      <c r="FH114" s="189"/>
      <c r="FI114" s="189"/>
      <c r="FJ114" s="189"/>
      <c r="FK114" s="189"/>
      <c r="FL114" s="189"/>
      <c r="FM114" s="189"/>
      <c r="FN114" s="189"/>
      <c r="FO114" s="189"/>
      <c r="FP114" s="189"/>
      <c r="FQ114" s="189"/>
      <c r="FR114" s="189"/>
      <c r="FS114" s="189"/>
      <c r="FT114" s="189"/>
      <c r="FU114" s="189"/>
      <c r="FV114" s="189"/>
      <c r="FW114" s="189"/>
      <c r="FX114" s="189"/>
      <c r="FY114" s="189"/>
      <c r="FZ114" s="189"/>
      <c r="GA114" s="189"/>
      <c r="GB114" s="189"/>
      <c r="GC114" s="189"/>
      <c r="GD114" s="189"/>
      <c r="GE114" s="189"/>
      <c r="GF114" s="189"/>
      <c r="GG114" s="189"/>
      <c r="GH114" s="189"/>
      <c r="GI114" s="189"/>
      <c r="GJ114" s="189"/>
      <c r="GK114" s="189"/>
      <c r="GL114" s="189"/>
      <c r="GM114" s="189"/>
      <c r="GN114" s="189"/>
      <c r="GO114" s="189"/>
      <c r="GP114" s="189"/>
      <c r="GQ114" s="189"/>
      <c r="GR114" s="189"/>
      <c r="GS114" s="189"/>
      <c r="GT114" s="189"/>
      <c r="GU114" s="189"/>
      <c r="GV114" s="189"/>
      <c r="GW114" s="189"/>
      <c r="GX114" s="189"/>
      <c r="GY114" s="189"/>
      <c r="GZ114" s="189"/>
      <c r="HA114" s="189"/>
      <c r="HB114" s="189"/>
      <c r="HC114" s="189"/>
      <c r="HD114" s="189"/>
      <c r="HE114" s="189"/>
      <c r="HF114" s="189"/>
      <c r="HG114" s="189"/>
      <c r="HH114" s="189"/>
      <c r="HI114" s="189"/>
      <c r="HJ114" s="189"/>
      <c r="HK114" s="189"/>
      <c r="HL114" s="189"/>
      <c r="HM114" s="189"/>
      <c r="HN114" s="189"/>
      <c r="HO114" s="189"/>
      <c r="HP114" s="189"/>
      <c r="HQ114" s="189"/>
      <c r="HR114" s="189"/>
      <c r="HS114" s="189"/>
      <c r="HT114" s="189"/>
      <c r="HU114" s="189"/>
      <c r="HV114" s="189"/>
      <c r="HW114" s="189"/>
      <c r="HX114" s="189"/>
      <c r="HY114" s="189"/>
      <c r="HZ114" s="189"/>
      <c r="IA114" s="189"/>
      <c r="IB114" s="189"/>
      <c r="IC114" s="189"/>
      <c r="ID114" s="189"/>
      <c r="IE114" s="189"/>
      <c r="IF114" s="189"/>
      <c r="IG114" s="189"/>
      <c r="IH114" s="189"/>
      <c r="II114" s="189"/>
      <c r="IJ114" s="189"/>
      <c r="IK114" s="189"/>
      <c r="IL114" s="189"/>
      <c r="IM114" s="189"/>
      <c r="IN114" s="189"/>
      <c r="IO114" s="189"/>
      <c r="IP114" s="189"/>
      <c r="IQ114" s="189"/>
      <c r="IR114" s="189"/>
      <c r="IS114" s="189"/>
      <c r="IT114" s="189"/>
      <c r="IU114" s="189"/>
      <c r="IV114" s="189"/>
      <c r="IW114" s="189"/>
      <c r="IX114" s="189"/>
      <c r="IY114" s="189"/>
      <c r="IZ114" s="189"/>
      <c r="JA114" s="189"/>
      <c r="JB114" s="189"/>
      <c r="JC114" s="189"/>
      <c r="JD114" s="189"/>
      <c r="JE114" s="189"/>
      <c r="JF114" s="189"/>
      <c r="JG114" s="189"/>
      <c r="JH114" s="189"/>
      <c r="JI114" s="189"/>
      <c r="JJ114" s="189"/>
      <c r="JK114" s="189"/>
      <c r="JL114" s="189"/>
      <c r="JM114" s="189"/>
      <c r="JN114" s="189"/>
      <c r="JO114" s="189"/>
      <c r="JP114" s="189"/>
      <c r="JQ114" s="189"/>
      <c r="JR114" s="189"/>
      <c r="JS114" s="189"/>
      <c r="JT114" s="189"/>
      <c r="JU114" s="189"/>
      <c r="JV114" s="189"/>
      <c r="JW114" s="189"/>
      <c r="JX114" s="189"/>
      <c r="JY114" s="189"/>
      <c r="JZ114" s="189"/>
      <c r="KA114" s="189"/>
      <c r="KB114" s="189"/>
      <c r="KC114" s="189"/>
      <c r="KD114" s="189"/>
      <c r="KE114" s="189"/>
      <c r="KF114" s="189"/>
      <c r="KG114" s="189"/>
      <c r="KH114" s="189"/>
      <c r="KI114" s="189"/>
      <c r="KJ114" s="189"/>
      <c r="KK114" s="189"/>
      <c r="KL114" s="189"/>
      <c r="KM114" s="189"/>
      <c r="KN114" s="189"/>
      <c r="KO114" s="189"/>
      <c r="KP114" s="189"/>
      <c r="KQ114" s="189"/>
      <c r="KR114" s="189"/>
      <c r="KS114" s="189"/>
      <c r="KT114" s="189"/>
      <c r="KU114" s="189"/>
      <c r="KV114" s="189"/>
      <c r="KW114" s="189"/>
      <c r="KX114" s="189"/>
      <c r="KY114" s="189"/>
      <c r="KZ114" s="189"/>
      <c r="LA114" s="189"/>
      <c r="LB114" s="189"/>
      <c r="LC114" s="189"/>
      <c r="LD114" s="189"/>
      <c r="LE114" s="189"/>
      <c r="LF114" s="189"/>
      <c r="LG114" s="189"/>
      <c r="LH114" s="189"/>
      <c r="LI114" s="189"/>
      <c r="LJ114" s="189"/>
      <c r="LK114" s="189"/>
      <c r="LL114" s="189"/>
      <c r="LM114" s="189"/>
      <c r="LN114" s="189"/>
      <c r="LO114" s="189"/>
      <c r="LP114" s="189"/>
      <c r="LQ114" s="189"/>
      <c r="LR114" s="189"/>
      <c r="LS114" s="189"/>
      <c r="LT114" s="189"/>
      <c r="LU114" s="189"/>
      <c r="LV114" s="189"/>
      <c r="LW114" s="189"/>
      <c r="LX114" s="189"/>
      <c r="LY114" s="189"/>
      <c r="LZ114" s="189"/>
      <c r="MA114" s="189"/>
      <c r="MB114" s="189"/>
      <c r="MC114" s="189"/>
      <c r="MD114" s="189"/>
    </row>
    <row r="115" spans="1:342" ht="7.4" customHeight="1" x14ac:dyDescent="0.5">
      <c r="A115" s="42"/>
      <c r="B115" s="32"/>
      <c r="C115" s="408"/>
      <c r="D115" s="408"/>
      <c r="E115" s="424"/>
      <c r="F115" s="32"/>
      <c r="G115" s="408"/>
      <c r="H115" s="408"/>
      <c r="I115" s="408"/>
      <c r="J115" s="408"/>
      <c r="K115" s="408"/>
      <c r="L115" s="408"/>
      <c r="M115" s="408"/>
      <c r="N115" s="408"/>
      <c r="O115" s="408"/>
      <c r="P115" s="408"/>
      <c r="Q115" s="408"/>
      <c r="R115" s="424"/>
      <c r="S115" s="32"/>
      <c r="T115" s="366"/>
      <c r="U115" s="366"/>
      <c r="V115" s="366"/>
      <c r="W115" s="366"/>
      <c r="X115" s="366"/>
      <c r="Y115" s="366"/>
      <c r="Z115" s="366"/>
      <c r="AA115" s="366"/>
      <c r="AB115" s="366"/>
      <c r="AC115" s="366"/>
      <c r="AD115" s="366"/>
      <c r="AE115" s="366"/>
      <c r="AF115" s="366"/>
      <c r="AG115" s="366"/>
      <c r="AH115" s="366"/>
      <c r="AI115" s="366"/>
      <c r="AJ115" s="367"/>
      <c r="AK115" s="32"/>
      <c r="AL115" s="408"/>
      <c r="AM115" s="408"/>
      <c r="AN115" s="408"/>
      <c r="AO115" s="408"/>
      <c r="AP115" s="424"/>
      <c r="AQ115" s="365"/>
      <c r="AR115" s="366"/>
      <c r="AS115" s="366"/>
      <c r="AT115" s="366"/>
      <c r="AU115" s="366"/>
      <c r="AV115" s="366"/>
      <c r="AW115" s="366"/>
      <c r="AX115" s="366"/>
      <c r="AY115" s="366"/>
      <c r="AZ115" s="366"/>
      <c r="BA115" s="366"/>
      <c r="BB115" s="366"/>
      <c r="BC115" s="366"/>
      <c r="BD115" s="366"/>
      <c r="BE115" s="366"/>
      <c r="BF115" s="366"/>
      <c r="BG115" s="366"/>
      <c r="BH115" s="367"/>
      <c r="BI115" s="41"/>
      <c r="BK115" s="310">
        <v>1</v>
      </c>
      <c r="BL115" s="311"/>
      <c r="BM115" s="312"/>
      <c r="BN115" s="310">
        <v>2</v>
      </c>
      <c r="BO115" s="311"/>
      <c r="BP115" s="312"/>
      <c r="BQ115" s="310">
        <v>3</v>
      </c>
      <c r="BR115" s="311"/>
      <c r="BS115" s="312"/>
      <c r="BT115" s="310">
        <v>4</v>
      </c>
      <c r="BU115" s="311"/>
      <c r="BV115" s="312"/>
      <c r="BW115" s="310">
        <v>5</v>
      </c>
      <c r="BX115" s="311"/>
      <c r="BY115" s="312"/>
      <c r="BZ115" s="310">
        <v>6</v>
      </c>
      <c r="CA115" s="311"/>
      <c r="CB115" s="312"/>
      <c r="CC115" s="310">
        <v>7</v>
      </c>
      <c r="CD115" s="311"/>
      <c r="CE115" s="312"/>
      <c r="CF115" s="310">
        <v>8</v>
      </c>
      <c r="CG115" s="311"/>
      <c r="CH115" s="312"/>
      <c r="CI115" s="310">
        <v>9</v>
      </c>
      <c r="CJ115" s="311"/>
      <c r="CK115" s="312"/>
      <c r="CL115" s="310">
        <v>10</v>
      </c>
      <c r="CM115" s="311"/>
      <c r="CN115" s="312"/>
      <c r="CO115" s="310">
        <v>11</v>
      </c>
      <c r="CP115" s="311"/>
      <c r="CQ115" s="312"/>
      <c r="CR115" s="310">
        <v>12</v>
      </c>
      <c r="CS115" s="311"/>
      <c r="CT115" s="312"/>
      <c r="CU115" s="310">
        <v>13</v>
      </c>
      <c r="CV115" s="311"/>
      <c r="CW115" s="312"/>
      <c r="CX115" s="310">
        <v>14</v>
      </c>
      <c r="CY115" s="311"/>
      <c r="CZ115" s="312"/>
      <c r="DA115" s="310">
        <v>15</v>
      </c>
      <c r="DB115" s="311"/>
      <c r="DC115" s="312"/>
      <c r="DD115" s="310">
        <v>16</v>
      </c>
      <c r="DE115" s="311"/>
      <c r="DF115" s="312"/>
      <c r="DH115" s="331"/>
      <c r="DI115" s="331"/>
      <c r="DJ115" s="331"/>
      <c r="DK115" s="331"/>
      <c r="DL115" s="311"/>
      <c r="DM115" s="311"/>
      <c r="DN115" s="311"/>
      <c r="DO115" s="311"/>
      <c r="DP115" s="311"/>
      <c r="DQ115" s="311"/>
      <c r="DR115" s="311"/>
      <c r="DS115" s="311"/>
      <c r="DT115" s="311"/>
      <c r="DY115" s="190">
        <f t="shared" ref="DY115:GJ115" si="4">DZ110-DY110</f>
        <v>2.35</v>
      </c>
      <c r="DZ115" s="190">
        <f t="shared" si="4"/>
        <v>0.57499999999999973</v>
      </c>
      <c r="EA115" s="190">
        <f t="shared" si="4"/>
        <v>1.7750000000000004</v>
      </c>
      <c r="EB115" s="190">
        <f t="shared" si="4"/>
        <v>0.57500000000000018</v>
      </c>
      <c r="EC115" s="190">
        <f t="shared" si="4"/>
        <v>0.57499999999999929</v>
      </c>
      <c r="ED115" s="190">
        <f t="shared" si="4"/>
        <v>1.2000000000000011</v>
      </c>
      <c r="EE115" s="190">
        <f t="shared" si="4"/>
        <v>0.57499999999999929</v>
      </c>
      <c r="EF115" s="190">
        <f t="shared" si="4"/>
        <v>0.57499999999999929</v>
      </c>
      <c r="EG115" s="190">
        <f t="shared" si="4"/>
        <v>0.57499999999999929</v>
      </c>
      <c r="EH115" s="190">
        <f t="shared" si="4"/>
        <v>0.62500000000000178</v>
      </c>
      <c r="EI115" s="190">
        <f t="shared" si="4"/>
        <v>0.57500000000000107</v>
      </c>
      <c r="EJ115" s="190">
        <f t="shared" si="4"/>
        <v>0.57499999999999929</v>
      </c>
      <c r="EK115" s="190">
        <f t="shared" si="4"/>
        <v>0.57499999999999751</v>
      </c>
      <c r="EL115" s="190">
        <f t="shared" si="4"/>
        <v>0.57500000000000107</v>
      </c>
      <c r="EM115" s="190">
        <f t="shared" si="4"/>
        <v>5.0000000000000711E-2</v>
      </c>
      <c r="EN115" s="190">
        <f t="shared" si="4"/>
        <v>0.57499999999999929</v>
      </c>
      <c r="EO115" s="190">
        <f t="shared" si="4"/>
        <v>0.57500000000000107</v>
      </c>
      <c r="EP115" s="190">
        <f t="shared" si="4"/>
        <v>0.57499999999999751</v>
      </c>
      <c r="EQ115" s="190">
        <f t="shared" si="4"/>
        <v>0.57500000000000107</v>
      </c>
      <c r="ER115" s="190">
        <f t="shared" si="4"/>
        <v>0</v>
      </c>
      <c r="ES115" s="190">
        <f t="shared" si="4"/>
        <v>0.57500000000000107</v>
      </c>
      <c r="ET115" s="190">
        <f t="shared" si="4"/>
        <v>5.0000000000000711E-2</v>
      </c>
      <c r="EU115" s="190">
        <f t="shared" si="4"/>
        <v>0.57499999999999929</v>
      </c>
      <c r="EV115" s="190">
        <f t="shared" si="4"/>
        <v>0.57499999999999929</v>
      </c>
      <c r="EW115" s="190">
        <f t="shared" si="4"/>
        <v>0.57499999999999929</v>
      </c>
      <c r="EX115" s="190">
        <f t="shared" si="4"/>
        <v>5.0000000000000711E-2</v>
      </c>
      <c r="EY115" s="190">
        <f t="shared" si="4"/>
        <v>0.52500000000000213</v>
      </c>
      <c r="EZ115" s="190">
        <f t="shared" si="4"/>
        <v>0</v>
      </c>
      <c r="FA115" s="190">
        <f t="shared" si="4"/>
        <v>0.57499999999999574</v>
      </c>
      <c r="FB115" s="190">
        <f t="shared" si="4"/>
        <v>0</v>
      </c>
      <c r="FC115" s="190">
        <f t="shared" si="4"/>
        <v>0.625</v>
      </c>
      <c r="FD115" s="190">
        <f t="shared" si="4"/>
        <v>0.57500000000000284</v>
      </c>
      <c r="FE115" s="190">
        <f t="shared" si="4"/>
        <v>0</v>
      </c>
      <c r="FF115" s="190">
        <f t="shared" si="4"/>
        <v>0.57499999999999929</v>
      </c>
      <c r="FG115" s="190">
        <f t="shared" si="4"/>
        <v>5.0000000000000711E-2</v>
      </c>
      <c r="FH115" s="190">
        <f t="shared" si="4"/>
        <v>0.52499999999999858</v>
      </c>
      <c r="FI115" s="190">
        <f t="shared" si="4"/>
        <v>5.0000000000004263E-2</v>
      </c>
      <c r="FJ115" s="190">
        <f t="shared" si="4"/>
        <v>0.52499999999999503</v>
      </c>
      <c r="FK115" s="190">
        <f t="shared" si="4"/>
        <v>0</v>
      </c>
      <c r="FL115" s="190">
        <f t="shared" si="4"/>
        <v>0.62500000000000355</v>
      </c>
      <c r="FM115" s="190">
        <f t="shared" si="4"/>
        <v>5.0000000000000711E-2</v>
      </c>
      <c r="FN115" s="190">
        <f t="shared" si="4"/>
        <v>0.52499999999999858</v>
      </c>
      <c r="FO115" s="190">
        <f t="shared" si="4"/>
        <v>0</v>
      </c>
      <c r="FP115" s="190">
        <f t="shared" si="4"/>
        <v>0.57499999999999574</v>
      </c>
      <c r="FQ115" s="190">
        <f t="shared" si="4"/>
        <v>0</v>
      </c>
      <c r="FR115" s="190">
        <f t="shared" si="4"/>
        <v>0.57500000000000284</v>
      </c>
      <c r="FS115" s="190">
        <f t="shared" si="4"/>
        <v>5.0000000000000711E-2</v>
      </c>
      <c r="FT115" s="190">
        <f t="shared" si="4"/>
        <v>0.52499999999999858</v>
      </c>
      <c r="FU115" s="190">
        <f t="shared" si="4"/>
        <v>5.0000000000000711E-2</v>
      </c>
      <c r="FV115" s="190">
        <f t="shared" si="4"/>
        <v>0</v>
      </c>
      <c r="FW115" s="190">
        <f t="shared" si="4"/>
        <v>0.57499999999999929</v>
      </c>
      <c r="FX115" s="190">
        <f t="shared" si="4"/>
        <v>5.0000000000004263E-2</v>
      </c>
      <c r="FY115" s="190">
        <f t="shared" si="4"/>
        <v>0.52499999999999503</v>
      </c>
      <c r="FZ115" s="190">
        <f t="shared" si="4"/>
        <v>5.0000000000000711E-2</v>
      </c>
      <c r="GA115" s="190">
        <f t="shared" si="4"/>
        <v>0.52499999999999858</v>
      </c>
      <c r="GB115" s="190">
        <f t="shared" si="4"/>
        <v>0</v>
      </c>
      <c r="GC115" s="190">
        <f t="shared" si="4"/>
        <v>0.57500000000000284</v>
      </c>
      <c r="GD115" s="190">
        <f t="shared" si="4"/>
        <v>0</v>
      </c>
      <c r="GE115" s="190">
        <f t="shared" si="4"/>
        <v>0.10000000000000142</v>
      </c>
      <c r="GF115" s="190">
        <f t="shared" si="4"/>
        <v>0.47499999999999787</v>
      </c>
      <c r="GG115" s="190">
        <f t="shared" si="4"/>
        <v>5.0000000000000711E-2</v>
      </c>
      <c r="GH115" s="190">
        <f t="shared" si="4"/>
        <v>0</v>
      </c>
      <c r="GI115" s="190">
        <f t="shared" si="4"/>
        <v>0.57499999999999574</v>
      </c>
      <c r="GJ115" s="190">
        <f t="shared" si="4"/>
        <v>0</v>
      </c>
      <c r="GK115" s="190">
        <f t="shared" ref="GK115:IV115" si="5">GL110-GK110</f>
        <v>0.57500000000000284</v>
      </c>
      <c r="GL115" s="190">
        <f t="shared" si="5"/>
        <v>5.0000000000000711E-2</v>
      </c>
      <c r="GM115" s="190">
        <f t="shared" si="5"/>
        <v>0.52499999999999858</v>
      </c>
      <c r="GN115" s="190">
        <f t="shared" si="5"/>
        <v>5.0000000000000711E-2</v>
      </c>
      <c r="GO115" s="190">
        <f t="shared" si="5"/>
        <v>0</v>
      </c>
      <c r="GP115" s="190">
        <f t="shared" si="5"/>
        <v>0.52500000000000213</v>
      </c>
      <c r="GQ115" s="190">
        <f t="shared" si="5"/>
        <v>0</v>
      </c>
      <c r="GR115" s="190">
        <f t="shared" si="5"/>
        <v>0.10000000000000142</v>
      </c>
      <c r="GS115" s="190">
        <f t="shared" si="5"/>
        <v>0.47499999999999787</v>
      </c>
      <c r="GT115" s="190">
        <f t="shared" si="5"/>
        <v>0</v>
      </c>
      <c r="GU115" s="190">
        <f t="shared" si="5"/>
        <v>0.10000000000000142</v>
      </c>
      <c r="GV115" s="190">
        <f t="shared" si="5"/>
        <v>0.52499999999999858</v>
      </c>
      <c r="GW115" s="190">
        <f t="shared" si="5"/>
        <v>0</v>
      </c>
      <c r="GX115" s="190">
        <f t="shared" si="5"/>
        <v>0.57499999999999929</v>
      </c>
      <c r="GY115" s="190">
        <f t="shared" si="5"/>
        <v>0</v>
      </c>
      <c r="GZ115" s="190">
        <f t="shared" si="5"/>
        <v>0.10000000000000142</v>
      </c>
      <c r="HA115" s="190">
        <f t="shared" si="5"/>
        <v>0.47499999999999787</v>
      </c>
      <c r="HB115" s="190">
        <f t="shared" si="5"/>
        <v>5.0000000000000711E-2</v>
      </c>
      <c r="HC115" s="190">
        <f t="shared" si="5"/>
        <v>0</v>
      </c>
      <c r="HD115" s="190">
        <f t="shared" si="5"/>
        <v>0.52500000000000213</v>
      </c>
      <c r="HE115" s="190">
        <f t="shared" si="5"/>
        <v>4.9999999999997158E-2</v>
      </c>
      <c r="HF115" s="190">
        <f t="shared" si="5"/>
        <v>0</v>
      </c>
      <c r="HG115" s="190">
        <f t="shared" si="5"/>
        <v>0.52499999999999858</v>
      </c>
      <c r="HH115" s="190">
        <f t="shared" si="5"/>
        <v>0</v>
      </c>
      <c r="HI115" s="190">
        <f t="shared" si="5"/>
        <v>0.10000000000000142</v>
      </c>
      <c r="HJ115" s="190">
        <f t="shared" si="5"/>
        <v>0.52499999999999858</v>
      </c>
      <c r="HK115" s="190">
        <f t="shared" si="5"/>
        <v>5.0000000000004263E-2</v>
      </c>
      <c r="HL115" s="190">
        <f t="shared" si="5"/>
        <v>0</v>
      </c>
      <c r="HM115" s="190">
        <f t="shared" si="5"/>
        <v>0.52499999999999858</v>
      </c>
      <c r="HN115" s="190">
        <f t="shared" si="5"/>
        <v>0</v>
      </c>
      <c r="HO115" s="190">
        <f t="shared" si="5"/>
        <v>0.10000000000000142</v>
      </c>
      <c r="HP115" s="190">
        <f t="shared" si="5"/>
        <v>0.47500000000000142</v>
      </c>
      <c r="HQ115" s="190">
        <f t="shared" si="5"/>
        <v>0</v>
      </c>
      <c r="HR115" s="190">
        <f t="shared" si="5"/>
        <v>0.10000000000000142</v>
      </c>
      <c r="HS115" s="190">
        <f t="shared" si="5"/>
        <v>0.47499999999999432</v>
      </c>
      <c r="HT115" s="190">
        <f t="shared" si="5"/>
        <v>5.0000000000004263E-2</v>
      </c>
      <c r="HU115" s="190">
        <f t="shared" si="5"/>
        <v>0</v>
      </c>
      <c r="HV115" s="190">
        <f t="shared" si="5"/>
        <v>0.52499999999999147</v>
      </c>
      <c r="HW115" s="190">
        <f t="shared" si="5"/>
        <v>5.0000000000004263E-2</v>
      </c>
      <c r="HX115" s="190">
        <f t="shared" si="5"/>
        <v>0</v>
      </c>
      <c r="HY115" s="190">
        <f t="shared" si="5"/>
        <v>0.10000000000000142</v>
      </c>
      <c r="HZ115" s="190">
        <f t="shared" si="5"/>
        <v>0.47500000000000142</v>
      </c>
      <c r="IA115" s="190">
        <f t="shared" si="5"/>
        <v>5.0000000000004263E-2</v>
      </c>
      <c r="IB115" s="190">
        <f t="shared" si="5"/>
        <v>0</v>
      </c>
      <c r="IC115" s="190">
        <f t="shared" si="5"/>
        <v>0.52499999999999147</v>
      </c>
      <c r="ID115" s="190">
        <f t="shared" si="5"/>
        <v>4.9999999999997158E-2</v>
      </c>
      <c r="IE115" s="190">
        <f t="shared" si="5"/>
        <v>0</v>
      </c>
      <c r="IF115" s="190">
        <f t="shared" si="5"/>
        <v>0.52500000000000568</v>
      </c>
      <c r="IG115" s="190">
        <f t="shared" si="5"/>
        <v>0</v>
      </c>
      <c r="IH115" s="190">
        <f t="shared" si="5"/>
        <v>0.10000000000000142</v>
      </c>
      <c r="II115" s="190">
        <f t="shared" si="5"/>
        <v>0.47499999999999432</v>
      </c>
      <c r="IJ115" s="190">
        <f t="shared" si="5"/>
        <v>0</v>
      </c>
      <c r="IK115" s="190">
        <f t="shared" si="5"/>
        <v>0.10000000000000142</v>
      </c>
      <c r="IL115" s="190">
        <f t="shared" si="5"/>
        <v>0</v>
      </c>
      <c r="IM115" s="190">
        <f t="shared" si="5"/>
        <v>0.47500000000000142</v>
      </c>
      <c r="IN115" s="190">
        <f t="shared" si="5"/>
        <v>5.0000000000004263E-2</v>
      </c>
      <c r="IO115" s="190">
        <f t="shared" si="5"/>
        <v>0</v>
      </c>
      <c r="IP115" s="190">
        <f t="shared" si="5"/>
        <v>9.9999999999994316E-2</v>
      </c>
      <c r="IQ115" s="190">
        <f t="shared" si="5"/>
        <v>0.47500000000000142</v>
      </c>
      <c r="IR115" s="190">
        <f t="shared" si="5"/>
        <v>0</v>
      </c>
      <c r="IS115" s="190">
        <f t="shared" si="5"/>
        <v>0.10000000000000142</v>
      </c>
      <c r="IT115" s="190">
        <f t="shared" si="5"/>
        <v>0.47499999999999432</v>
      </c>
      <c r="IU115" s="190">
        <f t="shared" si="5"/>
        <v>5.0000000000004263E-2</v>
      </c>
      <c r="IV115" s="190">
        <f t="shared" si="5"/>
        <v>0</v>
      </c>
      <c r="IW115" s="190">
        <f t="shared" ref="IW115:LH115" si="6">IX110-IW110</f>
        <v>0.52499999999999858</v>
      </c>
      <c r="IX115" s="190">
        <f t="shared" si="6"/>
        <v>4.9999999999997158E-2</v>
      </c>
      <c r="IY115" s="190">
        <f t="shared" si="6"/>
        <v>0</v>
      </c>
      <c r="IZ115" s="190">
        <f t="shared" si="6"/>
        <v>0.10000000000000853</v>
      </c>
      <c r="JA115" s="190">
        <f t="shared" si="6"/>
        <v>0.42499999999999716</v>
      </c>
      <c r="JB115" s="190">
        <f t="shared" si="6"/>
        <v>0</v>
      </c>
      <c r="JC115" s="190">
        <f t="shared" si="6"/>
        <v>0.10000000000000142</v>
      </c>
      <c r="JD115" s="190">
        <f t="shared" si="6"/>
        <v>0</v>
      </c>
      <c r="JE115" s="190">
        <f t="shared" si="6"/>
        <v>0.47499999999999432</v>
      </c>
      <c r="JF115" s="190">
        <f t="shared" si="6"/>
        <v>0</v>
      </c>
      <c r="JG115" s="190">
        <f t="shared" si="6"/>
        <v>0.10000000000000142</v>
      </c>
      <c r="JH115" s="190">
        <f t="shared" si="6"/>
        <v>0</v>
      </c>
      <c r="JI115" s="190">
        <f t="shared" si="6"/>
        <v>0.52499999999999858</v>
      </c>
      <c r="JJ115" s="190">
        <f t="shared" si="6"/>
        <v>0</v>
      </c>
      <c r="JK115" s="190">
        <f t="shared" si="6"/>
        <v>0.10000000000000142</v>
      </c>
      <c r="JL115" s="190">
        <f t="shared" si="6"/>
        <v>0.47499999999999432</v>
      </c>
      <c r="JM115" s="190">
        <f t="shared" si="6"/>
        <v>0</v>
      </c>
      <c r="JN115" s="190">
        <f t="shared" si="6"/>
        <v>0.10000000000000853</v>
      </c>
      <c r="JO115" s="190">
        <f t="shared" si="6"/>
        <v>0</v>
      </c>
      <c r="JP115" s="190">
        <f t="shared" si="6"/>
        <v>0.47500000000000142</v>
      </c>
      <c r="JQ115" s="190">
        <f t="shared" si="6"/>
        <v>4.9999999999997158E-2</v>
      </c>
      <c r="JR115" s="190">
        <f t="shared" si="6"/>
        <v>0</v>
      </c>
      <c r="JS115" s="190">
        <f t="shared" si="6"/>
        <v>0.10000000000000142</v>
      </c>
      <c r="JT115" s="190">
        <f t="shared" si="6"/>
        <v>0.42499999999999716</v>
      </c>
      <c r="JU115" s="190">
        <f t="shared" si="6"/>
        <v>5.0000000000004263E-2</v>
      </c>
      <c r="JV115" s="190">
        <f t="shared" si="6"/>
        <v>0</v>
      </c>
      <c r="JW115" s="190">
        <f t="shared" si="6"/>
        <v>0.10000000000000142</v>
      </c>
      <c r="JX115" s="190">
        <f t="shared" si="6"/>
        <v>0.42499999999999716</v>
      </c>
      <c r="JY115" s="190">
        <f t="shared" si="6"/>
        <v>0</v>
      </c>
      <c r="JZ115" s="190">
        <f t="shared" si="6"/>
        <v>9.9999999999994316E-2</v>
      </c>
      <c r="KA115" s="190">
        <f t="shared" si="6"/>
        <v>0</v>
      </c>
      <c r="KB115" s="190">
        <f t="shared" si="6"/>
        <v>0.52499999999999858</v>
      </c>
      <c r="KC115" s="190">
        <f t="shared" si="6"/>
        <v>5.0000000000004263E-2</v>
      </c>
      <c r="KD115" s="190">
        <f t="shared" si="6"/>
        <v>0</v>
      </c>
      <c r="KE115" s="190">
        <f t="shared" si="6"/>
        <v>0.10000000000000142</v>
      </c>
      <c r="KF115" s="190">
        <f t="shared" si="6"/>
        <v>0.42500000000000426</v>
      </c>
      <c r="KG115" s="190">
        <f t="shared" si="6"/>
        <v>0</v>
      </c>
      <c r="KH115" s="190">
        <f t="shared" si="6"/>
        <v>9.9999999999994316E-2</v>
      </c>
      <c r="KI115" s="190">
        <f t="shared" si="6"/>
        <v>0</v>
      </c>
      <c r="KJ115" s="190">
        <f t="shared" si="6"/>
        <v>0.47500000000000142</v>
      </c>
      <c r="KK115" s="190">
        <f t="shared" si="6"/>
        <v>0</v>
      </c>
      <c r="KL115" s="190">
        <f t="shared" si="6"/>
        <v>0.10000000000000142</v>
      </c>
      <c r="KM115" s="190">
        <f t="shared" si="6"/>
        <v>0</v>
      </c>
      <c r="KN115" s="190">
        <f t="shared" si="6"/>
        <v>0.47500000000000142</v>
      </c>
      <c r="KO115" s="190">
        <f t="shared" si="6"/>
        <v>4.9999999999997158E-2</v>
      </c>
      <c r="KP115" s="190">
        <f t="shared" si="6"/>
        <v>0</v>
      </c>
      <c r="KQ115" s="190">
        <f t="shared" si="6"/>
        <v>0.10000000000000142</v>
      </c>
      <c r="KR115" s="190">
        <f t="shared" si="6"/>
        <v>0.42499999999999716</v>
      </c>
      <c r="KS115" s="190">
        <f t="shared" si="6"/>
        <v>4.9999999999997158E-2</v>
      </c>
      <c r="KT115" s="190">
        <f t="shared" si="6"/>
        <v>0</v>
      </c>
      <c r="KU115" s="190">
        <f t="shared" si="6"/>
        <v>0.10000000000000853</v>
      </c>
      <c r="KV115" s="190">
        <f t="shared" si="6"/>
        <v>0.47499999999999432</v>
      </c>
      <c r="KW115" s="190">
        <f t="shared" si="6"/>
        <v>5.0000000000004263E-2</v>
      </c>
      <c r="KX115" s="190">
        <f t="shared" si="6"/>
        <v>0</v>
      </c>
      <c r="KY115" s="190">
        <f t="shared" si="6"/>
        <v>0.52499999999999858</v>
      </c>
      <c r="KZ115" s="190">
        <f t="shared" si="6"/>
        <v>4.9999999999997158E-2</v>
      </c>
      <c r="LA115" s="190">
        <f t="shared" si="6"/>
        <v>0</v>
      </c>
      <c r="LB115" s="190">
        <f t="shared" si="6"/>
        <v>0.10000000000000853</v>
      </c>
      <c r="LC115" s="190">
        <f t="shared" si="6"/>
        <v>0.42499999999999716</v>
      </c>
      <c r="LD115" s="190">
        <f t="shared" si="6"/>
        <v>0</v>
      </c>
      <c r="LE115" s="190">
        <f t="shared" si="6"/>
        <v>9.9999999999994316E-2</v>
      </c>
      <c r="LF115" s="190">
        <f t="shared" si="6"/>
        <v>0</v>
      </c>
      <c r="LG115" s="190">
        <f t="shared" si="6"/>
        <v>0.47500000000000142</v>
      </c>
      <c r="LH115" s="190">
        <f t="shared" si="6"/>
        <v>0</v>
      </c>
      <c r="LI115" s="190">
        <f t="shared" ref="LI115:MD115" si="7">LJ110-LI110</f>
        <v>0.10000000000000142</v>
      </c>
      <c r="LJ115" s="190">
        <f t="shared" si="7"/>
        <v>0</v>
      </c>
      <c r="LK115" s="190">
        <f t="shared" si="7"/>
        <v>0.10000000000000142</v>
      </c>
      <c r="LL115" s="190">
        <f t="shared" si="7"/>
        <v>0.37499999999999289</v>
      </c>
      <c r="LM115" s="190">
        <f t="shared" si="7"/>
        <v>5.0000000000004263E-2</v>
      </c>
      <c r="LN115" s="190">
        <f t="shared" si="7"/>
        <v>0</v>
      </c>
      <c r="LO115" s="190">
        <f t="shared" si="7"/>
        <v>0.10000000000000142</v>
      </c>
      <c r="LP115" s="190">
        <f t="shared" si="7"/>
        <v>0</v>
      </c>
      <c r="LQ115" s="190">
        <f t="shared" si="7"/>
        <v>0.47499999999999432</v>
      </c>
      <c r="LR115" s="190">
        <f t="shared" si="7"/>
        <v>0</v>
      </c>
      <c r="LS115" s="190">
        <f t="shared" si="7"/>
        <v>0.10000000000000142</v>
      </c>
      <c r="LT115" s="190">
        <f t="shared" si="7"/>
        <v>0.47500000000000142</v>
      </c>
      <c r="LU115" s="190">
        <f t="shared" si="7"/>
        <v>4.9999999999997158E-2</v>
      </c>
      <c r="LV115" s="190">
        <f t="shared" si="7"/>
        <v>0</v>
      </c>
      <c r="LW115" s="190">
        <f t="shared" si="7"/>
        <v>0.10000000000000853</v>
      </c>
      <c r="LX115" s="190">
        <f t="shared" si="7"/>
        <v>0.42499999999999716</v>
      </c>
      <c r="LY115" s="190">
        <f t="shared" si="7"/>
        <v>4.9999999999997158E-2</v>
      </c>
      <c r="LZ115" s="190">
        <f t="shared" si="7"/>
        <v>0</v>
      </c>
      <c r="MA115" s="190">
        <f t="shared" si="7"/>
        <v>0.10000000000000853</v>
      </c>
      <c r="MB115" s="190">
        <f t="shared" si="7"/>
        <v>0</v>
      </c>
      <c r="MC115" s="190">
        <f t="shared" si="7"/>
        <v>0.42499999999999005</v>
      </c>
      <c r="MD115" s="190">
        <f t="shared" si="7"/>
        <v>0</v>
      </c>
    </row>
    <row r="116" spans="1:342" ht="7.4" customHeight="1" x14ac:dyDescent="0.5">
      <c r="A116" s="42"/>
      <c r="B116" s="32"/>
      <c r="C116" s="408"/>
      <c r="D116" s="408"/>
      <c r="E116" s="424"/>
      <c r="F116" s="32"/>
      <c r="G116" s="408"/>
      <c r="H116" s="408"/>
      <c r="I116" s="408"/>
      <c r="J116" s="408"/>
      <c r="K116" s="408"/>
      <c r="L116" s="408"/>
      <c r="M116" s="408"/>
      <c r="N116" s="408"/>
      <c r="O116" s="408"/>
      <c r="P116" s="408"/>
      <c r="Q116" s="408"/>
      <c r="R116" s="424"/>
      <c r="S116" s="32"/>
      <c r="T116" s="366"/>
      <c r="U116" s="366"/>
      <c r="V116" s="366"/>
      <c r="W116" s="366"/>
      <c r="X116" s="366"/>
      <c r="Y116" s="366"/>
      <c r="Z116" s="366"/>
      <c r="AA116" s="366"/>
      <c r="AB116" s="366"/>
      <c r="AC116" s="366"/>
      <c r="AD116" s="366"/>
      <c r="AE116" s="366"/>
      <c r="AF116" s="366"/>
      <c r="AG116" s="366"/>
      <c r="AH116" s="366"/>
      <c r="AI116" s="366"/>
      <c r="AJ116" s="367"/>
      <c r="AK116" s="32"/>
      <c r="AL116" s="408"/>
      <c r="AM116" s="408"/>
      <c r="AN116" s="408"/>
      <c r="AO116" s="408"/>
      <c r="AP116" s="424"/>
      <c r="AQ116" s="365"/>
      <c r="AR116" s="366"/>
      <c r="AS116" s="366"/>
      <c r="AT116" s="366"/>
      <c r="AU116" s="366"/>
      <c r="AV116" s="366"/>
      <c r="AW116" s="366"/>
      <c r="AX116" s="366"/>
      <c r="AY116" s="366"/>
      <c r="AZ116" s="366"/>
      <c r="BA116" s="366"/>
      <c r="BB116" s="366"/>
      <c r="BC116" s="366"/>
      <c r="BD116" s="366"/>
      <c r="BE116" s="366"/>
      <c r="BF116" s="366"/>
      <c r="BG116" s="366"/>
      <c r="BH116" s="367"/>
      <c r="BI116" s="41"/>
      <c r="BK116" s="310"/>
      <c r="BL116" s="311"/>
      <c r="BM116" s="312"/>
      <c r="BN116" s="310"/>
      <c r="BO116" s="311"/>
      <c r="BP116" s="312"/>
      <c r="BQ116" s="310"/>
      <c r="BR116" s="311"/>
      <c r="BS116" s="312"/>
      <c r="BT116" s="310"/>
      <c r="BU116" s="311"/>
      <c r="BV116" s="312"/>
      <c r="BW116" s="310"/>
      <c r="BX116" s="311"/>
      <c r="BY116" s="312"/>
      <c r="BZ116" s="310"/>
      <c r="CA116" s="311"/>
      <c r="CB116" s="312"/>
      <c r="CC116" s="310"/>
      <c r="CD116" s="311"/>
      <c r="CE116" s="312"/>
      <c r="CF116" s="310"/>
      <c r="CG116" s="311"/>
      <c r="CH116" s="312"/>
      <c r="CI116" s="310"/>
      <c r="CJ116" s="311"/>
      <c r="CK116" s="312"/>
      <c r="CL116" s="310"/>
      <c r="CM116" s="311"/>
      <c r="CN116" s="312"/>
      <c r="CO116" s="310"/>
      <c r="CP116" s="311"/>
      <c r="CQ116" s="312"/>
      <c r="CR116" s="310"/>
      <c r="CS116" s="311"/>
      <c r="CT116" s="312"/>
      <c r="CU116" s="310"/>
      <c r="CV116" s="311"/>
      <c r="CW116" s="312"/>
      <c r="CX116" s="310"/>
      <c r="CY116" s="311"/>
      <c r="CZ116" s="312"/>
      <c r="DA116" s="310"/>
      <c r="DB116" s="311"/>
      <c r="DC116" s="312"/>
      <c r="DD116" s="310"/>
      <c r="DE116" s="311"/>
      <c r="DF116" s="312"/>
      <c r="DH116" s="331"/>
      <c r="DI116" s="331"/>
      <c r="DJ116" s="331"/>
      <c r="DK116" s="331"/>
      <c r="DL116" s="311"/>
      <c r="DM116" s="311"/>
      <c r="DN116" s="311"/>
      <c r="DO116" s="311"/>
      <c r="DP116" s="311"/>
      <c r="DQ116" s="311"/>
      <c r="DR116" s="311"/>
      <c r="DS116" s="311"/>
      <c r="DT116" s="311"/>
      <c r="DY116" s="181"/>
      <c r="DZ116" s="181"/>
      <c r="EA116" s="181"/>
      <c r="EB116" s="181"/>
      <c r="EC116" s="181"/>
      <c r="ED116" s="181"/>
      <c r="EE116" s="181"/>
      <c r="EF116" s="181"/>
      <c r="EG116" s="181"/>
      <c r="EH116" s="181"/>
      <c r="EI116" s="181"/>
      <c r="EJ116" s="181"/>
      <c r="EK116" s="181"/>
      <c r="EL116" s="181"/>
      <c r="EM116" s="181"/>
      <c r="EN116" s="181"/>
      <c r="EO116" s="181"/>
      <c r="EP116" s="181"/>
      <c r="EQ116" s="181"/>
      <c r="ER116" s="181"/>
      <c r="ES116" s="181"/>
      <c r="ET116" s="181"/>
      <c r="EU116" s="181"/>
      <c r="EV116" s="181"/>
      <c r="EW116" s="181"/>
      <c r="EX116" s="181"/>
      <c r="EY116" s="181"/>
      <c r="EZ116" s="181"/>
      <c r="FA116" s="181"/>
      <c r="FB116" s="181"/>
      <c r="FC116" s="181"/>
      <c r="FD116" s="181"/>
      <c r="FE116" s="181"/>
      <c r="FF116" s="181"/>
      <c r="FG116" s="181"/>
      <c r="FH116" s="181"/>
      <c r="FI116" s="181"/>
      <c r="FJ116" s="181"/>
      <c r="FK116" s="181"/>
      <c r="FL116" s="181"/>
      <c r="FM116" s="181"/>
      <c r="FN116" s="181"/>
      <c r="FO116" s="181"/>
      <c r="FP116" s="181"/>
      <c r="FQ116" s="181"/>
      <c r="FR116" s="181"/>
      <c r="FS116" s="181"/>
      <c r="FT116" s="181"/>
      <c r="FU116" s="181"/>
      <c r="FV116" s="181"/>
      <c r="FW116" s="181"/>
      <c r="FX116" s="181"/>
      <c r="FY116" s="181"/>
      <c r="FZ116" s="181"/>
      <c r="GA116" s="181"/>
      <c r="GB116" s="181"/>
      <c r="GC116" s="181"/>
      <c r="GD116" s="181"/>
      <c r="GE116" s="181"/>
      <c r="GF116" s="181"/>
      <c r="GG116" s="181"/>
      <c r="GH116" s="181"/>
      <c r="GI116" s="181"/>
      <c r="GJ116" s="181"/>
      <c r="GK116" s="181"/>
      <c r="GL116" s="181"/>
      <c r="GM116" s="181"/>
      <c r="GN116" s="181"/>
      <c r="GO116" s="181"/>
      <c r="GP116" s="181"/>
      <c r="GQ116" s="181"/>
      <c r="GR116" s="181"/>
      <c r="GS116" s="181"/>
      <c r="GT116" s="181"/>
      <c r="GU116" s="181"/>
      <c r="GV116" s="181"/>
      <c r="GW116" s="181"/>
      <c r="GX116" s="181"/>
      <c r="GY116" s="181"/>
      <c r="GZ116" s="181"/>
      <c r="HA116" s="181"/>
      <c r="HB116" s="181"/>
      <c r="HC116" s="181"/>
      <c r="HD116" s="181"/>
      <c r="HE116" s="181"/>
      <c r="HF116" s="181"/>
      <c r="HG116" s="181"/>
      <c r="HH116" s="181"/>
      <c r="HI116" s="181"/>
      <c r="HJ116" s="181"/>
      <c r="HK116" s="181"/>
      <c r="HL116" s="181"/>
      <c r="HM116" s="181"/>
      <c r="HN116" s="181"/>
      <c r="HO116" s="181"/>
      <c r="HP116" s="181"/>
      <c r="HQ116" s="181"/>
      <c r="HR116" s="181"/>
      <c r="HS116" s="181"/>
      <c r="HT116" s="181"/>
      <c r="HU116" s="181"/>
      <c r="HV116" s="181"/>
      <c r="HW116" s="181"/>
      <c r="HX116" s="181"/>
      <c r="HY116" s="181"/>
      <c r="HZ116" s="181"/>
      <c r="IA116" s="181"/>
      <c r="IB116" s="181"/>
      <c r="IC116" s="181"/>
      <c r="ID116" s="181"/>
      <c r="IE116" s="181"/>
      <c r="IF116" s="181"/>
      <c r="IG116" s="181"/>
      <c r="IH116" s="181"/>
      <c r="II116" s="181"/>
      <c r="IJ116" s="181"/>
      <c r="IK116" s="181"/>
      <c r="IL116" s="181"/>
      <c r="IM116" s="181"/>
      <c r="IN116" s="181"/>
      <c r="IO116" s="181"/>
      <c r="IP116" s="181"/>
      <c r="IQ116" s="181"/>
      <c r="IR116" s="181"/>
      <c r="IS116" s="181"/>
      <c r="IT116" s="181"/>
      <c r="IU116" s="181"/>
      <c r="IV116" s="181"/>
      <c r="IW116" s="181"/>
      <c r="IX116" s="181"/>
      <c r="IY116" s="181"/>
      <c r="IZ116" s="181"/>
      <c r="JA116" s="181"/>
      <c r="JB116" s="181"/>
      <c r="JC116" s="181"/>
      <c r="JD116" s="181"/>
      <c r="JE116" s="181"/>
      <c r="JF116" s="181"/>
      <c r="JG116" s="181"/>
      <c r="JH116" s="181"/>
      <c r="JI116" s="181"/>
      <c r="JJ116" s="181"/>
      <c r="JK116" s="181"/>
      <c r="JL116" s="181"/>
      <c r="JM116" s="181"/>
      <c r="JN116" s="181"/>
      <c r="JO116" s="181"/>
      <c r="JP116" s="181"/>
      <c r="JQ116" s="181"/>
      <c r="JR116" s="181"/>
      <c r="JS116" s="181"/>
      <c r="JT116" s="181"/>
      <c r="JU116" s="181"/>
      <c r="JV116" s="181"/>
      <c r="JW116" s="181"/>
      <c r="JX116" s="181"/>
      <c r="JY116" s="181"/>
      <c r="JZ116" s="181"/>
      <c r="KA116" s="181"/>
      <c r="KB116" s="181"/>
      <c r="KC116" s="181"/>
      <c r="KD116" s="181"/>
      <c r="KE116" s="181"/>
      <c r="KF116" s="181"/>
      <c r="KG116" s="181"/>
      <c r="KH116" s="181"/>
      <c r="KI116" s="181"/>
      <c r="KJ116" s="181"/>
      <c r="KK116" s="181"/>
      <c r="KL116" s="181"/>
      <c r="KM116" s="181"/>
      <c r="KN116" s="181"/>
      <c r="KO116" s="181"/>
      <c r="KP116" s="181"/>
      <c r="KQ116" s="181"/>
      <c r="KR116" s="181"/>
      <c r="KS116" s="181"/>
      <c r="KT116" s="181"/>
      <c r="KU116" s="181"/>
      <c r="KV116" s="181"/>
      <c r="KW116" s="181"/>
      <c r="KX116" s="181"/>
      <c r="KY116" s="181"/>
      <c r="KZ116" s="181"/>
      <c r="LA116" s="181"/>
      <c r="LB116" s="181"/>
      <c r="LC116" s="181"/>
      <c r="LD116" s="181"/>
      <c r="LE116" s="181"/>
      <c r="LF116" s="181"/>
      <c r="LG116" s="181"/>
      <c r="LH116" s="181"/>
      <c r="LI116" s="181"/>
      <c r="LJ116" s="181"/>
      <c r="LK116" s="181"/>
      <c r="LL116" s="181"/>
      <c r="LM116" s="181"/>
      <c r="LN116" s="181"/>
      <c r="LO116" s="181"/>
      <c r="LP116" s="181"/>
      <c r="LQ116" s="181"/>
      <c r="LR116" s="181"/>
      <c r="LS116" s="181"/>
      <c r="LT116" s="181"/>
      <c r="LU116" s="181"/>
      <c r="LV116" s="181"/>
      <c r="LW116" s="181"/>
      <c r="LX116" s="181"/>
      <c r="LY116" s="181"/>
      <c r="LZ116" s="181"/>
      <c r="MA116" s="181"/>
      <c r="MB116" s="181"/>
      <c r="MC116" s="181"/>
      <c r="MD116" s="181"/>
    </row>
    <row r="117" spans="1:342" ht="7.4" customHeight="1" x14ac:dyDescent="0.5">
      <c r="A117" s="42"/>
      <c r="B117" s="35"/>
      <c r="C117" s="425"/>
      <c r="D117" s="425"/>
      <c r="E117" s="426"/>
      <c r="F117" s="35"/>
      <c r="G117" s="425"/>
      <c r="H117" s="425"/>
      <c r="I117" s="425"/>
      <c r="J117" s="425"/>
      <c r="K117" s="425"/>
      <c r="L117" s="425"/>
      <c r="M117" s="425"/>
      <c r="N117" s="425"/>
      <c r="O117" s="425"/>
      <c r="P117" s="425"/>
      <c r="Q117" s="425"/>
      <c r="R117" s="426"/>
      <c r="S117" s="35"/>
      <c r="T117" s="369"/>
      <c r="U117" s="369"/>
      <c r="V117" s="369"/>
      <c r="W117" s="369"/>
      <c r="X117" s="369"/>
      <c r="Y117" s="369"/>
      <c r="Z117" s="369"/>
      <c r="AA117" s="369"/>
      <c r="AB117" s="369"/>
      <c r="AC117" s="369"/>
      <c r="AD117" s="369"/>
      <c r="AE117" s="369"/>
      <c r="AF117" s="369"/>
      <c r="AG117" s="369"/>
      <c r="AH117" s="369"/>
      <c r="AI117" s="369"/>
      <c r="AJ117" s="370"/>
      <c r="AK117" s="35"/>
      <c r="AL117" s="425"/>
      <c r="AM117" s="425"/>
      <c r="AN117" s="425"/>
      <c r="AO117" s="425"/>
      <c r="AP117" s="426"/>
      <c r="AQ117" s="368"/>
      <c r="AR117" s="369"/>
      <c r="AS117" s="369"/>
      <c r="AT117" s="369"/>
      <c r="AU117" s="369"/>
      <c r="AV117" s="369"/>
      <c r="AW117" s="369"/>
      <c r="AX117" s="369"/>
      <c r="AY117" s="369"/>
      <c r="AZ117" s="369"/>
      <c r="BA117" s="369"/>
      <c r="BB117" s="369"/>
      <c r="BC117" s="369"/>
      <c r="BD117" s="369"/>
      <c r="BE117" s="369"/>
      <c r="BF117" s="369"/>
      <c r="BG117" s="369"/>
      <c r="BH117" s="370"/>
      <c r="BI117" s="41"/>
      <c r="BK117" s="220"/>
      <c r="BL117" s="134"/>
      <c r="BM117" s="85"/>
      <c r="BN117" s="134"/>
      <c r="BO117" s="134"/>
      <c r="BP117" s="85"/>
      <c r="BQ117" s="220"/>
      <c r="BR117" s="134"/>
      <c r="BS117" s="85"/>
      <c r="BT117" s="220"/>
      <c r="BU117" s="134"/>
      <c r="BV117" s="85"/>
      <c r="BW117" s="220"/>
      <c r="BX117" s="134"/>
      <c r="BY117" s="85"/>
      <c r="BZ117" s="220"/>
      <c r="CA117" s="134"/>
      <c r="CB117" s="85"/>
      <c r="CC117" s="220"/>
      <c r="CD117" s="134"/>
      <c r="CE117" s="85"/>
      <c r="CF117" s="220"/>
      <c r="CG117" s="134"/>
      <c r="CH117" s="85"/>
      <c r="CI117" s="220"/>
      <c r="CJ117" s="134"/>
      <c r="CK117" s="85"/>
      <c r="CL117" s="220"/>
      <c r="CM117" s="134"/>
      <c r="CN117" s="85"/>
      <c r="CO117" s="220"/>
      <c r="CP117" s="134"/>
      <c r="CQ117" s="85"/>
      <c r="CR117" s="220"/>
      <c r="CS117" s="134"/>
      <c r="CT117" s="85"/>
      <c r="CU117" s="220"/>
      <c r="CV117" s="134"/>
      <c r="CW117" s="85"/>
      <c r="CX117" s="220"/>
      <c r="CY117" s="134"/>
      <c r="CZ117" s="85"/>
      <c r="DA117" s="220"/>
      <c r="DB117" s="134"/>
      <c r="DC117" s="85"/>
      <c r="DD117" s="220"/>
      <c r="DE117" s="134"/>
      <c r="DF117" s="85"/>
      <c r="DY117" s="191"/>
      <c r="DZ117" s="191"/>
      <c r="EA117" s="191"/>
      <c r="EB117" s="191"/>
      <c r="EC117" s="191"/>
      <c r="ED117" s="191"/>
      <c r="EE117" s="191"/>
      <c r="EF117" s="191"/>
      <c r="EG117" s="191"/>
      <c r="EH117" s="191"/>
      <c r="EI117" s="191"/>
      <c r="EJ117" s="192"/>
      <c r="EK117" s="192"/>
      <c r="EL117" s="192"/>
      <c r="EM117" s="192"/>
      <c r="EN117" s="191"/>
      <c r="EO117" s="192"/>
      <c r="EP117" s="192"/>
      <c r="EQ117" s="192"/>
      <c r="ER117" s="192"/>
      <c r="ES117" s="192"/>
      <c r="ET117" s="192"/>
      <c r="EU117" s="192"/>
      <c r="EV117" s="192"/>
      <c r="EW117" s="192"/>
      <c r="EX117" s="192"/>
      <c r="EY117" s="192"/>
      <c r="EZ117" s="192"/>
      <c r="FA117" s="191"/>
      <c r="FB117" s="191"/>
      <c r="FC117" s="191"/>
      <c r="FD117" s="192"/>
      <c r="FE117" s="192"/>
      <c r="FF117" s="192"/>
      <c r="FG117" s="192"/>
      <c r="FH117" s="191"/>
      <c r="FI117" s="191"/>
      <c r="FJ117" s="191"/>
      <c r="FK117" s="191"/>
      <c r="FL117" s="191"/>
      <c r="FM117" s="191"/>
      <c r="FN117" s="191"/>
      <c r="FO117" s="191"/>
      <c r="FP117" s="191"/>
      <c r="FQ117" s="191"/>
      <c r="FR117" s="191"/>
    </row>
    <row r="118" spans="1:342" ht="7.4" customHeight="1" x14ac:dyDescent="0.5">
      <c r="A118" s="42"/>
      <c r="B118" s="38"/>
      <c r="C118" s="39"/>
      <c r="D118" s="39"/>
      <c r="E118" s="40"/>
      <c r="F118" s="38"/>
      <c r="G118" s="140"/>
      <c r="H118" s="140"/>
      <c r="I118" s="140"/>
      <c r="J118" s="140"/>
      <c r="K118" s="140"/>
      <c r="L118" s="140"/>
      <c r="M118" s="140"/>
      <c r="N118" s="140"/>
      <c r="O118" s="140"/>
      <c r="P118" s="140"/>
      <c r="Q118" s="140"/>
      <c r="R118" s="193"/>
      <c r="S118" s="38"/>
      <c r="T118" s="39"/>
      <c r="U118" s="39"/>
      <c r="V118" s="39"/>
      <c r="W118" s="39"/>
      <c r="X118" s="39"/>
      <c r="Y118" s="39"/>
      <c r="Z118" s="39"/>
      <c r="AA118" s="39"/>
      <c r="AB118" s="39"/>
      <c r="AC118" s="39"/>
      <c r="AD118" s="39"/>
      <c r="AE118" s="39"/>
      <c r="AF118" s="39"/>
      <c r="AG118" s="39"/>
      <c r="AH118" s="39"/>
      <c r="AI118" s="39"/>
      <c r="AJ118" s="40"/>
      <c r="AK118" s="38"/>
      <c r="AL118" s="39"/>
      <c r="AM118" s="39"/>
      <c r="AN118" s="39"/>
      <c r="AO118" s="39"/>
      <c r="AP118" s="39"/>
      <c r="AQ118" s="38"/>
      <c r="AR118" s="39"/>
      <c r="AS118" s="39"/>
      <c r="AT118" s="39"/>
      <c r="AU118" s="39"/>
      <c r="AV118" s="39"/>
      <c r="AW118" s="39"/>
      <c r="AX118" s="39"/>
      <c r="AY118" s="39"/>
      <c r="AZ118" s="39"/>
      <c r="BA118" s="39"/>
      <c r="BB118" s="39"/>
      <c r="BC118" s="39"/>
      <c r="BD118" s="39"/>
      <c r="BE118" s="39"/>
      <c r="BF118" s="39"/>
      <c r="BG118" s="39"/>
      <c r="BH118" s="40"/>
      <c r="BI118" s="41"/>
      <c r="BK118" s="415">
        <f>IF($N$74="Combination",0,($AE$45*M58+20*(M58-1)+$N$78*2)*2*M54/$N$74)</f>
        <v>0</v>
      </c>
      <c r="BL118" s="416"/>
      <c r="BM118" s="417"/>
      <c r="BN118" s="415">
        <f>IF($N$74="Combination",0,($AE$45*P58+20*(P58-1)+$N$78*2)*2*P54/$N$74)</f>
        <v>0</v>
      </c>
      <c r="BO118" s="416"/>
      <c r="BP118" s="417"/>
      <c r="BQ118" s="415">
        <f>IF($N$74="Combination",0,($AE$45*S58+20*(S58-1)+$N$78*2)*2*S54/$N$74)</f>
        <v>0</v>
      </c>
      <c r="BR118" s="416"/>
      <c r="BS118" s="417"/>
      <c r="BT118" s="415">
        <f>IF($N$74="Combination",0,($AE$45*V58+20*(V58-1)+$N$78*2)*2*V54/$N$74)</f>
        <v>0</v>
      </c>
      <c r="BU118" s="416"/>
      <c r="BV118" s="417"/>
      <c r="BW118" s="415">
        <f>IF($N$74="Combination",0,($AE$45*Y58+20*(Y58-1)+$N$78*2)*2*Y54/$N$74)</f>
        <v>0</v>
      </c>
      <c r="BX118" s="416"/>
      <c r="BY118" s="417"/>
      <c r="BZ118" s="415">
        <f>IF($N$74="Combination",0,($AE$45*AB58+20*(AB58-1)+$N$78*2)*2*AB54/$N$74)</f>
        <v>0</v>
      </c>
      <c r="CA118" s="416"/>
      <c r="CB118" s="417"/>
      <c r="CC118" s="415">
        <f>IF($N$74="Combination",0,($AE$45*AE58+20*(AE58-1)+$N$78*2)*2*AE54/$N$74)</f>
        <v>0</v>
      </c>
      <c r="CD118" s="416"/>
      <c r="CE118" s="417"/>
      <c r="CF118" s="415">
        <f>IF($N$74="Combination",0,($AE$45*AH58+20*(AH58-1)+$N$78*2)*2*AH54/$N$74)</f>
        <v>0</v>
      </c>
      <c r="CG118" s="416"/>
      <c r="CH118" s="417"/>
      <c r="CI118" s="415">
        <f>IF($N$74="Combination",0,($AE$45*AK58+20*(AK58-1)+$N$78*2)*2*AK54/$N$74)</f>
        <v>0</v>
      </c>
      <c r="CJ118" s="416"/>
      <c r="CK118" s="417"/>
      <c r="CL118" s="415">
        <f>IF($N$74="Combination",0,($AE$45*AN58+20*(AN58-1)+$N$78*2)*2*AN54/$N$74)</f>
        <v>0</v>
      </c>
      <c r="CM118" s="416"/>
      <c r="CN118" s="417"/>
      <c r="CO118" s="415">
        <f>IF($N$74="Combination",0,($AE$45*AQ58+20*(AQ58-1)+$N$78*2)*2*AQ54/$N$74)</f>
        <v>0</v>
      </c>
      <c r="CP118" s="416"/>
      <c r="CQ118" s="417"/>
      <c r="CR118" s="415">
        <f>IF($N$74="Combination",0,($AE$45*AT58+20*(AT58-1)+$N$78*2)*2*AT54/$N$74)</f>
        <v>0</v>
      </c>
      <c r="CS118" s="416"/>
      <c r="CT118" s="417"/>
      <c r="CU118" s="415">
        <f>IF($N$74="Combination",0,($AE$45*AW58+20*(AW58-1)+$N$78*2)*2*AW54/$N$74)</f>
        <v>0</v>
      </c>
      <c r="CV118" s="416"/>
      <c r="CW118" s="417"/>
      <c r="CX118" s="415">
        <f>IF($N$74="Combination",0,($AE$45*AZ58+20*(AZ58-1)+$N$78*2)*2*AZ54/$N$74)</f>
        <v>0</v>
      </c>
      <c r="CY118" s="416"/>
      <c r="CZ118" s="417"/>
      <c r="DA118" s="415">
        <f>IF($N$74="Combination",0,($AE$45*BC58+20*(BC58-1)+$N$78*2)*2*BC54/$N$74)</f>
        <v>0</v>
      </c>
      <c r="DB118" s="416"/>
      <c r="DC118" s="417"/>
      <c r="DD118" s="415">
        <f>IF($N$74="Combination",0,($AE$45*BF58+20*(BF58-1)+$N$78*2)*2*BF54/$N$74)</f>
        <v>0</v>
      </c>
      <c r="DE118" s="416"/>
      <c r="DF118" s="417"/>
      <c r="DY118" s="191"/>
      <c r="DZ118" s="191"/>
      <c r="EA118" s="191"/>
      <c r="EB118" s="191"/>
      <c r="EC118" s="191"/>
      <c r="ED118" s="191"/>
      <c r="EE118" s="191"/>
      <c r="EF118" s="191"/>
      <c r="EG118" s="191"/>
      <c r="EH118" s="191"/>
      <c r="EI118" s="191"/>
      <c r="EJ118" s="192"/>
      <c r="EK118" s="192"/>
      <c r="EL118" s="192"/>
      <c r="EM118" s="192"/>
      <c r="EN118" s="191"/>
      <c r="EO118" s="192"/>
      <c r="EP118" s="192"/>
      <c r="EQ118" s="192"/>
      <c r="ER118" s="192"/>
      <c r="ES118" s="192"/>
      <c r="ET118" s="192"/>
      <c r="EU118" s="192"/>
      <c r="EV118" s="192"/>
      <c r="EW118" s="192"/>
      <c r="EX118" s="192"/>
      <c r="EY118" s="192"/>
      <c r="EZ118" s="192"/>
      <c r="FA118" s="191"/>
      <c r="FB118" s="191"/>
      <c r="FC118" s="191"/>
      <c r="FD118" s="192"/>
      <c r="FE118" s="192"/>
      <c r="FF118" s="192"/>
      <c r="FG118" s="192"/>
      <c r="FH118" s="191"/>
      <c r="FI118" s="191"/>
      <c r="FJ118" s="191"/>
      <c r="FK118" s="191"/>
      <c r="FL118" s="191"/>
      <c r="FM118" s="191"/>
      <c r="FN118" s="191"/>
      <c r="FO118" s="191"/>
      <c r="FP118" s="191"/>
      <c r="FQ118" s="191"/>
      <c r="FR118" s="191"/>
    </row>
    <row r="119" spans="1:342" ht="7.4" customHeight="1" x14ac:dyDescent="0.5">
      <c r="A119" s="42"/>
      <c r="B119" s="42"/>
      <c r="C119" s="419">
        <v>1</v>
      </c>
      <c r="D119" s="419"/>
      <c r="E119" s="41"/>
      <c r="F119" s="42"/>
      <c r="G119" s="319" t="str">
        <f>IF(AL119=0,"N/A","AXE_L_R_40_30"&amp;"_AL")</f>
        <v>N/A</v>
      </c>
      <c r="H119" s="319"/>
      <c r="I119" s="319"/>
      <c r="J119" s="319"/>
      <c r="K119" s="319"/>
      <c r="L119" s="319"/>
      <c r="M119" s="319"/>
      <c r="N119" s="319"/>
      <c r="O119" s="319"/>
      <c r="P119" s="319"/>
      <c r="Q119" s="319"/>
      <c r="R119" s="320"/>
      <c r="S119" s="42"/>
      <c r="T119" s="405" t="str">
        <f>VLOOKUP(G119,PL!$B$9:$BH$1265,14,FALSE)</f>
        <v>No Item</v>
      </c>
      <c r="U119" s="405"/>
      <c r="V119" s="405"/>
      <c r="W119" s="405"/>
      <c r="X119" s="405"/>
      <c r="Y119" s="405"/>
      <c r="Z119" s="405"/>
      <c r="AA119" s="405"/>
      <c r="AB119" s="405"/>
      <c r="AC119" s="405"/>
      <c r="AE119" s="49"/>
      <c r="AF119" s="316" t="str">
        <f>IF(AL119=0,"","("&amp;IF(N74="Combination",DW111,N74)/1000&amp;"m)")</f>
        <v/>
      </c>
      <c r="AG119" s="418"/>
      <c r="AH119" s="418"/>
      <c r="AI119" s="418"/>
      <c r="AJ119" s="110"/>
      <c r="AK119" s="42"/>
      <c r="AL119" s="311">
        <f>IF(N74="Combination",ROUND(SUM(BK121:DF121)*(1+$BF$74),0),ROUNDUP(SUM(BK119:DF119)*(1+$BF$74),0))</f>
        <v>0</v>
      </c>
      <c r="AM119" s="311"/>
      <c r="AN119" s="311"/>
      <c r="AO119" s="311"/>
      <c r="AP119" s="43"/>
      <c r="AQ119" s="111"/>
      <c r="AR119" s="308" t="str">
        <f>VLOOKUP(G119,PL!$B$9:$BH$818,52,FALSE)</f>
        <v>-</v>
      </c>
      <c r="AS119" s="309"/>
      <c r="AT119" s="309"/>
      <c r="AU119" s="309"/>
      <c r="AV119" s="309"/>
      <c r="AW119" s="309"/>
      <c r="AX119" s="309"/>
      <c r="AY119" s="309"/>
      <c r="AZ119" s="309"/>
      <c r="BA119" s="309"/>
      <c r="BB119" s="309"/>
      <c r="BC119" s="309"/>
      <c r="BD119" s="309"/>
      <c r="BE119" s="309"/>
      <c r="BF119" s="309"/>
      <c r="BG119" s="309"/>
      <c r="BH119" s="124"/>
      <c r="BI119" s="124"/>
      <c r="BK119" s="415">
        <f>IF($N$74="Combination",0,($AE$45*M58+20*(M58-1)+$N$78*2+IF(OR(BK89&lt;$BW$74,BK91&lt;$BW$74),MIN(BK89,BK91),0))*2*M54/$N$74)</f>
        <v>0</v>
      </c>
      <c r="BL119" s="416"/>
      <c r="BM119" s="417"/>
      <c r="BN119" s="415">
        <f>IF($N$74="Combination",0,($AE$45*P58+20*(P58-1)+$N$78*2+IF(OR(BN89&lt;$BW$74,BN91&lt;$BW$74),MIN(BN89,BN91),0))*2*P54/$N$74)</f>
        <v>0</v>
      </c>
      <c r="BO119" s="416"/>
      <c r="BP119" s="417"/>
      <c r="BQ119" s="415">
        <f>IF($N$74="Combination",0,($AE$45*S58+20*(S58-1)+$N$78*2+IF(OR(BQ89&lt;$BW$74,BQ91&lt;$BW$74),MIN(BQ89,BQ91),0))*2*S54/$N$74)</f>
        <v>0</v>
      </c>
      <c r="BR119" s="416"/>
      <c r="BS119" s="417"/>
      <c r="BT119" s="415">
        <f>IF($N$74="Combination",0,($AE$45*V58+20*(V58-1)+$N$78*2+IF(OR(BT89&lt;$BW$74,BT91&lt;$BW$74),MIN(BT89,BT91),0))*2*V54/$N$74)</f>
        <v>0</v>
      </c>
      <c r="BU119" s="416"/>
      <c r="BV119" s="417"/>
      <c r="BW119" s="415">
        <f>IF($N$74="Combination",0,($AE$45*Y58+20*(Y58-1)+$N$78*2+IF(OR(BW89&lt;$BW$74,BW91&lt;$BW$74),MIN(BW89,BW91),0))*2*Y54/$N$74)</f>
        <v>0</v>
      </c>
      <c r="BX119" s="416"/>
      <c r="BY119" s="417"/>
      <c r="BZ119" s="415">
        <f>IF($N$74="Combination",0,($AE$45*AB58+20*(AB58-1)+$N$78*2+IF(OR(BZ89&lt;$BW$74,BZ91&lt;$BW$74),MIN(BZ89,BZ91),0))*2*AB54/$N$74)</f>
        <v>0</v>
      </c>
      <c r="CA119" s="416"/>
      <c r="CB119" s="417"/>
      <c r="CC119" s="415">
        <f>IF($N$74="Combination",0,($AE$45*AE58+20*(AE58-1)+$N$78*2+IF(OR(CC89&lt;$BW$74,CC91&lt;$BW$74),MIN(CC89,CC91),0))*2*AE54/$N$74)</f>
        <v>0</v>
      </c>
      <c r="CD119" s="416"/>
      <c r="CE119" s="417"/>
      <c r="CF119" s="415">
        <f>IF($N$74="Combination",0,($AE$45*AH58+20*(AH58-1)+$N$78*2+IF(OR(CF89&lt;$BW$74,CF91&lt;$BW$74),MIN(CF89,CF91),0))*2*AH54/$N$74)</f>
        <v>0</v>
      </c>
      <c r="CG119" s="416"/>
      <c r="CH119" s="417"/>
      <c r="CI119" s="415">
        <f>IF($N$74="Combination",0,($AE$45*AK58+20*(AK58-1)+$N$78*2+IF(OR(CI89&lt;$BW$74,CI91&lt;$BW$74),MIN(CI89,CI91),0))*2*AK54/$N$74)</f>
        <v>0</v>
      </c>
      <c r="CJ119" s="416"/>
      <c r="CK119" s="417"/>
      <c r="CL119" s="415">
        <f>IF($N$74="Combination",0,($AE$45*AN58+20*(AN58-1)+$N$78*2+IF(OR(CL89&lt;$BW$74,CL91&lt;$BW$74),MIN(CL89,CL91),0))*2*AN54/$N$74)</f>
        <v>0</v>
      </c>
      <c r="CM119" s="416"/>
      <c r="CN119" s="417"/>
      <c r="CO119" s="415">
        <f>IF($N$74="Combination",0,($AE$45*AQ58+20*(AQ58-1)+$N$78*2+IF(OR(CO89&lt;$BW$74,CO91&lt;$BW$74),MIN(CO89,CO91),0))*2*AQ54/$N$74)</f>
        <v>0</v>
      </c>
      <c r="CP119" s="416"/>
      <c r="CQ119" s="417"/>
      <c r="CR119" s="415">
        <f>IF($N$74="Combination",0,($AE$45*AT58+20*(AT58-1)+$N$78*2+IF(OR(CR89&lt;$BW$74,CR91&lt;$BW$74),MIN(CR89,CR91),0))*2*AT54/$N$74)</f>
        <v>0</v>
      </c>
      <c r="CS119" s="416"/>
      <c r="CT119" s="417"/>
      <c r="CU119" s="415">
        <f>IF($N$74="Combination",0,($AE$45*AW58+20*(AW58-1)+$N$78*2+IF(OR(CU89&lt;$BW$74,CU91&lt;$BW$74),MIN(CU89,CU91),0))*2*AW54/$N$74)</f>
        <v>0</v>
      </c>
      <c r="CV119" s="416"/>
      <c r="CW119" s="417"/>
      <c r="CX119" s="415">
        <f>IF($N$74="Combination",0,($AE$45*AZ58+20*(AZ58-1)+$N$78*2+IF(OR(CX89&lt;$BW$74,CX91&lt;$BW$74),MIN(CX89,CX91),0))*2*AZ54/$N$74)</f>
        <v>0</v>
      </c>
      <c r="CY119" s="416"/>
      <c r="CZ119" s="417"/>
      <c r="DA119" s="415">
        <f>IF($N$74="Combination",0,($AE$45*BC58+20*(BC58-1)+$N$78*2+IF(OR(DA89&lt;$BW$74,DA91&lt;$BW$74),MIN(DA89,DA91),0))*2*BC54/$N$74)</f>
        <v>0</v>
      </c>
      <c r="DB119" s="416"/>
      <c r="DC119" s="417"/>
      <c r="DD119" s="415">
        <f>IF($N$74="Combination",0,($AE$45*BF58+20*(BF58-1)+$N$78*2+IF(OR(DD89&lt;$BW$74,DD91&lt;$BW$74),MIN(DD89,DD91),0))*2*BF54/$N$74)</f>
        <v>0</v>
      </c>
      <c r="DE119" s="416"/>
      <c r="DF119" s="417"/>
      <c r="DH119" s="311"/>
      <c r="DI119" s="311"/>
      <c r="DJ119" s="311"/>
      <c r="DK119" s="311"/>
      <c r="DL119" s="321"/>
      <c r="DM119" s="321"/>
      <c r="DN119" s="321"/>
      <c r="DO119" s="321"/>
      <c r="DP119" s="321"/>
      <c r="DQ119" s="321"/>
      <c r="DR119" s="321"/>
      <c r="DS119" s="321"/>
    </row>
    <row r="120" spans="1:342" ht="7.4" customHeight="1" x14ac:dyDescent="0.5">
      <c r="A120" s="42"/>
      <c r="B120" s="42"/>
      <c r="C120" s="419"/>
      <c r="D120" s="419"/>
      <c r="E120" s="41"/>
      <c r="F120" s="42"/>
      <c r="G120" s="319"/>
      <c r="H120" s="319"/>
      <c r="I120" s="319"/>
      <c r="J120" s="319"/>
      <c r="K120" s="319"/>
      <c r="L120" s="319"/>
      <c r="M120" s="319"/>
      <c r="N120" s="319"/>
      <c r="O120" s="319"/>
      <c r="P120" s="319"/>
      <c r="Q120" s="319"/>
      <c r="R120" s="320"/>
      <c r="S120" s="42"/>
      <c r="T120" s="405"/>
      <c r="U120" s="405"/>
      <c r="V120" s="405"/>
      <c r="W120" s="405"/>
      <c r="X120" s="405"/>
      <c r="Y120" s="405"/>
      <c r="Z120" s="405"/>
      <c r="AA120" s="405"/>
      <c r="AB120" s="405"/>
      <c r="AC120" s="405"/>
      <c r="AD120" s="49"/>
      <c r="AE120" s="49"/>
      <c r="AF120" s="418"/>
      <c r="AG120" s="418"/>
      <c r="AH120" s="418"/>
      <c r="AI120" s="418"/>
      <c r="AJ120" s="110"/>
      <c r="AK120" s="42"/>
      <c r="AL120" s="311"/>
      <c r="AM120" s="311"/>
      <c r="AN120" s="311"/>
      <c r="AO120" s="311"/>
      <c r="AP120" s="43"/>
      <c r="AQ120" s="111"/>
      <c r="AR120" s="309"/>
      <c r="AS120" s="309"/>
      <c r="AT120" s="309"/>
      <c r="AU120" s="309"/>
      <c r="AV120" s="309"/>
      <c r="AW120" s="309"/>
      <c r="AX120" s="309"/>
      <c r="AY120" s="309"/>
      <c r="AZ120" s="309"/>
      <c r="BA120" s="309"/>
      <c r="BB120" s="309"/>
      <c r="BC120" s="309"/>
      <c r="BD120" s="309"/>
      <c r="BE120" s="309"/>
      <c r="BF120" s="309"/>
      <c r="BG120" s="309"/>
      <c r="BH120" s="124"/>
      <c r="BI120" s="124"/>
      <c r="BK120" s="415"/>
      <c r="BL120" s="416"/>
      <c r="BM120" s="417"/>
      <c r="BN120" s="415"/>
      <c r="BO120" s="416"/>
      <c r="BP120" s="417"/>
      <c r="BQ120" s="415"/>
      <c r="BR120" s="416"/>
      <c r="BS120" s="417"/>
      <c r="BT120" s="415"/>
      <c r="BU120" s="416"/>
      <c r="BV120" s="417"/>
      <c r="BW120" s="415"/>
      <c r="BX120" s="416"/>
      <c r="BY120" s="417"/>
      <c r="BZ120" s="415"/>
      <c r="CA120" s="416"/>
      <c r="CB120" s="417"/>
      <c r="CC120" s="415"/>
      <c r="CD120" s="416"/>
      <c r="CE120" s="417"/>
      <c r="CF120" s="415"/>
      <c r="CG120" s="416"/>
      <c r="CH120" s="417"/>
      <c r="CI120" s="415"/>
      <c r="CJ120" s="416"/>
      <c r="CK120" s="417"/>
      <c r="CL120" s="415"/>
      <c r="CM120" s="416"/>
      <c r="CN120" s="417"/>
      <c r="CO120" s="415"/>
      <c r="CP120" s="416"/>
      <c r="CQ120" s="417"/>
      <c r="CR120" s="415"/>
      <c r="CS120" s="416"/>
      <c r="CT120" s="417"/>
      <c r="CU120" s="415"/>
      <c r="CV120" s="416"/>
      <c r="CW120" s="417"/>
      <c r="CX120" s="415"/>
      <c r="CY120" s="416"/>
      <c r="CZ120" s="417"/>
      <c r="DA120" s="415"/>
      <c r="DB120" s="416"/>
      <c r="DC120" s="417"/>
      <c r="DD120" s="415"/>
      <c r="DE120" s="416"/>
      <c r="DF120" s="417"/>
      <c r="DH120" s="311"/>
      <c r="DI120" s="311"/>
      <c r="DJ120" s="311"/>
      <c r="DK120" s="311"/>
      <c r="DL120" s="321"/>
      <c r="DM120" s="321"/>
      <c r="DN120" s="321"/>
      <c r="DO120" s="321"/>
      <c r="DP120" s="321"/>
      <c r="DQ120" s="321"/>
      <c r="DR120" s="321"/>
      <c r="DS120" s="321"/>
    </row>
    <row r="121" spans="1:342" ht="7.4" customHeight="1" x14ac:dyDescent="0.5">
      <c r="A121" s="42"/>
      <c r="B121" s="42"/>
      <c r="C121" s="333"/>
      <c r="D121" s="333"/>
      <c r="E121" s="41"/>
      <c r="F121" s="42"/>
      <c r="G121" s="56"/>
      <c r="H121" s="56"/>
      <c r="I121" s="56"/>
      <c r="J121" s="56"/>
      <c r="K121" s="56"/>
      <c r="L121" s="56"/>
      <c r="M121" s="56"/>
      <c r="N121" s="56"/>
      <c r="O121" s="56"/>
      <c r="P121" s="56"/>
      <c r="Q121" s="56"/>
      <c r="R121" s="126"/>
      <c r="S121" s="42"/>
      <c r="T121" s="116" t="str">
        <f>VLOOKUP(G119,PL!$B$9:$BH$1265,33,FALSE)</f>
        <v>.</v>
      </c>
      <c r="AJ121" s="41"/>
      <c r="AK121" s="42"/>
      <c r="AL121" s="311"/>
      <c r="AM121" s="311"/>
      <c r="AN121" s="311"/>
      <c r="AO121" s="311"/>
      <c r="AP121" s="43"/>
      <c r="AQ121" s="42"/>
      <c r="AR121" s="119"/>
      <c r="AS121" s="119"/>
      <c r="AT121" s="119"/>
      <c r="AU121" s="119"/>
      <c r="AV121" s="119"/>
      <c r="AW121" s="119"/>
      <c r="AX121" s="105"/>
      <c r="AZ121" s="119"/>
      <c r="BA121" s="119"/>
      <c r="BB121" s="119"/>
      <c r="BC121" s="119"/>
      <c r="BD121" s="119"/>
      <c r="BE121" s="119"/>
      <c r="BF121" s="119"/>
      <c r="BG121" s="119"/>
      <c r="BH121" s="124"/>
      <c r="BI121" s="124"/>
      <c r="BK121" s="415">
        <f>IF(M54&gt;0,HLOOKUP(BK81,$DY$110:$ME$112,2)*M54*2,0)</f>
        <v>0</v>
      </c>
      <c r="BL121" s="416"/>
      <c r="BM121" s="417"/>
      <c r="BN121" s="415">
        <f>IF(P54&gt;0,HLOOKUP(BN81,$DY$110:$ME$112,2)*P54*2,0)</f>
        <v>0</v>
      </c>
      <c r="BO121" s="416"/>
      <c r="BP121" s="417"/>
      <c r="BQ121" s="415">
        <f>IF(S54&gt;0,HLOOKUP(BQ81,$DY$110:$ME$112,2)*S54*2,0)</f>
        <v>0</v>
      </c>
      <c r="BR121" s="416"/>
      <c r="BS121" s="417"/>
      <c r="BT121" s="415">
        <f>IF(V54&gt;0,HLOOKUP(BT81,$DY$110:$ME$112,2)*V54*2,0)</f>
        <v>0</v>
      </c>
      <c r="BU121" s="416"/>
      <c r="BV121" s="417"/>
      <c r="BW121" s="415">
        <f>IF(Y54&gt;0,HLOOKUP(BW81,$DY$110:$ME$112,2)*Y54*2,0)</f>
        <v>0</v>
      </c>
      <c r="BX121" s="416"/>
      <c r="BY121" s="417"/>
      <c r="BZ121" s="415">
        <f>IF(AB54&gt;0,HLOOKUP(BZ81,$DY$110:$ME$112,2)*AB54*2,0)</f>
        <v>0</v>
      </c>
      <c r="CA121" s="416"/>
      <c r="CB121" s="417"/>
      <c r="CC121" s="415">
        <f>IF(AE54&gt;0,HLOOKUP(CC81,$DY$110:$ME$112,2)*AE54*2,0)</f>
        <v>0</v>
      </c>
      <c r="CD121" s="416"/>
      <c r="CE121" s="417"/>
      <c r="CF121" s="415">
        <f>IF(AH54&gt;0,HLOOKUP(CF81,$DY$110:$ME$112,2)*AH54*2,0)</f>
        <v>0</v>
      </c>
      <c r="CG121" s="416"/>
      <c r="CH121" s="417"/>
      <c r="CI121" s="415">
        <f>IF(AK54&gt;0,HLOOKUP(CI81,$DY$110:$ME$112,2)*AK54*2,0)</f>
        <v>0</v>
      </c>
      <c r="CJ121" s="416"/>
      <c r="CK121" s="417"/>
      <c r="CL121" s="415">
        <f>IF(AN54&gt;0,HLOOKUP(CL81,$DY$110:$ME$112,2)*AN54*2,0)</f>
        <v>0</v>
      </c>
      <c r="CM121" s="416"/>
      <c r="CN121" s="417"/>
      <c r="CO121" s="415">
        <f>IF(AQ54&gt;0,HLOOKUP(CO81,$DY$110:$ME$112,2)*AQ54*2,0)</f>
        <v>0</v>
      </c>
      <c r="CP121" s="416"/>
      <c r="CQ121" s="417"/>
      <c r="CR121" s="415">
        <f>IF(AT54&gt;0,HLOOKUP(CR81,$DY$110:$ME$112,2)*AT54*2,0)</f>
        <v>0</v>
      </c>
      <c r="CS121" s="416"/>
      <c r="CT121" s="417"/>
      <c r="CU121" s="415">
        <f>IF(AW54&gt;0,HLOOKUP(CU81,$DY$110:$ME$112,2)*AW54*2,0)</f>
        <v>0</v>
      </c>
      <c r="CV121" s="416"/>
      <c r="CW121" s="417"/>
      <c r="CX121" s="415">
        <f>IF(AZ54&gt;0,HLOOKUP(CX81,$DY$110:$ME$112,2)*AZ54*2,0)</f>
        <v>0</v>
      </c>
      <c r="CY121" s="416"/>
      <c r="CZ121" s="417"/>
      <c r="DA121" s="415">
        <f>IF(BC54&gt;0,HLOOKUP(DA81,$DY$110:$ME$112,2)*BC54*2,0)</f>
        <v>0</v>
      </c>
      <c r="DB121" s="416"/>
      <c r="DC121" s="417"/>
      <c r="DD121" s="415">
        <f>IF(BF54&gt;0,HLOOKUP(DD81,$DY$110:$ME$112,2)*BF54*2,0)</f>
        <v>0</v>
      </c>
      <c r="DE121" s="416"/>
      <c r="DF121" s="417"/>
      <c r="DH121" s="311"/>
      <c r="DI121" s="311"/>
      <c r="DJ121" s="311"/>
      <c r="DK121" s="311"/>
      <c r="DL121" s="321"/>
      <c r="DM121" s="321"/>
      <c r="DN121" s="321"/>
      <c r="DO121" s="321"/>
      <c r="DP121" s="321"/>
      <c r="DQ121" s="321"/>
      <c r="DR121" s="321"/>
      <c r="DS121" s="321"/>
    </row>
    <row r="122" spans="1:342" ht="7.4" customHeight="1" x14ac:dyDescent="0.5">
      <c r="A122" s="42"/>
      <c r="B122" s="42"/>
      <c r="C122" s="55"/>
      <c r="D122" s="55"/>
      <c r="E122" s="41"/>
      <c r="F122" s="42"/>
      <c r="G122" s="56"/>
      <c r="H122" s="56"/>
      <c r="I122" s="56"/>
      <c r="J122" s="56"/>
      <c r="K122" s="56"/>
      <c r="L122" s="56"/>
      <c r="M122" s="56"/>
      <c r="N122" s="56"/>
      <c r="O122" s="56"/>
      <c r="P122" s="56"/>
      <c r="Q122" s="56"/>
      <c r="R122" s="126"/>
      <c r="S122" s="42"/>
      <c r="AJ122" s="41"/>
      <c r="AK122" s="42"/>
      <c r="AL122" s="311"/>
      <c r="AM122" s="311"/>
      <c r="AN122" s="311"/>
      <c r="AO122" s="311"/>
      <c r="AP122" s="43"/>
      <c r="AQ122" s="42"/>
      <c r="AR122" s="119"/>
      <c r="AS122" s="119"/>
      <c r="AT122" s="119"/>
      <c r="AU122" s="119"/>
      <c r="AV122" s="119"/>
      <c r="AW122" s="119"/>
      <c r="AX122" s="105"/>
      <c r="AZ122" s="119"/>
      <c r="BA122" s="119"/>
      <c r="BB122" s="119"/>
      <c r="BC122" s="119"/>
      <c r="BD122" s="119"/>
      <c r="BE122" s="119"/>
      <c r="BF122" s="119"/>
      <c r="BG122" s="119"/>
      <c r="BH122" s="124"/>
      <c r="BI122" s="124"/>
      <c r="BK122" s="415"/>
      <c r="BL122" s="416"/>
      <c r="BM122" s="417"/>
      <c r="BN122" s="415"/>
      <c r="BO122" s="416"/>
      <c r="BP122" s="417"/>
      <c r="BQ122" s="415"/>
      <c r="BR122" s="416"/>
      <c r="BS122" s="417"/>
      <c r="BT122" s="415"/>
      <c r="BU122" s="416"/>
      <c r="BV122" s="417"/>
      <c r="BW122" s="415"/>
      <c r="BX122" s="416"/>
      <c r="BY122" s="417"/>
      <c r="BZ122" s="415"/>
      <c r="CA122" s="416"/>
      <c r="CB122" s="417"/>
      <c r="CC122" s="415"/>
      <c r="CD122" s="416"/>
      <c r="CE122" s="417"/>
      <c r="CF122" s="415"/>
      <c r="CG122" s="416"/>
      <c r="CH122" s="417"/>
      <c r="CI122" s="415"/>
      <c r="CJ122" s="416"/>
      <c r="CK122" s="417"/>
      <c r="CL122" s="415"/>
      <c r="CM122" s="416"/>
      <c r="CN122" s="417"/>
      <c r="CO122" s="415"/>
      <c r="CP122" s="416"/>
      <c r="CQ122" s="417"/>
      <c r="CR122" s="415"/>
      <c r="CS122" s="416"/>
      <c r="CT122" s="417"/>
      <c r="CU122" s="415"/>
      <c r="CV122" s="416"/>
      <c r="CW122" s="417"/>
      <c r="CX122" s="415"/>
      <c r="CY122" s="416"/>
      <c r="CZ122" s="417"/>
      <c r="DA122" s="415"/>
      <c r="DB122" s="416"/>
      <c r="DC122" s="417"/>
      <c r="DD122" s="415"/>
      <c r="DE122" s="416"/>
      <c r="DF122" s="417"/>
      <c r="DL122" s="105"/>
      <c r="DM122" s="105"/>
      <c r="DN122" s="105"/>
      <c r="DO122" s="105"/>
      <c r="DP122" s="105"/>
      <c r="DQ122" s="105"/>
      <c r="DR122" s="105"/>
      <c r="DS122" s="105"/>
    </row>
    <row r="123" spans="1:342" ht="7.4" customHeight="1" x14ac:dyDescent="0.5">
      <c r="A123" s="42"/>
      <c r="B123" s="42"/>
      <c r="C123" s="311">
        <f>C119+1</f>
        <v>2</v>
      </c>
      <c r="D123" s="311"/>
      <c r="E123" s="41"/>
      <c r="F123" s="42"/>
      <c r="G123" s="319" t="str">
        <f>IF(AL123=0,"N/A","AXE_L_R_40_30"&amp;"_AL")</f>
        <v>AXE_L_R_40_30_AL</v>
      </c>
      <c r="H123" s="319"/>
      <c r="I123" s="319"/>
      <c r="J123" s="319"/>
      <c r="K123" s="319"/>
      <c r="L123" s="319"/>
      <c r="M123" s="319"/>
      <c r="N123" s="319"/>
      <c r="O123" s="319"/>
      <c r="P123" s="319"/>
      <c r="Q123" s="319"/>
      <c r="R123" s="320"/>
      <c r="S123" s="42"/>
      <c r="T123" s="405" t="str">
        <f>VLOOKUP(G123,PL!$B$9:$BH$1265,14,FALSE)</f>
        <v xml:space="preserve">Rail Profile </v>
      </c>
      <c r="U123" s="405"/>
      <c r="V123" s="405"/>
      <c r="W123" s="405"/>
      <c r="X123" s="405"/>
      <c r="Y123" s="405"/>
      <c r="Z123" s="405"/>
      <c r="AA123" s="405"/>
      <c r="AB123" s="405"/>
      <c r="AC123" s="405"/>
      <c r="AE123" s="130"/>
      <c r="AF123" s="339" t="str">
        <f>IF(AL123=0,"","("&amp;IF(N74="Combination",DW112/1000,0)&amp;"m)")</f>
        <v>(5.85m)</v>
      </c>
      <c r="AG123" s="507"/>
      <c r="AH123" s="507"/>
      <c r="AI123" s="507"/>
      <c r="AJ123" s="221"/>
      <c r="AK123" s="42"/>
      <c r="AL123" s="311">
        <f>IF(N74="Combination",ROUND(SUM(BK123:DF123)*(1+$BF$74),0),0)</f>
        <v>102</v>
      </c>
      <c r="AM123" s="311"/>
      <c r="AN123" s="311"/>
      <c r="AO123" s="311"/>
      <c r="AP123" s="43"/>
      <c r="AQ123" s="111"/>
      <c r="AR123" s="308" t="str">
        <f>VLOOKUP(G123,PL!$B$9:$BH$818,52,FALSE)</f>
        <v>SOL-580404</v>
      </c>
      <c r="AS123" s="309"/>
      <c r="AT123" s="309"/>
      <c r="AU123" s="309"/>
      <c r="AV123" s="309"/>
      <c r="AW123" s="309"/>
      <c r="AX123" s="309"/>
      <c r="AY123" s="309"/>
      <c r="AZ123" s="309"/>
      <c r="BA123" s="309"/>
      <c r="BB123" s="309"/>
      <c r="BC123" s="309"/>
      <c r="BD123" s="309"/>
      <c r="BE123" s="309"/>
      <c r="BF123" s="309"/>
      <c r="BG123" s="309"/>
      <c r="BH123" s="124"/>
      <c r="BI123" s="124"/>
      <c r="BK123" s="415">
        <f>IF(M54&gt;0,HLOOKUP(BK81,$DY$110:$ME$112,3)*M54*2,0)</f>
        <v>100</v>
      </c>
      <c r="BL123" s="416"/>
      <c r="BM123" s="417"/>
      <c r="BN123" s="415">
        <f>IF(P54&gt;0,HLOOKUP(BN81,$DY$110:$ME$112,3)*P54*2,0)</f>
        <v>0</v>
      </c>
      <c r="BO123" s="416"/>
      <c r="BP123" s="417"/>
      <c r="BQ123" s="415">
        <f>IF(S54&gt;0,HLOOKUP(BQ81,$DY$110:$ME$112,3)*S54*2,0)</f>
        <v>0</v>
      </c>
      <c r="BR123" s="416"/>
      <c r="BS123" s="417"/>
      <c r="BT123" s="415">
        <f>IF(V54&gt;0,HLOOKUP(BT81,$DY$110:$ME$112,3)*V54*2,0)</f>
        <v>0</v>
      </c>
      <c r="BU123" s="416"/>
      <c r="BV123" s="417"/>
      <c r="BW123" s="415">
        <f>IF(Y54&gt;0,HLOOKUP(BW81,$DY$110:$ME$112,3)*Y54*2,0)</f>
        <v>0</v>
      </c>
      <c r="BX123" s="416"/>
      <c r="BY123" s="417"/>
      <c r="BZ123" s="415">
        <f>IF(AB54&gt;0,HLOOKUP(BZ81,$DY$110:$ME$112,3)*AB54*2,0)</f>
        <v>0</v>
      </c>
      <c r="CA123" s="416"/>
      <c r="CB123" s="417"/>
      <c r="CC123" s="415">
        <f>IF(AE54&gt;0,HLOOKUP(CC81,$DY$110:$ME$112,3)*AE54*2,0)</f>
        <v>0</v>
      </c>
      <c r="CD123" s="416"/>
      <c r="CE123" s="417"/>
      <c r="CF123" s="415">
        <f>IF(AH54&gt;0,HLOOKUP(CF81,$DY$110:$ME$112,3)*AH54*2,0)</f>
        <v>0</v>
      </c>
      <c r="CG123" s="416"/>
      <c r="CH123" s="417"/>
      <c r="CI123" s="415">
        <f>IF(AK54&gt;0,HLOOKUP(CI81,$DY$110:$ME$112,3)*AK54*2,0)</f>
        <v>0</v>
      </c>
      <c r="CJ123" s="416"/>
      <c r="CK123" s="417"/>
      <c r="CL123" s="415">
        <f>IF(AN54&gt;0,HLOOKUP(CL81,$DY$110:$ME$112,3)*AN54*2,0)</f>
        <v>0</v>
      </c>
      <c r="CM123" s="416"/>
      <c r="CN123" s="417"/>
      <c r="CO123" s="415">
        <f>IF(AQ54&gt;0,HLOOKUP(CO81,$DY$110:$ME$112,3)*AQ54*2,0)</f>
        <v>0</v>
      </c>
      <c r="CP123" s="416"/>
      <c r="CQ123" s="417"/>
      <c r="CR123" s="415">
        <f>IF(AT54&gt;0,HLOOKUP(CR81,$DY$110:$ME$112,3)*AT54*2,0)</f>
        <v>0</v>
      </c>
      <c r="CS123" s="416"/>
      <c r="CT123" s="417"/>
      <c r="CU123" s="415">
        <f>IF(AW54&gt;0,HLOOKUP(CU81,$DY$110:$ME$112,3)*AW54*2,0)</f>
        <v>0</v>
      </c>
      <c r="CV123" s="416"/>
      <c r="CW123" s="417"/>
      <c r="CX123" s="415">
        <f>IF(AZ54&gt;0,HLOOKUP(CX81,$DY$110:$ME$112,3)*AZ54*2,0)</f>
        <v>0</v>
      </c>
      <c r="CY123" s="416"/>
      <c r="CZ123" s="417"/>
      <c r="DA123" s="415">
        <f>IF(BC54&gt;0,HLOOKUP(DA81,$DY$110:$ME$112,3)*BC54*2,0)</f>
        <v>0</v>
      </c>
      <c r="DB123" s="416"/>
      <c r="DC123" s="417"/>
      <c r="DD123" s="415">
        <f>IF(BF54&gt;0,HLOOKUP(DD81,$DY$110:$ME$112,3)*BF54*2,0)</f>
        <v>0</v>
      </c>
      <c r="DE123" s="416"/>
      <c r="DF123" s="417"/>
      <c r="DH123" s="311"/>
      <c r="DI123" s="311"/>
      <c r="DJ123" s="311"/>
      <c r="DK123" s="311"/>
      <c r="DL123" s="321"/>
      <c r="DM123" s="321"/>
      <c r="DN123" s="321"/>
      <c r="DO123" s="321"/>
      <c r="DP123" s="321"/>
      <c r="DQ123" s="321"/>
      <c r="DR123" s="321"/>
      <c r="DS123" s="321"/>
    </row>
    <row r="124" spans="1:342" ht="7.4" customHeight="1" x14ac:dyDescent="0.5">
      <c r="A124" s="42"/>
      <c r="B124" s="42"/>
      <c r="C124" s="311"/>
      <c r="D124" s="311"/>
      <c r="E124" s="41"/>
      <c r="F124" s="42"/>
      <c r="G124" s="319"/>
      <c r="H124" s="319"/>
      <c r="I124" s="319"/>
      <c r="J124" s="319"/>
      <c r="K124" s="319"/>
      <c r="L124" s="319"/>
      <c r="M124" s="319"/>
      <c r="N124" s="319"/>
      <c r="O124" s="319"/>
      <c r="P124" s="319"/>
      <c r="Q124" s="319"/>
      <c r="R124" s="320"/>
      <c r="S124" s="42"/>
      <c r="T124" s="405"/>
      <c r="U124" s="405"/>
      <c r="V124" s="405"/>
      <c r="W124" s="405"/>
      <c r="X124" s="405"/>
      <c r="Y124" s="405"/>
      <c r="Z124" s="405"/>
      <c r="AA124" s="405"/>
      <c r="AB124" s="405"/>
      <c r="AC124" s="405"/>
      <c r="AD124" s="130"/>
      <c r="AE124" s="130"/>
      <c r="AF124" s="507"/>
      <c r="AG124" s="507"/>
      <c r="AH124" s="507"/>
      <c r="AI124" s="507"/>
      <c r="AJ124" s="221"/>
      <c r="AK124" s="42"/>
      <c r="AL124" s="311"/>
      <c r="AM124" s="311"/>
      <c r="AN124" s="311"/>
      <c r="AO124" s="311"/>
      <c r="AP124" s="43"/>
      <c r="AQ124" s="111"/>
      <c r="AR124" s="309"/>
      <c r="AS124" s="309"/>
      <c r="AT124" s="309"/>
      <c r="AU124" s="309"/>
      <c r="AV124" s="309"/>
      <c r="AW124" s="309"/>
      <c r="AX124" s="309"/>
      <c r="AY124" s="309"/>
      <c r="AZ124" s="309"/>
      <c r="BA124" s="309"/>
      <c r="BB124" s="309"/>
      <c r="BC124" s="309"/>
      <c r="BD124" s="309"/>
      <c r="BE124" s="309"/>
      <c r="BF124" s="309"/>
      <c r="BG124" s="309"/>
      <c r="BH124" s="124"/>
      <c r="BI124" s="124"/>
      <c r="BK124" s="415"/>
      <c r="BL124" s="416"/>
      <c r="BM124" s="417"/>
      <c r="BN124" s="415"/>
      <c r="BO124" s="416"/>
      <c r="BP124" s="417"/>
      <c r="BQ124" s="415"/>
      <c r="BR124" s="416"/>
      <c r="BS124" s="417"/>
      <c r="BT124" s="415"/>
      <c r="BU124" s="416"/>
      <c r="BV124" s="417"/>
      <c r="BW124" s="415"/>
      <c r="BX124" s="416"/>
      <c r="BY124" s="417"/>
      <c r="BZ124" s="415"/>
      <c r="CA124" s="416"/>
      <c r="CB124" s="417"/>
      <c r="CC124" s="415"/>
      <c r="CD124" s="416"/>
      <c r="CE124" s="417"/>
      <c r="CF124" s="415"/>
      <c r="CG124" s="416"/>
      <c r="CH124" s="417"/>
      <c r="CI124" s="415"/>
      <c r="CJ124" s="416"/>
      <c r="CK124" s="417"/>
      <c r="CL124" s="415"/>
      <c r="CM124" s="416"/>
      <c r="CN124" s="417"/>
      <c r="CO124" s="415"/>
      <c r="CP124" s="416"/>
      <c r="CQ124" s="417"/>
      <c r="CR124" s="415"/>
      <c r="CS124" s="416"/>
      <c r="CT124" s="417"/>
      <c r="CU124" s="415"/>
      <c r="CV124" s="416"/>
      <c r="CW124" s="417"/>
      <c r="CX124" s="415"/>
      <c r="CY124" s="416"/>
      <c r="CZ124" s="417"/>
      <c r="DA124" s="415"/>
      <c r="DB124" s="416"/>
      <c r="DC124" s="417"/>
      <c r="DD124" s="415"/>
      <c r="DE124" s="416"/>
      <c r="DF124" s="417"/>
      <c r="DH124" s="311"/>
      <c r="DI124" s="311"/>
      <c r="DJ124" s="311"/>
      <c r="DK124" s="311"/>
      <c r="DL124" s="321"/>
      <c r="DM124" s="321"/>
      <c r="DN124" s="321"/>
      <c r="DO124" s="321"/>
      <c r="DP124" s="321"/>
      <c r="DQ124" s="321"/>
      <c r="DR124" s="321"/>
      <c r="DS124" s="321"/>
    </row>
    <row r="125" spans="1:342" ht="7.4" customHeight="1" x14ac:dyDescent="0.5">
      <c r="A125" s="42"/>
      <c r="B125" s="42"/>
      <c r="C125" s="333"/>
      <c r="D125" s="333"/>
      <c r="E125" s="41"/>
      <c r="F125" s="42"/>
      <c r="G125" s="56"/>
      <c r="H125" s="56"/>
      <c r="I125" s="56"/>
      <c r="J125" s="56"/>
      <c r="K125" s="56"/>
      <c r="L125" s="56"/>
      <c r="M125" s="56"/>
      <c r="N125" s="56"/>
      <c r="O125" s="56"/>
      <c r="P125" s="56"/>
      <c r="Q125" s="56"/>
      <c r="R125" s="126"/>
      <c r="S125" s="42"/>
      <c r="T125" s="116" t="str">
        <f>VLOOKUP(G123,PL!$B$9:$BH$1265,33,FALSE)</f>
        <v xml:space="preserve"> Aluminium, 40x30</v>
      </c>
      <c r="AJ125" s="41"/>
      <c r="AK125" s="42"/>
      <c r="AL125" s="311"/>
      <c r="AM125" s="311"/>
      <c r="AN125" s="311"/>
      <c r="AO125" s="311"/>
      <c r="AP125" s="43"/>
      <c r="AQ125" s="42"/>
      <c r="AR125" s="119"/>
      <c r="AS125" s="119"/>
      <c r="AT125" s="119"/>
      <c r="AU125" s="119"/>
      <c r="AV125" s="119"/>
      <c r="AW125" s="119"/>
      <c r="AX125" s="105"/>
      <c r="AZ125" s="119"/>
      <c r="BA125" s="119"/>
      <c r="BB125" s="119"/>
      <c r="BC125" s="119"/>
      <c r="BD125" s="119"/>
      <c r="BE125" s="119"/>
      <c r="BF125" s="119"/>
      <c r="BG125" s="119"/>
      <c r="BH125" s="124"/>
      <c r="BI125" s="124"/>
      <c r="BK125" s="194"/>
      <c r="BL125" s="123"/>
      <c r="BM125" s="195"/>
      <c r="BN125" s="196"/>
      <c r="BO125" s="153"/>
      <c r="BP125" s="197"/>
      <c r="BQ125" s="196"/>
      <c r="BR125" s="153"/>
      <c r="BS125" s="197"/>
      <c r="BT125" s="196"/>
      <c r="BU125" s="153"/>
      <c r="BV125" s="197"/>
      <c r="BW125" s="196"/>
      <c r="BX125" s="153"/>
      <c r="BY125" s="197"/>
      <c r="BZ125" s="196"/>
      <c r="CA125" s="153"/>
      <c r="CB125" s="197"/>
      <c r="CC125" s="196"/>
      <c r="CD125" s="153"/>
      <c r="CE125" s="197"/>
      <c r="CF125" s="196"/>
      <c r="CG125" s="153"/>
      <c r="CH125" s="197"/>
      <c r="CI125" s="196"/>
      <c r="CJ125" s="153"/>
      <c r="CK125" s="197"/>
      <c r="CL125" s="196"/>
      <c r="CM125" s="153"/>
      <c r="CN125" s="197"/>
      <c r="CO125" s="196"/>
      <c r="CP125" s="153"/>
      <c r="CQ125" s="197"/>
      <c r="CR125" s="196"/>
      <c r="CS125" s="153"/>
      <c r="CT125" s="197"/>
      <c r="CU125" s="196"/>
      <c r="CV125" s="153"/>
      <c r="CW125" s="197"/>
      <c r="CX125" s="196"/>
      <c r="CY125" s="153"/>
      <c r="CZ125" s="197"/>
      <c r="DA125" s="196"/>
      <c r="DB125" s="153"/>
      <c r="DC125" s="197"/>
      <c r="DD125" s="196"/>
      <c r="DE125" s="153"/>
      <c r="DF125" s="197"/>
      <c r="DH125" s="311"/>
      <c r="DI125" s="311"/>
      <c r="DJ125" s="311"/>
      <c r="DK125" s="311"/>
      <c r="DL125" s="321"/>
      <c r="DM125" s="321"/>
      <c r="DN125" s="321"/>
      <c r="DO125" s="321"/>
      <c r="DP125" s="321"/>
      <c r="DQ125" s="321"/>
      <c r="DR125" s="321"/>
      <c r="DS125" s="321"/>
    </row>
    <row r="126" spans="1:342" ht="7.4" customHeight="1" x14ac:dyDescent="0.5">
      <c r="A126" s="42"/>
      <c r="B126" s="42"/>
      <c r="C126" s="55"/>
      <c r="D126" s="55"/>
      <c r="E126" s="41"/>
      <c r="F126" s="42"/>
      <c r="G126" s="56"/>
      <c r="H126" s="56"/>
      <c r="I126" s="56"/>
      <c r="J126" s="56"/>
      <c r="K126" s="56"/>
      <c r="L126" s="56"/>
      <c r="M126" s="56"/>
      <c r="N126" s="56"/>
      <c r="O126" s="56"/>
      <c r="P126" s="56"/>
      <c r="Q126" s="56"/>
      <c r="R126" s="126"/>
      <c r="S126" s="42"/>
      <c r="AJ126" s="41"/>
      <c r="AK126" s="42"/>
      <c r="AL126" s="311"/>
      <c r="AM126" s="311"/>
      <c r="AN126" s="311"/>
      <c r="AO126" s="311"/>
      <c r="AP126" s="43"/>
      <c r="AQ126" s="42"/>
      <c r="AR126" s="119"/>
      <c r="AS126" s="119"/>
      <c r="AT126" s="119"/>
      <c r="AU126" s="119"/>
      <c r="AV126" s="119"/>
      <c r="AW126" s="119"/>
      <c r="AX126" s="105"/>
      <c r="AZ126" s="119"/>
      <c r="BA126" s="119"/>
      <c r="BB126" s="119"/>
      <c r="BC126" s="119"/>
      <c r="BD126" s="119"/>
      <c r="BE126" s="119"/>
      <c r="BF126" s="119"/>
      <c r="BG126" s="119"/>
      <c r="BH126" s="124"/>
      <c r="BI126" s="41"/>
      <c r="BK126" s="194"/>
      <c r="BL126" s="123"/>
      <c r="BM126" s="195"/>
      <c r="BN126" s="196"/>
      <c r="BO126" s="153"/>
      <c r="BP126" s="197"/>
      <c r="BQ126" s="196"/>
      <c r="BR126" s="153"/>
      <c r="BS126" s="197"/>
      <c r="BT126" s="196"/>
      <c r="BU126" s="153"/>
      <c r="BV126" s="197"/>
      <c r="BW126" s="196"/>
      <c r="BX126" s="153"/>
      <c r="BY126" s="197"/>
      <c r="BZ126" s="196"/>
      <c r="CA126" s="153"/>
      <c r="CB126" s="197"/>
      <c r="CC126" s="196"/>
      <c r="CD126" s="153"/>
      <c r="CE126" s="197"/>
      <c r="CF126" s="196"/>
      <c r="CG126" s="153"/>
      <c r="CH126" s="197"/>
      <c r="CI126" s="196"/>
      <c r="CJ126" s="153"/>
      <c r="CK126" s="197"/>
      <c r="CL126" s="196"/>
      <c r="CM126" s="153"/>
      <c r="CN126" s="197"/>
      <c r="CO126" s="196"/>
      <c r="CP126" s="153"/>
      <c r="CQ126" s="197"/>
      <c r="CR126" s="196"/>
      <c r="CS126" s="153"/>
      <c r="CT126" s="197"/>
      <c r="CU126" s="196"/>
      <c r="CV126" s="153"/>
      <c r="CW126" s="197"/>
      <c r="CX126" s="196"/>
      <c r="CY126" s="153"/>
      <c r="CZ126" s="197"/>
      <c r="DA126" s="196"/>
      <c r="DB126" s="153"/>
      <c r="DC126" s="197"/>
      <c r="DD126" s="196"/>
      <c r="DE126" s="153"/>
      <c r="DF126" s="197"/>
      <c r="DL126" s="105"/>
      <c r="DM126" s="105"/>
      <c r="DN126" s="105"/>
      <c r="DO126" s="105"/>
      <c r="DP126" s="105"/>
      <c r="DQ126" s="105"/>
      <c r="DR126" s="105"/>
      <c r="DS126" s="105"/>
    </row>
    <row r="127" spans="1:342" ht="7.4" customHeight="1" x14ac:dyDescent="0.5">
      <c r="A127" s="42"/>
      <c r="B127" s="42"/>
      <c r="C127" s="311">
        <f>C123+1</f>
        <v>3</v>
      </c>
      <c r="D127" s="311"/>
      <c r="E127" s="41"/>
      <c r="F127" s="42"/>
      <c r="G127" s="319" t="str">
        <f>IF(AL127=0,"N/A","AXE_EX_40_30_AL")</f>
        <v>AXE_EX_40_30_AL</v>
      </c>
      <c r="H127" s="319"/>
      <c r="I127" s="319"/>
      <c r="J127" s="319"/>
      <c r="K127" s="319"/>
      <c r="L127" s="319"/>
      <c r="M127" s="319"/>
      <c r="N127" s="319"/>
      <c r="O127" s="319"/>
      <c r="P127" s="319"/>
      <c r="Q127" s="319"/>
      <c r="R127" s="320"/>
      <c r="S127" s="42"/>
      <c r="T127" s="405" t="str">
        <f>VLOOKUP(G127,PL!$B$9:$BH$1265,14,FALSE)</f>
        <v xml:space="preserve">Extension </v>
      </c>
      <c r="U127" s="405"/>
      <c r="V127" s="405"/>
      <c r="W127" s="405"/>
      <c r="X127" s="405"/>
      <c r="Y127" s="405"/>
      <c r="Z127" s="405"/>
      <c r="AA127" s="405"/>
      <c r="AB127" s="405"/>
      <c r="AC127" s="405"/>
      <c r="AD127" s="405"/>
      <c r="AE127" s="405"/>
      <c r="AF127" s="405"/>
      <c r="AG127" s="405"/>
      <c r="AH127" s="405"/>
      <c r="AI127" s="405"/>
      <c r="AJ127" s="411"/>
      <c r="AK127" s="42"/>
      <c r="AL127" s="311">
        <f>ROUND(SUM(BK127:DF127)*(1+$BF$80),0)</f>
        <v>83</v>
      </c>
      <c r="AM127" s="311"/>
      <c r="AN127" s="311"/>
      <c r="AO127" s="311"/>
      <c r="AP127" s="43"/>
      <c r="AQ127" s="111"/>
      <c r="AR127" s="308" t="str">
        <f>VLOOKUP(G127,PL!$B$9:$BH$818,52,FALSE)</f>
        <v>SOL-5805</v>
      </c>
      <c r="AS127" s="309"/>
      <c r="AT127" s="309"/>
      <c r="AU127" s="309"/>
      <c r="AV127" s="309"/>
      <c r="AW127" s="309"/>
      <c r="AX127" s="309"/>
      <c r="AY127" s="309"/>
      <c r="AZ127" s="309"/>
      <c r="BA127" s="309"/>
      <c r="BB127" s="309"/>
      <c r="BC127" s="309"/>
      <c r="BD127" s="309"/>
      <c r="BE127" s="309"/>
      <c r="BF127" s="309"/>
      <c r="BG127" s="309"/>
      <c r="BH127" s="124"/>
      <c r="BI127" s="41"/>
      <c r="BK127" s="412">
        <f>IF($N$74="Combination",IF(M54&gt;0,ROUND(HLOOKUP(BK81,$DY$110:$ME$112,2),0)+ROUND(HLOOKUP(BK81,$DY$110:$ME$112,3),0)-IF(M54&gt;0,1,0),0),(ROUNDUP(($AE$45*M58+20*(M58-1)+$N$78*2)/$N$74,0)-1))*2*M54</f>
        <v>80</v>
      </c>
      <c r="BL127" s="413"/>
      <c r="BM127" s="414"/>
      <c r="BN127" s="412">
        <f t="shared" ref="BN127" si="8">IF($N$74="Combination",IF(P54&gt;0,ROUND(HLOOKUP(BN81,$DY$110:$ME$112,2),0)+ROUND(HLOOKUP(BN81,$DY$110:$ME$112,3),0)-IF(P54&gt;0,1,0),0),(ROUNDUP(($AE$45*P58+20*(P58-1)+$N$78*2)/$N$74,0)-1))*2*P54</f>
        <v>0</v>
      </c>
      <c r="BO127" s="413"/>
      <c r="BP127" s="414"/>
      <c r="BQ127" s="412">
        <f t="shared" ref="BQ127" si="9">IF($N$74="Combination",IF(S54&gt;0,ROUND(HLOOKUP(BQ81,$DY$110:$ME$112,2),0)+ROUND(HLOOKUP(BQ81,$DY$110:$ME$112,3),0)-IF(S54&gt;0,1,0),0),(ROUNDUP(($AE$45*S58+20*(S58-1)+$N$78*2)/$N$74,0)-1))*2*S54</f>
        <v>0</v>
      </c>
      <c r="BR127" s="413"/>
      <c r="BS127" s="414"/>
      <c r="BT127" s="412">
        <f t="shared" ref="BT127" si="10">IF($N$74="Combination",IF(V54&gt;0,ROUND(HLOOKUP(BT81,$DY$110:$ME$112,2),0)+ROUND(HLOOKUP(BT81,$DY$110:$ME$112,3),0)-IF(V54&gt;0,1,0),0),(ROUNDUP(($AE$45*V58+20*(V58-1)+$N$78*2)/$N$74,0)-1))*2*V54</f>
        <v>0</v>
      </c>
      <c r="BU127" s="413"/>
      <c r="BV127" s="414"/>
      <c r="BW127" s="412">
        <f t="shared" ref="BW127" si="11">IF($N$74="Combination",IF(Y54&gt;0,ROUND(HLOOKUP(BW81,$DY$110:$ME$112,2),0)+ROUND(HLOOKUP(BW81,$DY$110:$ME$112,3),0)-IF(Y54&gt;0,1,0),0),(ROUNDUP(($AE$45*Y58+20*(Y58-1)+$N$78*2)/$N$74,0)-1))*2*Y54</f>
        <v>0</v>
      </c>
      <c r="BX127" s="413"/>
      <c r="BY127" s="414"/>
      <c r="BZ127" s="412">
        <f t="shared" ref="BZ127" si="12">IF($N$74="Combination",IF(AB54&gt;0,ROUND(HLOOKUP(BZ81,$DY$110:$ME$112,2),0)+ROUND(HLOOKUP(BZ81,$DY$110:$ME$112,3),0)-IF(AB54&gt;0,1,0),0),(ROUNDUP(($AE$45*AB58+20*(AB58-1)+$N$78*2)/$N$74,0)-1))*2*AB54</f>
        <v>0</v>
      </c>
      <c r="CA127" s="413"/>
      <c r="CB127" s="414"/>
      <c r="CC127" s="412">
        <f t="shared" ref="CC127" si="13">IF($N$74="Combination",IF(AE54&gt;0,ROUND(HLOOKUP(CC81,$DY$110:$ME$112,2),0)+ROUND(HLOOKUP(CC81,$DY$110:$ME$112,3),0)-IF(AE54&gt;0,1,0),0),(ROUNDUP(($AE$45*AE58+20*(AE58-1)+$N$78*2)/$N$74,0)-1))*2*AE54</f>
        <v>0</v>
      </c>
      <c r="CD127" s="413"/>
      <c r="CE127" s="414"/>
      <c r="CF127" s="412">
        <f t="shared" ref="CF127" si="14">IF($N$74="Combination",IF(AH54&gt;0,ROUND(HLOOKUP(CF81,$DY$110:$ME$112,2),0)+ROUND(HLOOKUP(CF81,$DY$110:$ME$112,3),0)-IF(AH54&gt;0,1,0),0),(ROUNDUP(($AE$45*AH58+20*(AH58-1)+$N$78*2)/$N$74,0)-1))*2*AH54</f>
        <v>0</v>
      </c>
      <c r="CG127" s="413"/>
      <c r="CH127" s="414"/>
      <c r="CI127" s="412">
        <f t="shared" ref="CI127" si="15">IF($N$74="Combination",IF(AK54&gt;0,ROUND(HLOOKUP(CI81,$DY$110:$ME$112,2),0)+ROUND(HLOOKUP(CI81,$DY$110:$ME$112,3),0)-IF(AK54&gt;0,1,0),0),(ROUNDUP(($AE$45*AK58+20*(AK58-1)+$N$78*2)/$N$74,0)-1))*2*AK54</f>
        <v>0</v>
      </c>
      <c r="CJ127" s="413"/>
      <c r="CK127" s="414"/>
      <c r="CL127" s="412">
        <f t="shared" ref="CL127" si="16">IF($N$74="Combination",IF(AN54&gt;0,ROUND(HLOOKUP(CL81,$DY$110:$ME$112,2),0)+ROUND(HLOOKUP(CL81,$DY$110:$ME$112,3),0)-IF(AN54&gt;0,1,0),0),(ROUNDUP(($AE$45*AN58+20*(AN58-1)+$N$78*2)/$N$74,0)-1))*2*AN54</f>
        <v>0</v>
      </c>
      <c r="CM127" s="413"/>
      <c r="CN127" s="414"/>
      <c r="CO127" s="412">
        <f t="shared" ref="CO127" si="17">IF($N$74="Combination",IF(AQ54&gt;0,ROUND(HLOOKUP(CO81,$DY$110:$ME$112,2),0)+ROUND(HLOOKUP(CO81,$DY$110:$ME$112,3),0)-IF(AQ54&gt;0,1,0),0),(ROUNDUP(($AE$45*AQ58+20*(AQ58-1)+$N$78*2)/$N$74,0)-1))*2*AQ54</f>
        <v>0</v>
      </c>
      <c r="CP127" s="413"/>
      <c r="CQ127" s="414"/>
      <c r="CR127" s="412">
        <f t="shared" ref="CR127" si="18">IF($N$74="Combination",IF(AT54&gt;0,ROUND(HLOOKUP(CR81,$DY$110:$ME$112,2),0)+ROUND(HLOOKUP(CR81,$DY$110:$ME$112,3),0)-IF(AT54&gt;0,1,0),0),(ROUNDUP(($AE$45*AT58+20*(AT58-1)+$N$78*2)/$N$74,0)-1))*2*AT54</f>
        <v>0</v>
      </c>
      <c r="CS127" s="413"/>
      <c r="CT127" s="414"/>
      <c r="CU127" s="412">
        <f t="shared" ref="CU127" si="19">IF($N$74="Combination",IF(AW54&gt;0,ROUND(HLOOKUP(CU81,$DY$110:$ME$112,2),0)+ROUND(HLOOKUP(CU81,$DY$110:$ME$112,3),0)-IF(AW54&gt;0,1,0),0),(ROUNDUP(($AE$45*AW58+20*(AW58-1)+$N$78*2)/$N$74,0)-1))*2*AW54</f>
        <v>0</v>
      </c>
      <c r="CV127" s="413"/>
      <c r="CW127" s="414"/>
      <c r="CX127" s="412">
        <f t="shared" ref="CX127" si="20">IF($N$74="Combination",IF(AZ54&gt;0,ROUND(HLOOKUP(CX81,$DY$110:$ME$112,2),0)+ROUND(HLOOKUP(CX81,$DY$110:$ME$112,3),0)-IF(AZ54&gt;0,1,0),0),(ROUNDUP(($AE$45*AZ58+20*(AZ58-1)+$N$78*2)/$N$74,0)-1))*2*AZ54</f>
        <v>0</v>
      </c>
      <c r="CY127" s="413"/>
      <c r="CZ127" s="414"/>
      <c r="DA127" s="412">
        <f t="shared" ref="DA127" si="21">IF($N$74="Combination",IF(BC54&gt;0,ROUND(HLOOKUP(DA81,$DY$110:$ME$112,2),0)+ROUND(HLOOKUP(DA81,$DY$110:$ME$112,3),0)-IF(BC54&gt;0,1,0),0),(ROUNDUP(($AE$45*BC58+20*(BC58-1)+$N$78*2)/$N$74,0)-1))*2*BC54</f>
        <v>0</v>
      </c>
      <c r="DB127" s="413"/>
      <c r="DC127" s="414"/>
      <c r="DD127" s="412">
        <f t="shared" ref="DD127" si="22">IF($N$74="Combination",IF(BF54&gt;0,ROUND(HLOOKUP(DD81,$DY$110:$ME$112,2),0)+ROUND(HLOOKUP(DD81,$DY$110:$ME$112,3),0)-IF(BF54&gt;0,1,0),0),(ROUNDUP(($AE$45*BF58+20*(BF58-1)+$N$78*2)/$N$74,0)-1))*2*BF54</f>
        <v>0</v>
      </c>
      <c r="DE127" s="413"/>
      <c r="DF127" s="414"/>
      <c r="DH127" s="311"/>
      <c r="DI127" s="311"/>
      <c r="DJ127" s="311"/>
      <c r="DK127" s="311"/>
      <c r="DL127" s="321"/>
      <c r="DM127" s="321"/>
      <c r="DN127" s="321"/>
      <c r="DO127" s="321"/>
      <c r="DP127" s="321"/>
      <c r="DQ127" s="321"/>
      <c r="DR127" s="321"/>
      <c r="DS127" s="321"/>
      <c r="EA127" s="201"/>
      <c r="EB127" s="201"/>
      <c r="EC127" s="201"/>
      <c r="ED127" s="201"/>
      <c r="EE127" s="201"/>
      <c r="EF127" s="201"/>
      <c r="EG127" s="201"/>
      <c r="EH127" s="201"/>
      <c r="EI127" s="201"/>
      <c r="EJ127" s="201"/>
      <c r="EK127" s="201"/>
      <c r="EL127" s="201"/>
      <c r="EM127" s="201"/>
      <c r="EN127" s="201"/>
      <c r="EO127" s="201"/>
      <c r="EP127" s="201"/>
      <c r="EQ127" s="201"/>
      <c r="ER127" s="201"/>
      <c r="ES127" s="201"/>
      <c r="ET127" s="201"/>
      <c r="EU127" s="201"/>
      <c r="EV127" s="201"/>
      <c r="EW127" s="201"/>
      <c r="EX127" s="201"/>
      <c r="EY127" s="201"/>
      <c r="EZ127" s="201"/>
      <c r="FA127" s="201"/>
      <c r="FB127" s="201"/>
      <c r="FC127" s="201"/>
      <c r="FD127" s="201"/>
      <c r="FE127" s="201"/>
      <c r="FF127" s="201"/>
      <c r="FG127" s="201"/>
      <c r="FH127" s="201"/>
      <c r="FI127" s="201"/>
      <c r="FJ127" s="201"/>
      <c r="FK127" s="201"/>
      <c r="FL127" s="201"/>
      <c r="FM127" s="201"/>
      <c r="FN127" s="201"/>
      <c r="FO127" s="201"/>
      <c r="FP127" s="201"/>
      <c r="FQ127" s="201"/>
      <c r="FR127" s="201"/>
      <c r="FS127" s="201"/>
      <c r="FT127" s="201"/>
      <c r="FU127" s="201"/>
      <c r="FV127" s="201"/>
      <c r="FW127" s="201"/>
      <c r="FX127" s="201"/>
      <c r="FY127" s="201"/>
      <c r="FZ127" s="201"/>
      <c r="GA127" s="201"/>
      <c r="GB127" s="201"/>
      <c r="GC127" s="201"/>
      <c r="GD127" s="201"/>
      <c r="GE127" s="201"/>
      <c r="GF127" s="201"/>
      <c r="GG127" s="201"/>
      <c r="GH127" s="201"/>
      <c r="GI127" s="201"/>
      <c r="GJ127" s="201"/>
      <c r="GK127" s="201"/>
      <c r="GL127" s="201"/>
      <c r="GM127" s="201"/>
      <c r="GN127" s="201"/>
      <c r="GO127" s="201"/>
      <c r="GP127" s="201"/>
      <c r="GQ127" s="201"/>
      <c r="GR127" s="201"/>
      <c r="GS127" s="201"/>
      <c r="GT127" s="201"/>
      <c r="GU127" s="201"/>
      <c r="GV127" s="201"/>
      <c r="GW127" s="201"/>
      <c r="GX127" s="201"/>
      <c r="GY127" s="201"/>
      <c r="GZ127" s="201"/>
      <c r="HA127" s="201"/>
      <c r="HB127" s="201"/>
      <c r="HC127" s="201"/>
      <c r="HD127" s="201"/>
      <c r="HE127" s="201"/>
      <c r="HF127" s="201"/>
      <c r="HG127" s="201"/>
      <c r="HH127" s="201"/>
      <c r="HI127" s="201"/>
      <c r="HJ127" s="201"/>
      <c r="HK127" s="201"/>
      <c r="HL127" s="201"/>
      <c r="HM127" s="201"/>
      <c r="HN127" s="201"/>
      <c r="HO127" s="201"/>
      <c r="HP127" s="201"/>
      <c r="HQ127" s="201"/>
      <c r="HR127" s="201"/>
      <c r="HS127" s="201"/>
      <c r="HT127" s="201"/>
      <c r="HU127" s="201"/>
      <c r="HV127" s="201"/>
      <c r="HW127" s="201"/>
      <c r="HX127" s="201"/>
      <c r="HY127" s="201"/>
      <c r="HZ127" s="201"/>
      <c r="IA127" s="201"/>
      <c r="IB127" s="201"/>
      <c r="IC127" s="201"/>
      <c r="ID127" s="201"/>
      <c r="IE127" s="201"/>
      <c r="IF127" s="201"/>
      <c r="IG127" s="201"/>
      <c r="IH127" s="201"/>
      <c r="II127" s="201"/>
      <c r="IJ127" s="201"/>
      <c r="IK127" s="201"/>
      <c r="IL127" s="201"/>
      <c r="IM127" s="201"/>
      <c r="IN127" s="201"/>
      <c r="IO127" s="201"/>
      <c r="IP127" s="201"/>
      <c r="IQ127" s="201"/>
      <c r="IR127" s="201"/>
      <c r="IS127" s="201"/>
      <c r="IT127" s="201"/>
      <c r="IU127" s="201"/>
      <c r="IV127" s="201"/>
      <c r="IW127" s="201"/>
      <c r="IX127" s="201"/>
      <c r="IY127" s="201"/>
      <c r="IZ127" s="201"/>
      <c r="JA127" s="201"/>
      <c r="JB127" s="201"/>
      <c r="JC127" s="201"/>
      <c r="JD127" s="201"/>
      <c r="JE127" s="201"/>
      <c r="JF127" s="201"/>
      <c r="JG127" s="201"/>
      <c r="JH127" s="201"/>
      <c r="JI127" s="201"/>
      <c r="JJ127" s="201"/>
      <c r="JK127" s="201"/>
      <c r="JL127" s="201"/>
      <c r="JM127" s="201"/>
      <c r="JN127" s="201"/>
      <c r="JO127" s="201"/>
      <c r="JP127" s="201"/>
      <c r="JQ127" s="201"/>
      <c r="JR127" s="201"/>
      <c r="JS127" s="201"/>
      <c r="JT127" s="201"/>
      <c r="JU127" s="201"/>
      <c r="JV127" s="201"/>
      <c r="JW127" s="201"/>
      <c r="JX127" s="201"/>
      <c r="JY127" s="201"/>
      <c r="JZ127" s="201"/>
      <c r="KA127" s="201"/>
      <c r="KB127" s="201"/>
      <c r="KC127" s="201"/>
      <c r="KD127" s="201"/>
      <c r="KE127" s="201"/>
      <c r="KF127" s="201"/>
      <c r="KG127" s="201"/>
      <c r="KH127" s="201"/>
      <c r="KI127" s="201"/>
      <c r="KJ127" s="201"/>
      <c r="KK127" s="201"/>
      <c r="KL127" s="201"/>
      <c r="KM127" s="201"/>
      <c r="KN127" s="201"/>
      <c r="KO127" s="201"/>
      <c r="KP127" s="201"/>
      <c r="KQ127" s="201"/>
      <c r="KR127" s="201"/>
      <c r="KS127" s="201"/>
      <c r="KT127" s="201"/>
      <c r="KU127" s="201"/>
      <c r="KV127" s="201"/>
      <c r="KW127" s="201"/>
      <c r="KX127" s="201"/>
      <c r="KY127" s="201"/>
      <c r="KZ127" s="201"/>
      <c r="LA127" s="201"/>
      <c r="LB127" s="201"/>
      <c r="LC127" s="201"/>
      <c r="LD127" s="201"/>
      <c r="LE127" s="201"/>
      <c r="LF127" s="201"/>
      <c r="LG127" s="201"/>
      <c r="LH127" s="201"/>
      <c r="LI127" s="201"/>
      <c r="LJ127" s="201"/>
      <c r="LK127" s="201"/>
      <c r="LL127" s="201"/>
      <c r="LM127" s="201"/>
      <c r="LN127" s="201"/>
      <c r="LO127" s="201"/>
      <c r="LP127" s="201"/>
      <c r="LQ127" s="201"/>
      <c r="LR127" s="201"/>
      <c r="LS127" s="201"/>
      <c r="LT127" s="201"/>
      <c r="LU127" s="201"/>
      <c r="LV127" s="201"/>
      <c r="LW127" s="201"/>
      <c r="LX127" s="201"/>
      <c r="LY127" s="201"/>
      <c r="LZ127" s="201"/>
      <c r="MA127" s="201"/>
      <c r="MB127" s="201"/>
    </row>
    <row r="128" spans="1:342" ht="7.4" customHeight="1" x14ac:dyDescent="0.5">
      <c r="A128" s="42"/>
      <c r="B128" s="42"/>
      <c r="C128" s="311"/>
      <c r="D128" s="311"/>
      <c r="E128" s="41"/>
      <c r="F128" s="42"/>
      <c r="G128" s="319"/>
      <c r="H128" s="319"/>
      <c r="I128" s="319"/>
      <c r="J128" s="319"/>
      <c r="K128" s="319"/>
      <c r="L128" s="319"/>
      <c r="M128" s="319"/>
      <c r="N128" s="319"/>
      <c r="O128" s="319"/>
      <c r="P128" s="319"/>
      <c r="Q128" s="319"/>
      <c r="R128" s="320"/>
      <c r="S128" s="42"/>
      <c r="T128" s="405"/>
      <c r="U128" s="405"/>
      <c r="V128" s="405"/>
      <c r="W128" s="405"/>
      <c r="X128" s="405"/>
      <c r="Y128" s="405"/>
      <c r="Z128" s="405"/>
      <c r="AA128" s="405"/>
      <c r="AB128" s="405"/>
      <c r="AC128" s="405"/>
      <c r="AD128" s="405"/>
      <c r="AE128" s="405"/>
      <c r="AF128" s="405"/>
      <c r="AG128" s="405"/>
      <c r="AH128" s="405"/>
      <c r="AI128" s="405"/>
      <c r="AJ128" s="411"/>
      <c r="AK128" s="42"/>
      <c r="AL128" s="311"/>
      <c r="AM128" s="311"/>
      <c r="AN128" s="311"/>
      <c r="AO128" s="311"/>
      <c r="AP128" s="43"/>
      <c r="AQ128" s="111"/>
      <c r="AR128" s="309"/>
      <c r="AS128" s="309"/>
      <c r="AT128" s="309"/>
      <c r="AU128" s="309"/>
      <c r="AV128" s="309"/>
      <c r="AW128" s="309"/>
      <c r="AX128" s="309"/>
      <c r="AY128" s="309"/>
      <c r="AZ128" s="309"/>
      <c r="BA128" s="309"/>
      <c r="BB128" s="309"/>
      <c r="BC128" s="309"/>
      <c r="BD128" s="309"/>
      <c r="BE128" s="309"/>
      <c r="BF128" s="309"/>
      <c r="BG128" s="309"/>
      <c r="BH128" s="124"/>
      <c r="BI128" s="41"/>
      <c r="BK128" s="412"/>
      <c r="BL128" s="413"/>
      <c r="BM128" s="414"/>
      <c r="BN128" s="412"/>
      <c r="BO128" s="413"/>
      <c r="BP128" s="414"/>
      <c r="BQ128" s="412"/>
      <c r="BR128" s="413"/>
      <c r="BS128" s="414"/>
      <c r="BT128" s="412"/>
      <c r="BU128" s="413"/>
      <c r="BV128" s="414"/>
      <c r="BW128" s="412"/>
      <c r="BX128" s="413"/>
      <c r="BY128" s="414"/>
      <c r="BZ128" s="412"/>
      <c r="CA128" s="413"/>
      <c r="CB128" s="414"/>
      <c r="CC128" s="412"/>
      <c r="CD128" s="413"/>
      <c r="CE128" s="414"/>
      <c r="CF128" s="412"/>
      <c r="CG128" s="413"/>
      <c r="CH128" s="414"/>
      <c r="CI128" s="412"/>
      <c r="CJ128" s="413"/>
      <c r="CK128" s="414"/>
      <c r="CL128" s="412"/>
      <c r="CM128" s="413"/>
      <c r="CN128" s="414"/>
      <c r="CO128" s="412"/>
      <c r="CP128" s="413"/>
      <c r="CQ128" s="414"/>
      <c r="CR128" s="412"/>
      <c r="CS128" s="413"/>
      <c r="CT128" s="414"/>
      <c r="CU128" s="412"/>
      <c r="CV128" s="413"/>
      <c r="CW128" s="414"/>
      <c r="CX128" s="412"/>
      <c r="CY128" s="413"/>
      <c r="CZ128" s="414"/>
      <c r="DA128" s="412"/>
      <c r="DB128" s="413"/>
      <c r="DC128" s="414"/>
      <c r="DD128" s="412"/>
      <c r="DE128" s="413"/>
      <c r="DF128" s="414"/>
      <c r="DH128" s="311"/>
      <c r="DI128" s="311"/>
      <c r="DJ128" s="311"/>
      <c r="DK128" s="311"/>
      <c r="DL128" s="321"/>
      <c r="DM128" s="321"/>
      <c r="DN128" s="321"/>
      <c r="DO128" s="321"/>
      <c r="DP128" s="321"/>
      <c r="DQ128" s="321"/>
      <c r="DR128" s="321"/>
      <c r="DS128" s="321"/>
      <c r="EA128" s="201"/>
      <c r="EB128" s="201"/>
      <c r="EC128" s="201"/>
      <c r="ED128" s="201"/>
      <c r="EE128" s="201"/>
      <c r="EF128" s="201"/>
      <c r="EG128" s="201"/>
      <c r="EH128" s="201"/>
      <c r="EI128" s="201"/>
      <c r="EJ128" s="201"/>
      <c r="EK128" s="201"/>
      <c r="EL128" s="201"/>
      <c r="EM128" s="201"/>
      <c r="EN128" s="201"/>
      <c r="EO128" s="201"/>
      <c r="EP128" s="201"/>
      <c r="EQ128" s="201"/>
      <c r="ER128" s="201"/>
      <c r="ES128" s="201"/>
      <c r="ET128" s="201"/>
      <c r="EU128" s="201"/>
      <c r="EV128" s="201"/>
      <c r="EW128" s="201"/>
      <c r="EX128" s="201"/>
      <c r="EY128" s="201"/>
      <c r="EZ128" s="201"/>
      <c r="FA128" s="201"/>
      <c r="FB128" s="201"/>
      <c r="FC128" s="201"/>
      <c r="FD128" s="201"/>
      <c r="FE128" s="201"/>
      <c r="FF128" s="201"/>
      <c r="FG128" s="201"/>
      <c r="FH128" s="201"/>
      <c r="FI128" s="201"/>
      <c r="FJ128" s="201"/>
      <c r="FK128" s="201"/>
      <c r="FL128" s="201"/>
      <c r="FM128" s="201"/>
      <c r="FN128" s="201"/>
      <c r="FO128" s="201"/>
      <c r="FP128" s="201"/>
      <c r="FQ128" s="201"/>
      <c r="FR128" s="201"/>
      <c r="FS128" s="201"/>
      <c r="FT128" s="201"/>
      <c r="FU128" s="201"/>
      <c r="FV128" s="201"/>
      <c r="FW128" s="201"/>
      <c r="FX128" s="201"/>
      <c r="FY128" s="201"/>
      <c r="FZ128" s="201"/>
      <c r="GA128" s="201"/>
      <c r="GB128" s="201"/>
      <c r="GC128" s="201"/>
      <c r="GD128" s="201"/>
      <c r="GE128" s="201"/>
      <c r="GF128" s="201"/>
      <c r="GG128" s="201"/>
      <c r="GH128" s="201"/>
      <c r="GI128" s="201"/>
      <c r="GJ128" s="201"/>
      <c r="GK128" s="201"/>
      <c r="GL128" s="201"/>
      <c r="GM128" s="201"/>
      <c r="GN128" s="201"/>
      <c r="GO128" s="201"/>
      <c r="GP128" s="201"/>
      <c r="GQ128" s="201"/>
      <c r="GR128" s="201"/>
      <c r="GS128" s="201"/>
      <c r="GT128" s="201"/>
      <c r="GU128" s="201"/>
      <c r="GV128" s="201"/>
      <c r="GW128" s="201"/>
      <c r="GX128" s="201"/>
      <c r="GY128" s="201"/>
      <c r="GZ128" s="201"/>
      <c r="HA128" s="201"/>
      <c r="HB128" s="201"/>
      <c r="HC128" s="201"/>
      <c r="HD128" s="201"/>
      <c r="HE128" s="201"/>
      <c r="HF128" s="201"/>
      <c r="HG128" s="201"/>
      <c r="HH128" s="201"/>
      <c r="HI128" s="201"/>
      <c r="HJ128" s="201"/>
      <c r="HK128" s="201"/>
      <c r="HL128" s="201"/>
      <c r="HM128" s="201"/>
      <c r="HN128" s="201"/>
      <c r="HO128" s="201"/>
      <c r="HP128" s="201"/>
      <c r="HQ128" s="201"/>
      <c r="HR128" s="201"/>
      <c r="HS128" s="201"/>
      <c r="HT128" s="201"/>
      <c r="HU128" s="201"/>
      <c r="HV128" s="201"/>
      <c r="HW128" s="201"/>
      <c r="HX128" s="201"/>
      <c r="HY128" s="201"/>
      <c r="HZ128" s="201"/>
      <c r="IA128" s="201"/>
      <c r="IB128" s="201"/>
      <c r="IC128" s="201"/>
      <c r="ID128" s="201"/>
      <c r="IE128" s="201"/>
      <c r="IF128" s="201"/>
      <c r="IG128" s="201"/>
      <c r="IH128" s="201"/>
      <c r="II128" s="201"/>
      <c r="IJ128" s="201"/>
      <c r="IK128" s="201"/>
      <c r="IL128" s="201"/>
      <c r="IM128" s="201"/>
      <c r="IN128" s="201"/>
      <c r="IO128" s="201"/>
      <c r="IP128" s="201"/>
      <c r="IQ128" s="201"/>
      <c r="IR128" s="201"/>
      <c r="IS128" s="201"/>
      <c r="IT128" s="201"/>
      <c r="IU128" s="201"/>
      <c r="IV128" s="201"/>
      <c r="IW128" s="201"/>
      <c r="IX128" s="201"/>
      <c r="IY128" s="201"/>
      <c r="IZ128" s="201"/>
      <c r="JA128" s="201"/>
      <c r="JB128" s="201"/>
      <c r="JC128" s="201"/>
      <c r="JD128" s="201"/>
      <c r="JE128" s="201"/>
      <c r="JF128" s="201"/>
      <c r="JG128" s="201"/>
      <c r="JH128" s="201"/>
      <c r="JI128" s="201"/>
      <c r="JJ128" s="201"/>
      <c r="JK128" s="201"/>
      <c r="JL128" s="201"/>
      <c r="JM128" s="201"/>
      <c r="JN128" s="201"/>
      <c r="JO128" s="201"/>
      <c r="JP128" s="201"/>
      <c r="JQ128" s="201"/>
      <c r="JR128" s="201"/>
      <c r="JS128" s="201"/>
      <c r="JT128" s="201"/>
      <c r="JU128" s="201"/>
      <c r="JV128" s="201"/>
      <c r="JW128" s="201"/>
      <c r="JX128" s="201"/>
      <c r="JY128" s="201"/>
      <c r="JZ128" s="201"/>
      <c r="KA128" s="201"/>
      <c r="KB128" s="201"/>
      <c r="KC128" s="201"/>
      <c r="KD128" s="201"/>
      <c r="KE128" s="201"/>
      <c r="KF128" s="201"/>
      <c r="KG128" s="201"/>
      <c r="KH128" s="201"/>
      <c r="KI128" s="201"/>
      <c r="KJ128" s="201"/>
      <c r="KK128" s="201"/>
      <c r="KL128" s="201"/>
      <c r="KM128" s="201"/>
      <c r="KN128" s="201"/>
      <c r="KO128" s="201"/>
      <c r="KP128" s="201"/>
      <c r="KQ128" s="201"/>
      <c r="KR128" s="201"/>
      <c r="KS128" s="201"/>
      <c r="KT128" s="201"/>
      <c r="KU128" s="201"/>
      <c r="KV128" s="201"/>
      <c r="KW128" s="201"/>
      <c r="KX128" s="201"/>
      <c r="KY128" s="201"/>
      <c r="KZ128" s="201"/>
      <c r="LA128" s="201"/>
      <c r="LB128" s="201"/>
      <c r="LC128" s="201"/>
      <c r="LD128" s="201"/>
      <c r="LE128" s="201"/>
      <c r="LF128" s="201"/>
      <c r="LG128" s="201"/>
      <c r="LH128" s="201"/>
      <c r="LI128" s="201"/>
      <c r="LJ128" s="201"/>
      <c r="LK128" s="201"/>
      <c r="LL128" s="201"/>
      <c r="LM128" s="201"/>
      <c r="LN128" s="201"/>
      <c r="LO128" s="201"/>
      <c r="LP128" s="201"/>
      <c r="LQ128" s="201"/>
      <c r="LR128" s="201"/>
      <c r="LS128" s="201"/>
      <c r="LT128" s="201"/>
      <c r="LU128" s="201"/>
      <c r="LV128" s="201"/>
      <c r="LW128" s="201"/>
      <c r="LX128" s="201"/>
      <c r="LY128" s="201"/>
      <c r="LZ128" s="201"/>
      <c r="MA128" s="201"/>
      <c r="MB128" s="201"/>
    </row>
    <row r="129" spans="1:123" ht="7.4" customHeight="1" x14ac:dyDescent="0.5">
      <c r="A129" s="42"/>
      <c r="B129" s="42"/>
      <c r="C129" s="333"/>
      <c r="D129" s="333"/>
      <c r="E129" s="41"/>
      <c r="F129" s="42"/>
      <c r="G129" s="56"/>
      <c r="H129" s="56"/>
      <c r="I129" s="56"/>
      <c r="J129" s="56"/>
      <c r="K129" s="56"/>
      <c r="L129" s="56"/>
      <c r="M129" s="56"/>
      <c r="N129" s="56"/>
      <c r="O129" s="56"/>
      <c r="P129" s="56"/>
      <c r="Q129" s="56"/>
      <c r="R129" s="126"/>
      <c r="S129" s="42"/>
      <c r="T129" s="116" t="str">
        <f>VLOOKUP(G127,PL!$B$9:$BH$1265,33,FALSE)</f>
        <v>Aluminium, Rail Profile 40x30</v>
      </c>
      <c r="AJ129" s="41"/>
      <c r="AK129" s="42"/>
      <c r="AL129" s="311"/>
      <c r="AM129" s="311"/>
      <c r="AN129" s="311"/>
      <c r="AO129" s="311"/>
      <c r="AP129" s="43"/>
      <c r="AQ129" s="42"/>
      <c r="AR129" s="119"/>
      <c r="AS129" s="119"/>
      <c r="AT129" s="119"/>
      <c r="AU129" s="119"/>
      <c r="AV129" s="119"/>
      <c r="AW129" s="119"/>
      <c r="AX129" s="105"/>
      <c r="AZ129" s="119"/>
      <c r="BA129" s="119"/>
      <c r="BB129" s="119"/>
      <c r="BC129" s="119"/>
      <c r="BD129" s="119"/>
      <c r="BE129" s="119"/>
      <c r="BF129" s="119"/>
      <c r="BG129" s="119"/>
      <c r="BH129" s="124"/>
      <c r="BI129" s="41"/>
      <c r="BK129" s="194"/>
      <c r="BL129" s="123"/>
      <c r="BM129" s="195"/>
      <c r="BN129" s="196"/>
      <c r="BO129" s="153"/>
      <c r="BP129" s="197"/>
      <c r="BQ129" s="196"/>
      <c r="BR129" s="153"/>
      <c r="BS129" s="197"/>
      <c r="BT129" s="196"/>
      <c r="BU129" s="153"/>
      <c r="BV129" s="197"/>
      <c r="BW129" s="196"/>
      <c r="BX129" s="153"/>
      <c r="BY129" s="197"/>
      <c r="BZ129" s="196"/>
      <c r="CA129" s="153"/>
      <c r="CB129" s="197"/>
      <c r="CC129" s="196"/>
      <c r="CD129" s="153"/>
      <c r="CE129" s="197"/>
      <c r="CF129" s="196"/>
      <c r="CG129" s="153"/>
      <c r="CH129" s="197"/>
      <c r="CI129" s="196"/>
      <c r="CJ129" s="153"/>
      <c r="CK129" s="197"/>
      <c r="CL129" s="196"/>
      <c r="CM129" s="153"/>
      <c r="CN129" s="197"/>
      <c r="CO129" s="196"/>
      <c r="CP129" s="153"/>
      <c r="CQ129" s="197"/>
      <c r="CR129" s="196"/>
      <c r="CS129" s="153"/>
      <c r="CT129" s="197"/>
      <c r="CU129" s="196"/>
      <c r="CV129" s="153"/>
      <c r="CW129" s="197"/>
      <c r="CX129" s="196"/>
      <c r="CY129" s="153"/>
      <c r="CZ129" s="197"/>
      <c r="DA129" s="196"/>
      <c r="DB129" s="153"/>
      <c r="DC129" s="197"/>
      <c r="DD129" s="196"/>
      <c r="DE129" s="153"/>
      <c r="DF129" s="197"/>
      <c r="DH129" s="311"/>
      <c r="DI129" s="311"/>
      <c r="DJ129" s="311"/>
      <c r="DK129" s="311"/>
      <c r="DL129" s="321"/>
      <c r="DM129" s="321"/>
      <c r="DN129" s="321"/>
      <c r="DO129" s="321"/>
      <c r="DP129" s="321"/>
      <c r="DQ129" s="321"/>
      <c r="DR129" s="321"/>
      <c r="DS129" s="321"/>
    </row>
    <row r="130" spans="1:123" ht="7.4" customHeight="1" x14ac:dyDescent="0.5">
      <c r="A130" s="42"/>
      <c r="B130" s="42"/>
      <c r="C130" s="55"/>
      <c r="D130" s="55"/>
      <c r="E130" s="41"/>
      <c r="F130" s="42"/>
      <c r="G130" s="56"/>
      <c r="H130" s="56"/>
      <c r="I130" s="56"/>
      <c r="J130" s="56"/>
      <c r="K130" s="56"/>
      <c r="L130" s="56"/>
      <c r="M130" s="56"/>
      <c r="N130" s="56"/>
      <c r="O130" s="56"/>
      <c r="P130" s="56"/>
      <c r="Q130" s="56"/>
      <c r="R130" s="126"/>
      <c r="S130" s="42"/>
      <c r="AJ130" s="41"/>
      <c r="AK130" s="42"/>
      <c r="AL130" s="311"/>
      <c r="AM130" s="311"/>
      <c r="AN130" s="311"/>
      <c r="AO130" s="311"/>
      <c r="AP130" s="43"/>
      <c r="AQ130" s="42"/>
      <c r="AR130" s="119"/>
      <c r="AS130" s="119"/>
      <c r="AT130" s="119"/>
      <c r="AU130" s="119"/>
      <c r="AV130" s="119"/>
      <c r="AW130" s="119"/>
      <c r="AX130" s="105"/>
      <c r="AZ130" s="119"/>
      <c r="BA130" s="119"/>
      <c r="BB130" s="119"/>
      <c r="BC130" s="119"/>
      <c r="BD130" s="119"/>
      <c r="BE130" s="119"/>
      <c r="BF130" s="119"/>
      <c r="BG130" s="119"/>
      <c r="BH130" s="124"/>
      <c r="BI130" s="41"/>
      <c r="BK130" s="194"/>
      <c r="BL130" s="123"/>
      <c r="BM130" s="195"/>
      <c r="BN130" s="196"/>
      <c r="BO130" s="153"/>
      <c r="BP130" s="197"/>
      <c r="BQ130" s="196"/>
      <c r="BR130" s="153"/>
      <c r="BS130" s="197"/>
      <c r="BT130" s="196"/>
      <c r="BU130" s="153"/>
      <c r="BV130" s="197"/>
      <c r="BW130" s="196"/>
      <c r="BX130" s="153"/>
      <c r="BY130" s="197"/>
      <c r="BZ130" s="196"/>
      <c r="CA130" s="153"/>
      <c r="CB130" s="197"/>
      <c r="CC130" s="196"/>
      <c r="CD130" s="153"/>
      <c r="CE130" s="197"/>
      <c r="CF130" s="196"/>
      <c r="CG130" s="153"/>
      <c r="CH130" s="197"/>
      <c r="CI130" s="196"/>
      <c r="CJ130" s="153"/>
      <c r="CK130" s="197"/>
      <c r="CL130" s="196"/>
      <c r="CM130" s="153"/>
      <c r="CN130" s="197"/>
      <c r="CO130" s="196"/>
      <c r="CP130" s="153"/>
      <c r="CQ130" s="197"/>
      <c r="CR130" s="196"/>
      <c r="CS130" s="153"/>
      <c r="CT130" s="197"/>
      <c r="CU130" s="196"/>
      <c r="CV130" s="153"/>
      <c r="CW130" s="197"/>
      <c r="CX130" s="196"/>
      <c r="CY130" s="153"/>
      <c r="CZ130" s="197"/>
      <c r="DA130" s="196"/>
      <c r="DB130" s="153"/>
      <c r="DC130" s="197"/>
      <c r="DD130" s="196"/>
      <c r="DE130" s="153"/>
      <c r="DF130" s="197"/>
      <c r="DL130" s="105"/>
      <c r="DM130" s="105"/>
      <c r="DN130" s="105"/>
      <c r="DO130" s="105"/>
      <c r="DP130" s="105"/>
      <c r="DQ130" s="105"/>
      <c r="DR130" s="105"/>
      <c r="DS130" s="105"/>
    </row>
    <row r="131" spans="1:123" ht="7.4" customHeight="1" x14ac:dyDescent="0.5">
      <c r="A131" s="42"/>
      <c r="B131" s="42"/>
      <c r="C131" s="311">
        <f>C127+1</f>
        <v>4</v>
      </c>
      <c r="D131" s="311"/>
      <c r="E131" s="41"/>
      <c r="F131" s="42"/>
      <c r="G131" s="319" t="str">
        <f>IF(AL131=0,"N/A","AXE_F_TL_RD_"&amp;$AO$31&amp;"_AL")</f>
        <v>AXE_F_TL_RD_10_AL</v>
      </c>
      <c r="H131" s="319"/>
      <c r="I131" s="319"/>
      <c r="J131" s="319"/>
      <c r="K131" s="319"/>
      <c r="L131" s="319"/>
      <c r="M131" s="319"/>
      <c r="N131" s="319"/>
      <c r="O131" s="319"/>
      <c r="P131" s="319"/>
      <c r="Q131" s="319"/>
      <c r="R131" s="320"/>
      <c r="S131" s="42"/>
      <c r="T131" s="405" t="str">
        <f>VLOOKUP(G131,PL!$B$9:$BH$1265,14,FALSE)</f>
        <v>Tilted Frame</v>
      </c>
      <c r="U131" s="405"/>
      <c r="V131" s="405"/>
      <c r="W131" s="405"/>
      <c r="X131" s="405"/>
      <c r="Y131" s="405"/>
      <c r="Z131" s="405"/>
      <c r="AA131" s="405"/>
      <c r="AB131" s="405"/>
      <c r="AC131" s="405"/>
      <c r="AD131" s="405"/>
      <c r="AE131" s="405"/>
      <c r="AF131" s="405"/>
      <c r="AG131" s="405"/>
      <c r="AH131" s="405"/>
      <c r="AI131" s="405"/>
      <c r="AJ131" s="411"/>
      <c r="AK131" s="42"/>
      <c r="AL131" s="311">
        <f>SUM(BK131:DF132)</f>
        <v>200</v>
      </c>
      <c r="AM131" s="311"/>
      <c r="AN131" s="311"/>
      <c r="AO131" s="311"/>
      <c r="AP131" s="43"/>
      <c r="AQ131" s="111"/>
      <c r="AR131" s="308">
        <f>VLOOKUP(G131,PL!$B$9:$BH$818,52,FALSE)</f>
        <v>0</v>
      </c>
      <c r="AS131" s="309"/>
      <c r="AT131" s="309"/>
      <c r="AU131" s="309"/>
      <c r="AV131" s="309"/>
      <c r="AW131" s="309"/>
      <c r="AX131" s="309"/>
      <c r="AY131" s="309"/>
      <c r="AZ131" s="309"/>
      <c r="BA131" s="309"/>
      <c r="BB131" s="309"/>
      <c r="BC131" s="309"/>
      <c r="BD131" s="309"/>
      <c r="BE131" s="309"/>
      <c r="BF131" s="309"/>
      <c r="BG131" s="309"/>
      <c r="BH131" s="124"/>
      <c r="BI131" s="41"/>
      <c r="BK131" s="412">
        <f>(ROUNDUP(($AE$45*M58+20*(M58-1)+$N$78*2-2*$N$82)/$AX$35,0)+1)*M54</f>
        <v>200</v>
      </c>
      <c r="BL131" s="413"/>
      <c r="BM131" s="414"/>
      <c r="BN131" s="412">
        <f t="shared" ref="BN131" si="23">(ROUNDUP(($AE$45*P58+20*(P58-1)+$N$78*2-2*$N$82)/$AX$35,0)+1)*P54</f>
        <v>0</v>
      </c>
      <c r="BO131" s="413"/>
      <c r="BP131" s="414"/>
      <c r="BQ131" s="412">
        <f t="shared" ref="BQ131" si="24">(ROUNDUP(($AE$45*S58+20*(S58-1)+$N$78*2-2*$N$82)/$AX$35,0)+1)*S54</f>
        <v>0</v>
      </c>
      <c r="BR131" s="413"/>
      <c r="BS131" s="414"/>
      <c r="BT131" s="412">
        <f t="shared" ref="BT131" si="25">(ROUNDUP(($AE$45*V58+20*(V58-1)+$N$78*2-2*$N$82)/$AX$35,0)+1)*V54</f>
        <v>0</v>
      </c>
      <c r="BU131" s="413"/>
      <c r="BV131" s="414"/>
      <c r="BW131" s="412">
        <f t="shared" ref="BW131" si="26">(ROUNDUP(($AE$45*Y58+20*(Y58-1)+$N$78*2-2*$N$82)/$AX$35,0)+1)*Y54</f>
        <v>0</v>
      </c>
      <c r="BX131" s="413"/>
      <c r="BY131" s="414"/>
      <c r="BZ131" s="412">
        <f t="shared" ref="BZ131" si="27">(ROUNDUP(($AE$45*AB58+20*(AB58-1)+$N$78*2-2*$N$82)/$AX$35,0)+1)*AB54</f>
        <v>0</v>
      </c>
      <c r="CA131" s="413"/>
      <c r="CB131" s="414"/>
      <c r="CC131" s="412">
        <f t="shared" ref="CC131" si="28">(ROUNDUP(($AE$45*AE58+20*(AE58-1)+$N$78*2-2*$N$82)/$AX$35,0)+1)*AE54</f>
        <v>0</v>
      </c>
      <c r="CD131" s="413"/>
      <c r="CE131" s="414"/>
      <c r="CF131" s="412">
        <f t="shared" ref="CF131" si="29">(ROUNDUP(($AE$45*AH58+20*(AH58-1)+$N$78*2-2*$N$82)/$AX$35,0)+1)*AH54</f>
        <v>0</v>
      </c>
      <c r="CG131" s="413"/>
      <c r="CH131" s="414"/>
      <c r="CI131" s="412">
        <f t="shared" ref="CI131" si="30">(ROUNDUP(($AE$45*AK58+20*(AK58-1)+$N$78*2-2*$N$82)/$AX$35,0)+1)*AK54</f>
        <v>0</v>
      </c>
      <c r="CJ131" s="413"/>
      <c r="CK131" s="414"/>
      <c r="CL131" s="412">
        <f t="shared" ref="CL131" si="31">(ROUNDUP(($AE$45*AN58+20*(AN58-1)+$N$78*2-2*$N$82)/$AX$35,0)+1)*AN54</f>
        <v>0</v>
      </c>
      <c r="CM131" s="413"/>
      <c r="CN131" s="414"/>
      <c r="CO131" s="412">
        <f t="shared" ref="CO131" si="32">(ROUNDUP(($AE$45*AQ58+20*(AQ58-1)+$N$78*2-2*$N$82)/$AX$35,0)+1)*AQ54</f>
        <v>0</v>
      </c>
      <c r="CP131" s="413"/>
      <c r="CQ131" s="414"/>
      <c r="CR131" s="412">
        <f t="shared" ref="CR131" si="33">(ROUNDUP(($AE$45*AT58+20*(AT58-1)+$N$78*2-2*$N$82)/$AX$35,0)+1)*AT54</f>
        <v>0</v>
      </c>
      <c r="CS131" s="413"/>
      <c r="CT131" s="414"/>
      <c r="CU131" s="412">
        <f t="shared" ref="CU131" si="34">(ROUNDUP(($AE$45*AW58+20*(AW58-1)+$N$78*2-2*$N$82)/$AX$35,0)+1)*AW54</f>
        <v>0</v>
      </c>
      <c r="CV131" s="413"/>
      <c r="CW131" s="414"/>
      <c r="CX131" s="412">
        <f t="shared" ref="CX131" si="35">(ROUNDUP(($AE$45*AZ58+20*(AZ58-1)+$N$78*2-2*$N$82)/$AX$35,0)+1)*AZ54</f>
        <v>0</v>
      </c>
      <c r="CY131" s="413"/>
      <c r="CZ131" s="414"/>
      <c r="DA131" s="412">
        <f t="shared" ref="DA131" si="36">(ROUNDUP(($AE$45*BC58+20*(BC58-1)+$N$78*2-2*$N$82)/$AX$35,0)+1)*BC54</f>
        <v>0</v>
      </c>
      <c r="DB131" s="413"/>
      <c r="DC131" s="414"/>
      <c r="DD131" s="412">
        <f t="shared" ref="DD131" si="37">(ROUNDUP(($AE$45*BF58+20*(BF58-1)+$N$78*2-2*$N$82)/$AX$35,0)+1)*BF54</f>
        <v>0</v>
      </c>
      <c r="DE131" s="413"/>
      <c r="DF131" s="414"/>
      <c r="DH131" s="311"/>
      <c r="DI131" s="311"/>
      <c r="DJ131" s="311"/>
      <c r="DK131" s="311"/>
      <c r="DL131" s="321"/>
      <c r="DM131" s="321"/>
      <c r="DN131" s="321"/>
      <c r="DO131" s="321"/>
      <c r="DP131" s="321"/>
      <c r="DQ131" s="321"/>
      <c r="DR131" s="321"/>
      <c r="DS131" s="321"/>
    </row>
    <row r="132" spans="1:123" ht="7.4" customHeight="1" x14ac:dyDescent="0.5">
      <c r="A132" s="42"/>
      <c r="B132" s="42"/>
      <c r="C132" s="311"/>
      <c r="D132" s="311"/>
      <c r="E132" s="41"/>
      <c r="F132" s="42"/>
      <c r="G132" s="319"/>
      <c r="H132" s="319"/>
      <c r="I132" s="319"/>
      <c r="J132" s="319"/>
      <c r="K132" s="319"/>
      <c r="L132" s="319"/>
      <c r="M132" s="319"/>
      <c r="N132" s="319"/>
      <c r="O132" s="319"/>
      <c r="P132" s="319"/>
      <c r="Q132" s="319"/>
      <c r="R132" s="320"/>
      <c r="S132" s="42"/>
      <c r="T132" s="405"/>
      <c r="U132" s="405"/>
      <c r="V132" s="405"/>
      <c r="W132" s="405"/>
      <c r="X132" s="405"/>
      <c r="Y132" s="405"/>
      <c r="Z132" s="405"/>
      <c r="AA132" s="405"/>
      <c r="AB132" s="405"/>
      <c r="AC132" s="405"/>
      <c r="AD132" s="405"/>
      <c r="AE132" s="405"/>
      <c r="AF132" s="405"/>
      <c r="AG132" s="405"/>
      <c r="AH132" s="405"/>
      <c r="AI132" s="405"/>
      <c r="AJ132" s="411"/>
      <c r="AK132" s="42"/>
      <c r="AL132" s="311"/>
      <c r="AM132" s="311"/>
      <c r="AN132" s="311"/>
      <c r="AO132" s="311"/>
      <c r="AP132" s="43"/>
      <c r="AQ132" s="111"/>
      <c r="AR132" s="309"/>
      <c r="AS132" s="309"/>
      <c r="AT132" s="309"/>
      <c r="AU132" s="309"/>
      <c r="AV132" s="309"/>
      <c r="AW132" s="309"/>
      <c r="AX132" s="309"/>
      <c r="AY132" s="309"/>
      <c r="AZ132" s="309"/>
      <c r="BA132" s="309"/>
      <c r="BB132" s="309"/>
      <c r="BC132" s="309"/>
      <c r="BD132" s="309"/>
      <c r="BE132" s="309"/>
      <c r="BF132" s="309"/>
      <c r="BG132" s="309"/>
      <c r="BH132" s="124"/>
      <c r="BI132" s="41"/>
      <c r="BK132" s="412"/>
      <c r="BL132" s="413"/>
      <c r="BM132" s="414"/>
      <c r="BN132" s="412"/>
      <c r="BO132" s="413"/>
      <c r="BP132" s="414"/>
      <c r="BQ132" s="412"/>
      <c r="BR132" s="413"/>
      <c r="BS132" s="414"/>
      <c r="BT132" s="412"/>
      <c r="BU132" s="413"/>
      <c r="BV132" s="414"/>
      <c r="BW132" s="412"/>
      <c r="BX132" s="413"/>
      <c r="BY132" s="414"/>
      <c r="BZ132" s="412"/>
      <c r="CA132" s="413"/>
      <c r="CB132" s="414"/>
      <c r="CC132" s="412"/>
      <c r="CD132" s="413"/>
      <c r="CE132" s="414"/>
      <c r="CF132" s="412"/>
      <c r="CG132" s="413"/>
      <c r="CH132" s="414"/>
      <c r="CI132" s="412"/>
      <c r="CJ132" s="413"/>
      <c r="CK132" s="414"/>
      <c r="CL132" s="412"/>
      <c r="CM132" s="413"/>
      <c r="CN132" s="414"/>
      <c r="CO132" s="412"/>
      <c r="CP132" s="413"/>
      <c r="CQ132" s="414"/>
      <c r="CR132" s="412"/>
      <c r="CS132" s="413"/>
      <c r="CT132" s="414"/>
      <c r="CU132" s="412"/>
      <c r="CV132" s="413"/>
      <c r="CW132" s="414"/>
      <c r="CX132" s="412"/>
      <c r="CY132" s="413"/>
      <c r="CZ132" s="414"/>
      <c r="DA132" s="412"/>
      <c r="DB132" s="413"/>
      <c r="DC132" s="414"/>
      <c r="DD132" s="412"/>
      <c r="DE132" s="413"/>
      <c r="DF132" s="414"/>
      <c r="DH132" s="311"/>
      <c r="DI132" s="311"/>
      <c r="DJ132" s="311"/>
      <c r="DK132" s="311"/>
      <c r="DL132" s="321"/>
      <c r="DM132" s="321"/>
      <c r="DN132" s="321"/>
      <c r="DO132" s="321"/>
      <c r="DP132" s="321"/>
      <c r="DQ132" s="321"/>
      <c r="DR132" s="321"/>
      <c r="DS132" s="321"/>
    </row>
    <row r="133" spans="1:123" ht="7.4" customHeight="1" x14ac:dyDescent="0.5">
      <c r="A133" s="42"/>
      <c r="B133" s="42"/>
      <c r="C133" s="333"/>
      <c r="D133" s="333"/>
      <c r="E133" s="41"/>
      <c r="F133" s="42"/>
      <c r="G133" s="56"/>
      <c r="H133" s="56"/>
      <c r="I133" s="56"/>
      <c r="J133" s="56"/>
      <c r="K133" s="56"/>
      <c r="L133" s="56"/>
      <c r="M133" s="56"/>
      <c r="N133" s="56"/>
      <c r="O133" s="56"/>
      <c r="P133" s="56"/>
      <c r="Q133" s="56"/>
      <c r="R133" s="126"/>
      <c r="S133" s="42"/>
      <c r="T133" s="116" t="str">
        <f>VLOOKUP(G131,PL!$B$9:$BH$1265,33,FALSE)</f>
        <v>Aluminium, Railed, 10deg</v>
      </c>
      <c r="AJ133" s="41"/>
      <c r="AK133" s="42"/>
      <c r="AL133" s="311"/>
      <c r="AM133" s="311"/>
      <c r="AN133" s="311"/>
      <c r="AO133" s="311"/>
      <c r="AP133" s="43"/>
      <c r="AQ133" s="42"/>
      <c r="AR133" s="119"/>
      <c r="AS133" s="119"/>
      <c r="AT133" s="119"/>
      <c r="AU133" s="119"/>
      <c r="AV133" s="119"/>
      <c r="AW133" s="119"/>
      <c r="AX133" s="105"/>
      <c r="AZ133" s="119"/>
      <c r="BA133" s="119"/>
      <c r="BB133" s="119"/>
      <c r="BC133" s="119"/>
      <c r="BD133" s="119"/>
      <c r="BE133" s="119"/>
      <c r="BF133" s="119"/>
      <c r="BG133" s="119"/>
      <c r="BH133" s="124"/>
      <c r="BI133" s="41"/>
      <c r="BK133" s="194"/>
      <c r="BL133" s="123"/>
      <c r="BM133" s="195"/>
      <c r="BN133" s="194"/>
      <c r="BO133" s="123"/>
      <c r="BP133" s="195"/>
      <c r="BQ133" s="194"/>
      <c r="BR133" s="123"/>
      <c r="BS133" s="195"/>
      <c r="BT133" s="194"/>
      <c r="BU133" s="123"/>
      <c r="BV133" s="195"/>
      <c r="BW133" s="194"/>
      <c r="BX133" s="123"/>
      <c r="BY133" s="195"/>
      <c r="BZ133" s="194"/>
      <c r="CA133" s="123"/>
      <c r="CB133" s="195"/>
      <c r="CC133" s="194"/>
      <c r="CD133" s="123"/>
      <c r="CE133" s="195"/>
      <c r="CF133" s="194"/>
      <c r="CG133" s="123"/>
      <c r="CH133" s="195"/>
      <c r="CI133" s="194"/>
      <c r="CJ133" s="123"/>
      <c r="CK133" s="195"/>
      <c r="CL133" s="194"/>
      <c r="CM133" s="123"/>
      <c r="CN133" s="195"/>
      <c r="CO133" s="194"/>
      <c r="CP133" s="123"/>
      <c r="CQ133" s="195"/>
      <c r="CR133" s="194"/>
      <c r="CS133" s="123"/>
      <c r="CT133" s="195"/>
      <c r="CU133" s="194"/>
      <c r="CV133" s="123"/>
      <c r="CW133" s="195"/>
      <c r="CX133" s="194"/>
      <c r="CY133" s="123"/>
      <c r="CZ133" s="195"/>
      <c r="DA133" s="194"/>
      <c r="DB133" s="123"/>
      <c r="DC133" s="195"/>
      <c r="DD133" s="194"/>
      <c r="DE133" s="123"/>
      <c r="DF133" s="195"/>
      <c r="DH133" s="311"/>
      <c r="DI133" s="311"/>
      <c r="DJ133" s="311"/>
      <c r="DK133" s="311"/>
      <c r="DL133" s="321"/>
      <c r="DM133" s="321"/>
      <c r="DN133" s="321"/>
      <c r="DO133" s="321"/>
      <c r="DP133" s="321"/>
      <c r="DQ133" s="321"/>
      <c r="DR133" s="321"/>
      <c r="DS133" s="321"/>
    </row>
    <row r="134" spans="1:123" ht="7.4" customHeight="1" x14ac:dyDescent="0.5">
      <c r="A134" s="42"/>
      <c r="B134" s="42"/>
      <c r="C134" s="55"/>
      <c r="D134" s="55"/>
      <c r="E134" s="41"/>
      <c r="F134" s="42"/>
      <c r="G134" s="56"/>
      <c r="H134" s="56"/>
      <c r="I134" s="56"/>
      <c r="J134" s="56"/>
      <c r="K134" s="56"/>
      <c r="L134" s="56"/>
      <c r="M134" s="56"/>
      <c r="N134" s="56"/>
      <c r="O134" s="56"/>
      <c r="P134" s="56"/>
      <c r="Q134" s="56"/>
      <c r="R134" s="126"/>
      <c r="S134" s="42"/>
      <c r="AJ134" s="41"/>
      <c r="AK134" s="42"/>
      <c r="AL134" s="311"/>
      <c r="AM134" s="311"/>
      <c r="AN134" s="311"/>
      <c r="AO134" s="311"/>
      <c r="AP134" s="43"/>
      <c r="AQ134" s="42"/>
      <c r="AR134" s="119"/>
      <c r="AS134" s="119"/>
      <c r="AT134" s="119"/>
      <c r="AU134" s="119"/>
      <c r="AV134" s="119"/>
      <c r="AW134" s="119"/>
      <c r="AX134" s="105"/>
      <c r="AZ134" s="119"/>
      <c r="BA134" s="119"/>
      <c r="BB134" s="119"/>
      <c r="BC134" s="119"/>
      <c r="BD134" s="119"/>
      <c r="BE134" s="119"/>
      <c r="BF134" s="119"/>
      <c r="BG134" s="119"/>
      <c r="BH134" s="124"/>
      <c r="BI134" s="41"/>
      <c r="BK134" s="194"/>
      <c r="BL134" s="123"/>
      <c r="BM134" s="195"/>
      <c r="BN134" s="194"/>
      <c r="BO134" s="123"/>
      <c r="BP134" s="195"/>
      <c r="BQ134" s="194"/>
      <c r="BR134" s="123"/>
      <c r="BS134" s="195"/>
      <c r="BT134" s="194"/>
      <c r="BU134" s="123"/>
      <c r="BV134" s="195"/>
      <c r="BW134" s="194"/>
      <c r="BX134" s="123"/>
      <c r="BY134" s="195"/>
      <c r="BZ134" s="194"/>
      <c r="CA134" s="123"/>
      <c r="CB134" s="195"/>
      <c r="CC134" s="194"/>
      <c r="CD134" s="123"/>
      <c r="CE134" s="195"/>
      <c r="CF134" s="194"/>
      <c r="CG134" s="123"/>
      <c r="CH134" s="195"/>
      <c r="CI134" s="194"/>
      <c r="CJ134" s="123"/>
      <c r="CK134" s="195"/>
      <c r="CL134" s="194"/>
      <c r="CM134" s="123"/>
      <c r="CN134" s="195"/>
      <c r="CO134" s="194"/>
      <c r="CP134" s="123"/>
      <c r="CQ134" s="195"/>
      <c r="CR134" s="194"/>
      <c r="CS134" s="123"/>
      <c r="CT134" s="195"/>
      <c r="CU134" s="194"/>
      <c r="CV134" s="123"/>
      <c r="CW134" s="195"/>
      <c r="CX134" s="194"/>
      <c r="CY134" s="123"/>
      <c r="CZ134" s="195"/>
      <c r="DA134" s="194"/>
      <c r="DB134" s="123"/>
      <c r="DC134" s="195"/>
      <c r="DD134" s="194"/>
      <c r="DE134" s="123"/>
      <c r="DF134" s="195"/>
      <c r="DL134" s="105"/>
      <c r="DM134" s="105"/>
      <c r="DN134" s="105"/>
      <c r="DO134" s="105"/>
      <c r="DP134" s="105"/>
      <c r="DQ134" s="105"/>
      <c r="DR134" s="105"/>
      <c r="DS134" s="105"/>
    </row>
    <row r="135" spans="1:123" ht="7.4" customHeight="1" x14ac:dyDescent="0.5">
      <c r="A135" s="42"/>
      <c r="B135" s="42"/>
      <c r="C135" s="311">
        <f>C131+1</f>
        <v>5</v>
      </c>
      <c r="D135" s="311"/>
      <c r="E135" s="41"/>
      <c r="F135" s="42"/>
      <c r="G135" s="319" t="str">
        <f>IF(AL135=0,"N/A","AXE_BR_SW_RD_AL")</f>
        <v>AXE_BR_SW_RD_AL</v>
      </c>
      <c r="H135" s="319"/>
      <c r="I135" s="319"/>
      <c r="J135" s="319"/>
      <c r="K135" s="319"/>
      <c r="L135" s="319"/>
      <c r="M135" s="319"/>
      <c r="N135" s="319"/>
      <c r="O135" s="319"/>
      <c r="P135" s="319"/>
      <c r="Q135" s="319"/>
      <c r="R135" s="320"/>
      <c r="S135" s="42"/>
      <c r="T135" s="405" t="str">
        <f>VLOOKUP(G135,PL!$B$9:$BH$1265,14,FALSE)</f>
        <v xml:space="preserve">Swivel Bracket </v>
      </c>
      <c r="U135" s="405"/>
      <c r="V135" s="405"/>
      <c r="W135" s="405"/>
      <c r="X135" s="405"/>
      <c r="Y135" s="405"/>
      <c r="Z135" s="405"/>
      <c r="AA135" s="405"/>
      <c r="AB135" s="405"/>
      <c r="AC135" s="405"/>
      <c r="AD135" s="405"/>
      <c r="AE135" s="405"/>
      <c r="AF135" s="405"/>
      <c r="AG135" s="405"/>
      <c r="AH135" s="405"/>
      <c r="AI135" s="405"/>
      <c r="AJ135" s="411"/>
      <c r="AK135" s="42"/>
      <c r="AL135" s="311">
        <f>ROUND(SUM(BK135:DF135)*(1+$BF$74),0)</f>
        <v>204</v>
      </c>
      <c r="AM135" s="311"/>
      <c r="AN135" s="311"/>
      <c r="AO135" s="311"/>
      <c r="AP135" s="43"/>
      <c r="AQ135" s="111"/>
      <c r="AR135" s="308">
        <f>VLOOKUP(G135,PL!$B$9:$BH$818,52,FALSE)</f>
        <v>0</v>
      </c>
      <c r="AS135" s="309"/>
      <c r="AT135" s="309"/>
      <c r="AU135" s="309"/>
      <c r="AV135" s="309"/>
      <c r="AW135" s="309"/>
      <c r="AX135" s="309"/>
      <c r="AY135" s="309"/>
      <c r="AZ135" s="309"/>
      <c r="BA135" s="309"/>
      <c r="BB135" s="309"/>
      <c r="BC135" s="309"/>
      <c r="BD135" s="309"/>
      <c r="BE135" s="309"/>
      <c r="BF135" s="309"/>
      <c r="BG135" s="309"/>
      <c r="BH135" s="124"/>
      <c r="BI135" s="41"/>
      <c r="BK135" s="412">
        <f>BK131</f>
        <v>200</v>
      </c>
      <c r="BL135" s="413"/>
      <c r="BM135" s="414"/>
      <c r="BN135" s="412">
        <f t="shared" ref="BN135" si="38">BN131</f>
        <v>0</v>
      </c>
      <c r="BO135" s="413"/>
      <c r="BP135" s="414"/>
      <c r="BQ135" s="412">
        <f t="shared" ref="BQ135" si="39">BQ131</f>
        <v>0</v>
      </c>
      <c r="BR135" s="413"/>
      <c r="BS135" s="414"/>
      <c r="BT135" s="412">
        <f t="shared" ref="BT135" si="40">BT131</f>
        <v>0</v>
      </c>
      <c r="BU135" s="413"/>
      <c r="BV135" s="414"/>
      <c r="BW135" s="412">
        <f t="shared" ref="BW135" si="41">BW131</f>
        <v>0</v>
      </c>
      <c r="BX135" s="413"/>
      <c r="BY135" s="414"/>
      <c r="BZ135" s="412">
        <f t="shared" ref="BZ135" si="42">BZ131</f>
        <v>0</v>
      </c>
      <c r="CA135" s="413"/>
      <c r="CB135" s="414"/>
      <c r="CC135" s="412">
        <f t="shared" ref="CC135" si="43">CC131</f>
        <v>0</v>
      </c>
      <c r="CD135" s="413"/>
      <c r="CE135" s="414"/>
      <c r="CF135" s="412">
        <f t="shared" ref="CF135" si="44">CF131</f>
        <v>0</v>
      </c>
      <c r="CG135" s="413"/>
      <c r="CH135" s="414"/>
      <c r="CI135" s="412">
        <f t="shared" ref="CI135" si="45">CI131</f>
        <v>0</v>
      </c>
      <c r="CJ135" s="413"/>
      <c r="CK135" s="414"/>
      <c r="CL135" s="412">
        <f t="shared" ref="CL135" si="46">CL131</f>
        <v>0</v>
      </c>
      <c r="CM135" s="413"/>
      <c r="CN135" s="414"/>
      <c r="CO135" s="412">
        <f t="shared" ref="CO135" si="47">CO131</f>
        <v>0</v>
      </c>
      <c r="CP135" s="413"/>
      <c r="CQ135" s="414"/>
      <c r="CR135" s="412">
        <f t="shared" ref="CR135" si="48">CR131</f>
        <v>0</v>
      </c>
      <c r="CS135" s="413"/>
      <c r="CT135" s="414"/>
      <c r="CU135" s="412">
        <f t="shared" ref="CU135" si="49">CU131</f>
        <v>0</v>
      </c>
      <c r="CV135" s="413"/>
      <c r="CW135" s="414"/>
      <c r="CX135" s="412">
        <f t="shared" ref="CX135" si="50">CX131</f>
        <v>0</v>
      </c>
      <c r="CY135" s="413"/>
      <c r="CZ135" s="414"/>
      <c r="DA135" s="412">
        <f t="shared" ref="DA135" si="51">DA131</f>
        <v>0</v>
      </c>
      <c r="DB135" s="413"/>
      <c r="DC135" s="414"/>
      <c r="DD135" s="412">
        <f t="shared" ref="DD135" si="52">DD131</f>
        <v>0</v>
      </c>
      <c r="DE135" s="413"/>
      <c r="DF135" s="414"/>
      <c r="DH135" s="311"/>
      <c r="DI135" s="311"/>
      <c r="DJ135" s="311"/>
      <c r="DK135" s="311"/>
      <c r="DL135" s="321"/>
      <c r="DM135" s="321"/>
      <c r="DN135" s="321"/>
      <c r="DO135" s="321"/>
      <c r="DP135" s="321"/>
      <c r="DQ135" s="321"/>
      <c r="DR135" s="321"/>
      <c r="DS135" s="321"/>
    </row>
    <row r="136" spans="1:123" ht="7.4" customHeight="1" x14ac:dyDescent="0.5">
      <c r="A136" s="42"/>
      <c r="B136" s="42"/>
      <c r="C136" s="311"/>
      <c r="D136" s="311"/>
      <c r="E136" s="41"/>
      <c r="F136" s="42"/>
      <c r="G136" s="319"/>
      <c r="H136" s="319"/>
      <c r="I136" s="319"/>
      <c r="J136" s="319"/>
      <c r="K136" s="319"/>
      <c r="L136" s="319"/>
      <c r="M136" s="319"/>
      <c r="N136" s="319"/>
      <c r="O136" s="319"/>
      <c r="P136" s="319"/>
      <c r="Q136" s="319"/>
      <c r="R136" s="320"/>
      <c r="S136" s="42"/>
      <c r="T136" s="405"/>
      <c r="U136" s="405"/>
      <c r="V136" s="405"/>
      <c r="W136" s="405"/>
      <c r="X136" s="405"/>
      <c r="Y136" s="405"/>
      <c r="Z136" s="405"/>
      <c r="AA136" s="405"/>
      <c r="AB136" s="405"/>
      <c r="AC136" s="405"/>
      <c r="AD136" s="405"/>
      <c r="AE136" s="405"/>
      <c r="AF136" s="405"/>
      <c r="AG136" s="405"/>
      <c r="AH136" s="405"/>
      <c r="AI136" s="405"/>
      <c r="AJ136" s="411"/>
      <c r="AK136" s="42"/>
      <c r="AL136" s="311"/>
      <c r="AM136" s="311"/>
      <c r="AN136" s="311"/>
      <c r="AO136" s="311"/>
      <c r="AP136" s="43"/>
      <c r="AQ136" s="111"/>
      <c r="AR136" s="309"/>
      <c r="AS136" s="309"/>
      <c r="AT136" s="309"/>
      <c r="AU136" s="309"/>
      <c r="AV136" s="309"/>
      <c r="AW136" s="309"/>
      <c r="AX136" s="309"/>
      <c r="AY136" s="309"/>
      <c r="AZ136" s="309"/>
      <c r="BA136" s="309"/>
      <c r="BB136" s="309"/>
      <c r="BC136" s="309"/>
      <c r="BD136" s="309"/>
      <c r="BE136" s="309"/>
      <c r="BF136" s="309"/>
      <c r="BG136" s="309"/>
      <c r="BH136" s="124"/>
      <c r="BI136" s="41"/>
      <c r="BK136" s="412"/>
      <c r="BL136" s="413"/>
      <c r="BM136" s="414"/>
      <c r="BN136" s="412"/>
      <c r="BO136" s="413"/>
      <c r="BP136" s="414"/>
      <c r="BQ136" s="412"/>
      <c r="BR136" s="413"/>
      <c r="BS136" s="414"/>
      <c r="BT136" s="412"/>
      <c r="BU136" s="413"/>
      <c r="BV136" s="414"/>
      <c r="BW136" s="412"/>
      <c r="BX136" s="413"/>
      <c r="BY136" s="414"/>
      <c r="BZ136" s="412"/>
      <c r="CA136" s="413"/>
      <c r="CB136" s="414"/>
      <c r="CC136" s="412"/>
      <c r="CD136" s="413"/>
      <c r="CE136" s="414"/>
      <c r="CF136" s="412"/>
      <c r="CG136" s="413"/>
      <c r="CH136" s="414"/>
      <c r="CI136" s="412"/>
      <c r="CJ136" s="413"/>
      <c r="CK136" s="414"/>
      <c r="CL136" s="412"/>
      <c r="CM136" s="413"/>
      <c r="CN136" s="414"/>
      <c r="CO136" s="412"/>
      <c r="CP136" s="413"/>
      <c r="CQ136" s="414"/>
      <c r="CR136" s="412"/>
      <c r="CS136" s="413"/>
      <c r="CT136" s="414"/>
      <c r="CU136" s="412"/>
      <c r="CV136" s="413"/>
      <c r="CW136" s="414"/>
      <c r="CX136" s="412"/>
      <c r="CY136" s="413"/>
      <c r="CZ136" s="414"/>
      <c r="DA136" s="412"/>
      <c r="DB136" s="413"/>
      <c r="DC136" s="414"/>
      <c r="DD136" s="412"/>
      <c r="DE136" s="413"/>
      <c r="DF136" s="414"/>
      <c r="DH136" s="311"/>
      <c r="DI136" s="311"/>
      <c r="DJ136" s="311"/>
      <c r="DK136" s="311"/>
      <c r="DL136" s="321"/>
      <c r="DM136" s="321"/>
      <c r="DN136" s="321"/>
      <c r="DO136" s="321"/>
      <c r="DP136" s="321"/>
      <c r="DQ136" s="321"/>
      <c r="DR136" s="321"/>
      <c r="DS136" s="321"/>
    </row>
    <row r="137" spans="1:123" ht="7.4" customHeight="1" x14ac:dyDescent="0.5">
      <c r="A137" s="42"/>
      <c r="B137" s="42"/>
      <c r="C137" s="333"/>
      <c r="D137" s="333"/>
      <c r="E137" s="41"/>
      <c r="F137" s="42"/>
      <c r="G137" s="56"/>
      <c r="H137" s="56"/>
      <c r="I137" s="56"/>
      <c r="J137" s="56"/>
      <c r="K137" s="56"/>
      <c r="L137" s="56"/>
      <c r="M137" s="56"/>
      <c r="N137" s="56"/>
      <c r="O137" s="56"/>
      <c r="P137" s="56"/>
      <c r="Q137" s="56"/>
      <c r="R137" s="126"/>
      <c r="S137" s="42"/>
      <c r="T137" s="116" t="str">
        <f>VLOOKUP(G135,PL!$B$9:$BH$1265,33,FALSE)</f>
        <v>Aluminium, Railed</v>
      </c>
      <c r="AJ137" s="41"/>
      <c r="AK137" s="42"/>
      <c r="AL137" s="311"/>
      <c r="AM137" s="311"/>
      <c r="AN137" s="311"/>
      <c r="AO137" s="311"/>
      <c r="AP137" s="43"/>
      <c r="AQ137" s="42"/>
      <c r="AR137" s="119"/>
      <c r="AS137" s="119"/>
      <c r="AT137" s="119"/>
      <c r="AU137" s="119"/>
      <c r="AV137" s="119"/>
      <c r="AW137" s="119"/>
      <c r="AX137" s="105"/>
      <c r="AZ137" s="119"/>
      <c r="BA137" s="119"/>
      <c r="BB137" s="119"/>
      <c r="BC137" s="119"/>
      <c r="BD137" s="119"/>
      <c r="BE137" s="119"/>
      <c r="BF137" s="119"/>
      <c r="BG137" s="119"/>
      <c r="BH137" s="124"/>
      <c r="BI137" s="41"/>
      <c r="BK137" s="194"/>
      <c r="BL137" s="123"/>
      <c r="BM137" s="195"/>
      <c r="BN137" s="194"/>
      <c r="BO137" s="123"/>
      <c r="BP137" s="195"/>
      <c r="BQ137" s="194"/>
      <c r="BR137" s="123"/>
      <c r="BS137" s="195"/>
      <c r="BT137" s="194"/>
      <c r="BU137" s="123"/>
      <c r="BV137" s="195"/>
      <c r="BW137" s="194"/>
      <c r="BX137" s="123"/>
      <c r="BY137" s="195"/>
      <c r="BZ137" s="194"/>
      <c r="CA137" s="123"/>
      <c r="CB137" s="195"/>
      <c r="CC137" s="194"/>
      <c r="CD137" s="123"/>
      <c r="CE137" s="195"/>
      <c r="CF137" s="194"/>
      <c r="CG137" s="123"/>
      <c r="CH137" s="195"/>
      <c r="CI137" s="194"/>
      <c r="CJ137" s="123"/>
      <c r="CK137" s="195"/>
      <c r="CL137" s="194"/>
      <c r="CM137" s="123"/>
      <c r="CN137" s="195"/>
      <c r="CO137" s="194"/>
      <c r="CP137" s="123"/>
      <c r="CQ137" s="195"/>
      <c r="CR137" s="194"/>
      <c r="CS137" s="123"/>
      <c r="CT137" s="195"/>
      <c r="CU137" s="194"/>
      <c r="CV137" s="123"/>
      <c r="CW137" s="195"/>
      <c r="CX137" s="194"/>
      <c r="CY137" s="123"/>
      <c r="CZ137" s="195"/>
      <c r="DA137" s="194"/>
      <c r="DB137" s="123"/>
      <c r="DC137" s="195"/>
      <c r="DD137" s="194"/>
      <c r="DE137" s="123"/>
      <c r="DF137" s="195"/>
      <c r="DH137" s="311"/>
      <c r="DI137" s="311"/>
      <c r="DJ137" s="311"/>
      <c r="DK137" s="311"/>
      <c r="DL137" s="321"/>
      <c r="DM137" s="321"/>
      <c r="DN137" s="321"/>
      <c r="DO137" s="321"/>
      <c r="DP137" s="321"/>
      <c r="DQ137" s="321"/>
      <c r="DR137" s="321"/>
      <c r="DS137" s="321"/>
    </row>
    <row r="138" spans="1:123" ht="7.4" customHeight="1" x14ac:dyDescent="0.5">
      <c r="A138" s="42"/>
      <c r="B138" s="42"/>
      <c r="C138" s="55"/>
      <c r="D138" s="55"/>
      <c r="E138" s="41"/>
      <c r="F138" s="42"/>
      <c r="G138" s="56"/>
      <c r="H138" s="56"/>
      <c r="I138" s="56"/>
      <c r="J138" s="56"/>
      <c r="K138" s="56"/>
      <c r="L138" s="56"/>
      <c r="M138" s="56"/>
      <c r="N138" s="56"/>
      <c r="O138" s="56"/>
      <c r="P138" s="56"/>
      <c r="Q138" s="56"/>
      <c r="R138" s="126"/>
      <c r="S138" s="42"/>
      <c r="AJ138" s="41"/>
      <c r="AK138" s="42"/>
      <c r="AL138" s="311"/>
      <c r="AM138" s="311"/>
      <c r="AN138" s="311"/>
      <c r="AO138" s="311"/>
      <c r="AP138" s="43"/>
      <c r="AQ138" s="42"/>
      <c r="AR138" s="119"/>
      <c r="AS138" s="119"/>
      <c r="AT138" s="119"/>
      <c r="AU138" s="119"/>
      <c r="AV138" s="119"/>
      <c r="AW138" s="119"/>
      <c r="AX138" s="105"/>
      <c r="AZ138" s="119"/>
      <c r="BA138" s="119"/>
      <c r="BB138" s="119"/>
      <c r="BC138" s="119"/>
      <c r="BD138" s="119"/>
      <c r="BE138" s="119"/>
      <c r="BF138" s="119"/>
      <c r="BG138" s="119"/>
      <c r="BH138" s="124"/>
      <c r="BI138" s="41"/>
      <c r="BK138" s="194"/>
      <c r="BL138" s="123"/>
      <c r="BM138" s="195"/>
      <c r="BN138" s="194"/>
      <c r="BO138" s="123"/>
      <c r="BP138" s="195"/>
      <c r="BQ138" s="194"/>
      <c r="BR138" s="123"/>
      <c r="BS138" s="195"/>
      <c r="BT138" s="194"/>
      <c r="BU138" s="123"/>
      <c r="BV138" s="195"/>
      <c r="BW138" s="194"/>
      <c r="BX138" s="123"/>
      <c r="BY138" s="195"/>
      <c r="BZ138" s="194"/>
      <c r="CA138" s="123"/>
      <c r="CB138" s="195"/>
      <c r="CC138" s="194"/>
      <c r="CD138" s="123"/>
      <c r="CE138" s="195"/>
      <c r="CF138" s="194"/>
      <c r="CG138" s="123"/>
      <c r="CH138" s="195"/>
      <c r="CI138" s="194"/>
      <c r="CJ138" s="123"/>
      <c r="CK138" s="195"/>
      <c r="CL138" s="194"/>
      <c r="CM138" s="123"/>
      <c r="CN138" s="195"/>
      <c r="CO138" s="194"/>
      <c r="CP138" s="123"/>
      <c r="CQ138" s="195"/>
      <c r="CR138" s="194"/>
      <c r="CS138" s="123"/>
      <c r="CT138" s="195"/>
      <c r="CU138" s="194"/>
      <c r="CV138" s="123"/>
      <c r="CW138" s="195"/>
      <c r="CX138" s="194"/>
      <c r="CY138" s="123"/>
      <c r="CZ138" s="195"/>
      <c r="DA138" s="194"/>
      <c r="DB138" s="123"/>
      <c r="DC138" s="195"/>
      <c r="DD138" s="194"/>
      <c r="DE138" s="123"/>
      <c r="DF138" s="195"/>
      <c r="DL138" s="105"/>
      <c r="DM138" s="105"/>
      <c r="DN138" s="105"/>
      <c r="DO138" s="105"/>
      <c r="DP138" s="105"/>
      <c r="DQ138" s="105"/>
      <c r="DR138" s="105"/>
      <c r="DS138" s="105"/>
    </row>
    <row r="139" spans="1:123" ht="7.4" customHeight="1" x14ac:dyDescent="0.5">
      <c r="A139" s="42"/>
      <c r="B139" s="42"/>
      <c r="C139" s="311">
        <f>C135+1</f>
        <v>6</v>
      </c>
      <c r="D139" s="311"/>
      <c r="E139" s="41"/>
      <c r="F139" s="42"/>
      <c r="G139" s="319" t="str">
        <f>IF($AI$78="Included","AXE_CM_CF_"&amp;$AM$45,"AXE_CM_AP")&amp;"_AL"</f>
        <v>AXE_CM_CF_30_AL</v>
      </c>
      <c r="H139" s="319"/>
      <c r="I139" s="319"/>
      <c r="J139" s="319"/>
      <c r="K139" s="319"/>
      <c r="L139" s="319"/>
      <c r="M139" s="319"/>
      <c r="N139" s="319"/>
      <c r="O139" s="319"/>
      <c r="P139" s="319"/>
      <c r="Q139" s="319"/>
      <c r="R139" s="320"/>
      <c r="S139" s="42"/>
      <c r="T139" s="405" t="str">
        <f>VLOOKUP(G139,PL!$B$9:$BH$1265,14,FALSE)</f>
        <v>Mid Clamp</v>
      </c>
      <c r="U139" s="405"/>
      <c r="V139" s="405"/>
      <c r="W139" s="405"/>
      <c r="X139" s="405"/>
      <c r="Y139" s="405"/>
      <c r="Z139" s="405"/>
      <c r="AA139" s="405"/>
      <c r="AB139" s="405"/>
      <c r="AC139" s="405"/>
      <c r="AD139" s="405"/>
      <c r="AE139" s="405"/>
      <c r="AF139" s="405"/>
      <c r="AG139" s="405"/>
      <c r="AH139" s="405"/>
      <c r="AI139" s="405"/>
      <c r="AJ139" s="411"/>
      <c r="AK139" s="42"/>
      <c r="AL139" s="311">
        <f>ROUND(SUM(BK139:DF139)*(1+$BF$74),0)</f>
        <v>490</v>
      </c>
      <c r="AM139" s="311"/>
      <c r="AN139" s="311"/>
      <c r="AO139" s="311"/>
      <c r="AP139" s="43"/>
      <c r="AQ139" s="111"/>
      <c r="AR139" s="308" t="str">
        <f>VLOOKUP(G139,PL!$B$9:$BH$818,52,FALSE)</f>
        <v>SOL-580101</v>
      </c>
      <c r="AS139" s="309"/>
      <c r="AT139" s="309"/>
      <c r="AU139" s="309"/>
      <c r="AV139" s="309"/>
      <c r="AW139" s="309"/>
      <c r="AX139" s="309"/>
      <c r="AY139" s="309"/>
      <c r="AZ139" s="309"/>
      <c r="BA139" s="309"/>
      <c r="BB139" s="309"/>
      <c r="BC139" s="309"/>
      <c r="BD139" s="309"/>
      <c r="BE139" s="309"/>
      <c r="BF139" s="309"/>
      <c r="BG139" s="309"/>
      <c r="BH139" s="124"/>
      <c r="BI139" s="41"/>
      <c r="BK139" s="412">
        <f>M54*M58*2-BK143/2</f>
        <v>480</v>
      </c>
      <c r="BL139" s="413"/>
      <c r="BM139" s="414"/>
      <c r="BN139" s="412">
        <f t="shared" ref="BN139" si="53">P54*P58*2-BN143/2</f>
        <v>0</v>
      </c>
      <c r="BO139" s="413"/>
      <c r="BP139" s="414"/>
      <c r="BQ139" s="412">
        <f t="shared" ref="BQ139" si="54">S54*S58*2-BQ143/2</f>
        <v>0</v>
      </c>
      <c r="BR139" s="413"/>
      <c r="BS139" s="414"/>
      <c r="BT139" s="412">
        <f t="shared" ref="BT139" si="55">V54*V58*2-BT143/2</f>
        <v>0</v>
      </c>
      <c r="BU139" s="413"/>
      <c r="BV139" s="414"/>
      <c r="BW139" s="412">
        <f t="shared" ref="BW139" si="56">Y54*Y58*2-BW143/2</f>
        <v>0</v>
      </c>
      <c r="BX139" s="413"/>
      <c r="BY139" s="414"/>
      <c r="BZ139" s="412">
        <f t="shared" ref="BZ139" si="57">AB54*AB58*2-BZ143/2</f>
        <v>0</v>
      </c>
      <c r="CA139" s="413"/>
      <c r="CB139" s="414"/>
      <c r="CC139" s="412">
        <f t="shared" ref="CC139" si="58">AE54*AE58*2-CC143/2</f>
        <v>0</v>
      </c>
      <c r="CD139" s="413"/>
      <c r="CE139" s="414"/>
      <c r="CF139" s="412">
        <f t="shared" ref="CF139" si="59">AH54*AH58*2-CF143/2</f>
        <v>0</v>
      </c>
      <c r="CG139" s="413"/>
      <c r="CH139" s="414"/>
      <c r="CI139" s="412">
        <f t="shared" ref="CI139" si="60">AK54*AK58*2-CI143/2</f>
        <v>0</v>
      </c>
      <c r="CJ139" s="413"/>
      <c r="CK139" s="414"/>
      <c r="CL139" s="412">
        <f t="shared" ref="CL139" si="61">AN54*AN58*2-CL143/2</f>
        <v>0</v>
      </c>
      <c r="CM139" s="413"/>
      <c r="CN139" s="414"/>
      <c r="CO139" s="412">
        <f t="shared" ref="CO139" si="62">AQ54*AQ58*2-CO143/2</f>
        <v>0</v>
      </c>
      <c r="CP139" s="413"/>
      <c r="CQ139" s="414"/>
      <c r="CR139" s="412">
        <f t="shared" ref="CR139" si="63">AT54*AT58*2-CR143/2</f>
        <v>0</v>
      </c>
      <c r="CS139" s="413"/>
      <c r="CT139" s="414"/>
      <c r="CU139" s="412">
        <f t="shared" ref="CU139" si="64">AW54*AW58*2-CU143/2</f>
        <v>0</v>
      </c>
      <c r="CV139" s="413"/>
      <c r="CW139" s="414"/>
      <c r="CX139" s="412">
        <f t="shared" ref="CX139" si="65">AZ54*AZ58*2-CX143/2</f>
        <v>0</v>
      </c>
      <c r="CY139" s="413"/>
      <c r="CZ139" s="414"/>
      <c r="DA139" s="412">
        <f t="shared" ref="DA139" si="66">BC54*BC58*2-DA143/2</f>
        <v>0</v>
      </c>
      <c r="DB139" s="413"/>
      <c r="DC139" s="414"/>
      <c r="DD139" s="412">
        <f t="shared" ref="DD139" si="67">BF54*BF58*2-DD143/2</f>
        <v>0</v>
      </c>
      <c r="DE139" s="413"/>
      <c r="DF139" s="414"/>
      <c r="DH139" s="311"/>
      <c r="DI139" s="311"/>
      <c r="DJ139" s="311"/>
      <c r="DK139" s="311"/>
      <c r="DL139" s="321"/>
      <c r="DM139" s="321"/>
      <c r="DN139" s="321"/>
      <c r="DO139" s="321"/>
      <c r="DP139" s="321"/>
      <c r="DQ139" s="321"/>
      <c r="DR139" s="321"/>
      <c r="DS139" s="321"/>
    </row>
    <row r="140" spans="1:123" ht="7.4" customHeight="1" x14ac:dyDescent="0.5">
      <c r="A140" s="42"/>
      <c r="B140" s="42"/>
      <c r="C140" s="311"/>
      <c r="D140" s="311"/>
      <c r="E140" s="41"/>
      <c r="F140" s="42"/>
      <c r="G140" s="319"/>
      <c r="H140" s="319"/>
      <c r="I140" s="319"/>
      <c r="J140" s="319"/>
      <c r="K140" s="319"/>
      <c r="L140" s="319"/>
      <c r="M140" s="319"/>
      <c r="N140" s="319"/>
      <c r="O140" s="319"/>
      <c r="P140" s="319"/>
      <c r="Q140" s="319"/>
      <c r="R140" s="320"/>
      <c r="S140" s="42"/>
      <c r="T140" s="405"/>
      <c r="U140" s="405"/>
      <c r="V140" s="405"/>
      <c r="W140" s="405"/>
      <c r="X140" s="405"/>
      <c r="Y140" s="405"/>
      <c r="Z140" s="405"/>
      <c r="AA140" s="405"/>
      <c r="AB140" s="405"/>
      <c r="AC140" s="405"/>
      <c r="AD140" s="405"/>
      <c r="AE140" s="405"/>
      <c r="AF140" s="405"/>
      <c r="AG140" s="405"/>
      <c r="AH140" s="405"/>
      <c r="AI140" s="405"/>
      <c r="AJ140" s="411"/>
      <c r="AK140" s="42"/>
      <c r="AL140" s="311"/>
      <c r="AM140" s="311"/>
      <c r="AN140" s="311"/>
      <c r="AO140" s="311"/>
      <c r="AP140" s="43"/>
      <c r="AQ140" s="111"/>
      <c r="AR140" s="309"/>
      <c r="AS140" s="309"/>
      <c r="AT140" s="309"/>
      <c r="AU140" s="309"/>
      <c r="AV140" s="309"/>
      <c r="AW140" s="309"/>
      <c r="AX140" s="309"/>
      <c r="AY140" s="309"/>
      <c r="AZ140" s="309"/>
      <c r="BA140" s="309"/>
      <c r="BB140" s="309"/>
      <c r="BC140" s="309"/>
      <c r="BD140" s="309"/>
      <c r="BE140" s="309"/>
      <c r="BF140" s="309"/>
      <c r="BG140" s="309"/>
      <c r="BH140" s="124"/>
      <c r="BI140" s="41"/>
      <c r="BK140" s="412"/>
      <c r="BL140" s="413"/>
      <c r="BM140" s="414"/>
      <c r="BN140" s="412"/>
      <c r="BO140" s="413"/>
      <c r="BP140" s="414"/>
      <c r="BQ140" s="412"/>
      <c r="BR140" s="413"/>
      <c r="BS140" s="414"/>
      <c r="BT140" s="412"/>
      <c r="BU140" s="413"/>
      <c r="BV140" s="414"/>
      <c r="BW140" s="412"/>
      <c r="BX140" s="413"/>
      <c r="BY140" s="414"/>
      <c r="BZ140" s="412"/>
      <c r="CA140" s="413"/>
      <c r="CB140" s="414"/>
      <c r="CC140" s="412"/>
      <c r="CD140" s="413"/>
      <c r="CE140" s="414"/>
      <c r="CF140" s="412"/>
      <c r="CG140" s="413"/>
      <c r="CH140" s="414"/>
      <c r="CI140" s="412"/>
      <c r="CJ140" s="413"/>
      <c r="CK140" s="414"/>
      <c r="CL140" s="412"/>
      <c r="CM140" s="413"/>
      <c r="CN140" s="414"/>
      <c r="CO140" s="412"/>
      <c r="CP140" s="413"/>
      <c r="CQ140" s="414"/>
      <c r="CR140" s="412"/>
      <c r="CS140" s="413"/>
      <c r="CT140" s="414"/>
      <c r="CU140" s="412"/>
      <c r="CV140" s="413"/>
      <c r="CW140" s="414"/>
      <c r="CX140" s="412"/>
      <c r="CY140" s="413"/>
      <c r="CZ140" s="414"/>
      <c r="DA140" s="412"/>
      <c r="DB140" s="413"/>
      <c r="DC140" s="414"/>
      <c r="DD140" s="412"/>
      <c r="DE140" s="413"/>
      <c r="DF140" s="414"/>
      <c r="DH140" s="311"/>
      <c r="DI140" s="311"/>
      <c r="DJ140" s="311"/>
      <c r="DK140" s="311"/>
      <c r="DL140" s="321"/>
      <c r="DM140" s="321"/>
      <c r="DN140" s="321"/>
      <c r="DO140" s="321"/>
      <c r="DP140" s="321"/>
      <c r="DQ140" s="321"/>
      <c r="DR140" s="321"/>
      <c r="DS140" s="321"/>
    </row>
    <row r="141" spans="1:123" ht="7.4" customHeight="1" x14ac:dyDescent="0.5">
      <c r="A141" s="42"/>
      <c r="B141" s="42"/>
      <c r="C141" s="333"/>
      <c r="D141" s="333"/>
      <c r="E141" s="41"/>
      <c r="F141" s="42"/>
      <c r="G141" s="56"/>
      <c r="H141" s="56"/>
      <c r="I141" s="56"/>
      <c r="J141" s="56"/>
      <c r="K141" s="56"/>
      <c r="L141" s="56"/>
      <c r="M141" s="56"/>
      <c r="N141" s="56"/>
      <c r="O141" s="56"/>
      <c r="P141" s="56"/>
      <c r="Q141" s="56"/>
      <c r="R141" s="126"/>
      <c r="S141" s="42"/>
      <c r="T141" s="116" t="str">
        <f>VLOOKUP(G139,PL!$B$9:$BH$1265,33,FALSE)</f>
        <v>Aluminium, Click Fix, 30mm high</v>
      </c>
      <c r="AJ141" s="41"/>
      <c r="AK141" s="42"/>
      <c r="AL141" s="311"/>
      <c r="AM141" s="311"/>
      <c r="AN141" s="311"/>
      <c r="AO141" s="311"/>
      <c r="AP141" s="43"/>
      <c r="AQ141" s="42"/>
      <c r="AR141" s="119"/>
      <c r="AS141" s="119"/>
      <c r="AT141" s="119"/>
      <c r="AU141" s="119"/>
      <c r="AV141" s="119"/>
      <c r="AW141" s="119"/>
      <c r="AX141" s="105"/>
      <c r="AZ141" s="119"/>
      <c r="BA141" s="119"/>
      <c r="BB141" s="119"/>
      <c r="BC141" s="119"/>
      <c r="BD141" s="119"/>
      <c r="BE141" s="119"/>
      <c r="BF141" s="119"/>
      <c r="BG141" s="119"/>
      <c r="BH141" s="124"/>
      <c r="BI141" s="41"/>
      <c r="BK141" s="194"/>
      <c r="BL141" s="123"/>
      <c r="BM141" s="195"/>
      <c r="BN141" s="194"/>
      <c r="BO141" s="123"/>
      <c r="BP141" s="195"/>
      <c r="BQ141" s="194"/>
      <c r="BR141" s="123"/>
      <c r="BS141" s="195"/>
      <c r="BT141" s="194"/>
      <c r="BU141" s="123"/>
      <c r="BV141" s="195"/>
      <c r="BW141" s="194"/>
      <c r="BX141" s="123"/>
      <c r="BY141" s="195"/>
      <c r="BZ141" s="194"/>
      <c r="CA141" s="123"/>
      <c r="CB141" s="195"/>
      <c r="CC141" s="194"/>
      <c r="CD141" s="123"/>
      <c r="CE141" s="195"/>
      <c r="CF141" s="194"/>
      <c r="CG141" s="123"/>
      <c r="CH141" s="195"/>
      <c r="CI141" s="194"/>
      <c r="CJ141" s="123"/>
      <c r="CK141" s="195"/>
      <c r="CL141" s="194"/>
      <c r="CM141" s="123"/>
      <c r="CN141" s="195"/>
      <c r="CO141" s="194"/>
      <c r="CP141" s="123"/>
      <c r="CQ141" s="195"/>
      <c r="CR141" s="194"/>
      <c r="CS141" s="123"/>
      <c r="CT141" s="195"/>
      <c r="CU141" s="194"/>
      <c r="CV141" s="123"/>
      <c r="CW141" s="195"/>
      <c r="CX141" s="194"/>
      <c r="CY141" s="123"/>
      <c r="CZ141" s="195"/>
      <c r="DA141" s="194"/>
      <c r="DB141" s="123"/>
      <c r="DC141" s="195"/>
      <c r="DD141" s="194"/>
      <c r="DE141" s="123"/>
      <c r="DF141" s="195"/>
      <c r="DH141" s="311"/>
      <c r="DI141" s="311"/>
      <c r="DJ141" s="311"/>
      <c r="DK141" s="311"/>
      <c r="DL141" s="321"/>
      <c r="DM141" s="321"/>
      <c r="DN141" s="321"/>
      <c r="DO141" s="321"/>
      <c r="DP141" s="321"/>
      <c r="DQ141" s="321"/>
      <c r="DR141" s="321"/>
      <c r="DS141" s="321"/>
    </row>
    <row r="142" spans="1:123" ht="7.4" customHeight="1" x14ac:dyDescent="0.5">
      <c r="A142" s="42"/>
      <c r="B142" s="42"/>
      <c r="C142" s="55"/>
      <c r="D142" s="55"/>
      <c r="E142" s="41"/>
      <c r="F142" s="42"/>
      <c r="G142" s="56"/>
      <c r="H142" s="56"/>
      <c r="I142" s="56"/>
      <c r="J142" s="56"/>
      <c r="K142" s="56"/>
      <c r="L142" s="56"/>
      <c r="M142" s="56"/>
      <c r="N142" s="56"/>
      <c r="O142" s="56"/>
      <c r="P142" s="56"/>
      <c r="Q142" s="56"/>
      <c r="R142" s="126"/>
      <c r="S142" s="42"/>
      <c r="AJ142" s="41"/>
      <c r="AK142" s="42"/>
      <c r="AL142" s="311"/>
      <c r="AM142" s="311"/>
      <c r="AN142" s="311"/>
      <c r="AO142" s="311"/>
      <c r="AP142" s="43"/>
      <c r="AQ142" s="42"/>
      <c r="AR142" s="119"/>
      <c r="AS142" s="119"/>
      <c r="AT142" s="119"/>
      <c r="AU142" s="119"/>
      <c r="AV142" s="119"/>
      <c r="AW142" s="119"/>
      <c r="AX142" s="105"/>
      <c r="AZ142" s="119"/>
      <c r="BA142" s="119"/>
      <c r="BB142" s="119"/>
      <c r="BC142" s="119"/>
      <c r="BD142" s="119"/>
      <c r="BE142" s="119"/>
      <c r="BF142" s="119"/>
      <c r="BG142" s="119"/>
      <c r="BH142" s="124"/>
      <c r="BI142" s="41"/>
      <c r="BK142" s="194"/>
      <c r="BL142" s="123"/>
      <c r="BM142" s="195"/>
      <c r="BN142" s="194"/>
      <c r="BO142" s="123"/>
      <c r="BP142" s="195"/>
      <c r="BQ142" s="194"/>
      <c r="BR142" s="123"/>
      <c r="BS142" s="195"/>
      <c r="BT142" s="194"/>
      <c r="BU142" s="123"/>
      <c r="BV142" s="195"/>
      <c r="BW142" s="194"/>
      <c r="BX142" s="123"/>
      <c r="BY142" s="195"/>
      <c r="BZ142" s="194"/>
      <c r="CA142" s="123"/>
      <c r="CB142" s="195"/>
      <c r="CC142" s="194"/>
      <c r="CD142" s="123"/>
      <c r="CE142" s="195"/>
      <c r="CF142" s="194"/>
      <c r="CG142" s="123"/>
      <c r="CH142" s="195"/>
      <c r="CI142" s="194"/>
      <c r="CJ142" s="123"/>
      <c r="CK142" s="195"/>
      <c r="CL142" s="194"/>
      <c r="CM142" s="123"/>
      <c r="CN142" s="195"/>
      <c r="CO142" s="194"/>
      <c r="CP142" s="123"/>
      <c r="CQ142" s="195"/>
      <c r="CR142" s="194"/>
      <c r="CS142" s="123"/>
      <c r="CT142" s="195"/>
      <c r="CU142" s="194"/>
      <c r="CV142" s="123"/>
      <c r="CW142" s="195"/>
      <c r="CX142" s="194"/>
      <c r="CY142" s="123"/>
      <c r="CZ142" s="195"/>
      <c r="DA142" s="194"/>
      <c r="DB142" s="123"/>
      <c r="DC142" s="195"/>
      <c r="DD142" s="194"/>
      <c r="DE142" s="123"/>
      <c r="DF142" s="195"/>
      <c r="DL142" s="105"/>
      <c r="DM142" s="105"/>
      <c r="DN142" s="105"/>
      <c r="DO142" s="105"/>
      <c r="DP142" s="105"/>
      <c r="DQ142" s="105"/>
      <c r="DR142" s="105"/>
      <c r="DS142" s="105"/>
    </row>
    <row r="143" spans="1:123" ht="7.4" customHeight="1" x14ac:dyDescent="0.5">
      <c r="A143" s="42"/>
      <c r="B143" s="42"/>
      <c r="C143" s="311">
        <f>C139+1</f>
        <v>7</v>
      </c>
      <c r="D143" s="311"/>
      <c r="E143" s="41"/>
      <c r="F143" s="42"/>
      <c r="G143" s="319" t="str">
        <f>IF($AI$78="Included","AXE_CE_CF_"&amp;$AM$45,"AXE_CE_AP_"&amp;$AM$45)&amp;"_AL"</f>
        <v>AXE_CE_CF_30_AL</v>
      </c>
      <c r="H143" s="319"/>
      <c r="I143" s="319"/>
      <c r="J143" s="319"/>
      <c r="K143" s="319"/>
      <c r="L143" s="319"/>
      <c r="M143" s="319"/>
      <c r="N143" s="319"/>
      <c r="O143" s="319"/>
      <c r="P143" s="319"/>
      <c r="Q143" s="319"/>
      <c r="R143" s="320"/>
      <c r="S143" s="42"/>
      <c r="T143" s="405" t="str">
        <f>VLOOKUP(G143,PL!$B$9:$BH$1265,14,FALSE)</f>
        <v>End Clamp</v>
      </c>
      <c r="U143" s="405"/>
      <c r="V143" s="405"/>
      <c r="W143" s="405"/>
      <c r="X143" s="405"/>
      <c r="Y143" s="405"/>
      <c r="Z143" s="405"/>
      <c r="AA143" s="405"/>
      <c r="AB143" s="405"/>
      <c r="AC143" s="405"/>
      <c r="AD143" s="405"/>
      <c r="AE143" s="405"/>
      <c r="AF143" s="405"/>
      <c r="AG143" s="405"/>
      <c r="AH143" s="405"/>
      <c r="AI143" s="405"/>
      <c r="AJ143" s="411"/>
      <c r="AK143" s="42"/>
      <c r="AL143" s="311">
        <f>ROUND(SUM(BK143:DF143)*(1+$BF$84),0)</f>
        <v>41</v>
      </c>
      <c r="AM143" s="311"/>
      <c r="AN143" s="311"/>
      <c r="AO143" s="311"/>
      <c r="AP143" s="43"/>
      <c r="AQ143" s="111"/>
      <c r="AR143" s="308" t="str">
        <f>VLOOKUP(G143,PL!$B$9:$BH$818,52,FALSE)</f>
        <v>SOL-580301</v>
      </c>
      <c r="AS143" s="309"/>
      <c r="AT143" s="309"/>
      <c r="AU143" s="309"/>
      <c r="AV143" s="309"/>
      <c r="AW143" s="309"/>
      <c r="AX143" s="309"/>
      <c r="AY143" s="309"/>
      <c r="AZ143" s="309"/>
      <c r="BA143" s="309"/>
      <c r="BB143" s="309"/>
      <c r="BC143" s="309"/>
      <c r="BD143" s="309"/>
      <c r="BE143" s="309"/>
      <c r="BF143" s="309"/>
      <c r="BG143" s="309"/>
      <c r="BH143" s="124"/>
      <c r="BI143" s="41"/>
      <c r="BK143" s="412">
        <f>4*M54</f>
        <v>40</v>
      </c>
      <c r="BL143" s="413"/>
      <c r="BM143" s="414"/>
      <c r="BN143" s="412">
        <f t="shared" ref="BN143" si="68">4*P54</f>
        <v>0</v>
      </c>
      <c r="BO143" s="413"/>
      <c r="BP143" s="414"/>
      <c r="BQ143" s="412">
        <f t="shared" ref="BQ143" si="69">4*S54</f>
        <v>0</v>
      </c>
      <c r="BR143" s="413"/>
      <c r="BS143" s="414"/>
      <c r="BT143" s="412">
        <f t="shared" ref="BT143" si="70">4*V54</f>
        <v>0</v>
      </c>
      <c r="BU143" s="413"/>
      <c r="BV143" s="414"/>
      <c r="BW143" s="412">
        <f t="shared" ref="BW143" si="71">4*Y54</f>
        <v>0</v>
      </c>
      <c r="BX143" s="413"/>
      <c r="BY143" s="414"/>
      <c r="BZ143" s="412">
        <f t="shared" ref="BZ143" si="72">4*AB54</f>
        <v>0</v>
      </c>
      <c r="CA143" s="413"/>
      <c r="CB143" s="414"/>
      <c r="CC143" s="412">
        <f t="shared" ref="CC143" si="73">4*AE54</f>
        <v>0</v>
      </c>
      <c r="CD143" s="413"/>
      <c r="CE143" s="414"/>
      <c r="CF143" s="412">
        <f t="shared" ref="CF143" si="74">4*AH54</f>
        <v>0</v>
      </c>
      <c r="CG143" s="413"/>
      <c r="CH143" s="414"/>
      <c r="CI143" s="412">
        <f t="shared" ref="CI143" si="75">4*AK54</f>
        <v>0</v>
      </c>
      <c r="CJ143" s="413"/>
      <c r="CK143" s="414"/>
      <c r="CL143" s="412">
        <f t="shared" ref="CL143" si="76">4*AN54</f>
        <v>0</v>
      </c>
      <c r="CM143" s="413"/>
      <c r="CN143" s="414"/>
      <c r="CO143" s="412">
        <f t="shared" ref="CO143" si="77">4*AQ54</f>
        <v>0</v>
      </c>
      <c r="CP143" s="413"/>
      <c r="CQ143" s="414"/>
      <c r="CR143" s="412">
        <f t="shared" ref="CR143" si="78">4*AT54</f>
        <v>0</v>
      </c>
      <c r="CS143" s="413"/>
      <c r="CT143" s="414"/>
      <c r="CU143" s="412">
        <f t="shared" ref="CU143" si="79">4*AW54</f>
        <v>0</v>
      </c>
      <c r="CV143" s="413"/>
      <c r="CW143" s="414"/>
      <c r="CX143" s="412">
        <f t="shared" ref="CX143" si="80">4*AZ54</f>
        <v>0</v>
      </c>
      <c r="CY143" s="413"/>
      <c r="CZ143" s="414"/>
      <c r="DA143" s="412">
        <f t="shared" ref="DA143" si="81">4*BC54</f>
        <v>0</v>
      </c>
      <c r="DB143" s="413"/>
      <c r="DC143" s="414"/>
      <c r="DD143" s="412">
        <f t="shared" ref="DD143" si="82">4*BF54</f>
        <v>0</v>
      </c>
      <c r="DE143" s="413"/>
      <c r="DF143" s="414"/>
      <c r="DH143" s="311"/>
      <c r="DI143" s="311"/>
      <c r="DJ143" s="311"/>
      <c r="DK143" s="311"/>
      <c r="DL143" s="321"/>
      <c r="DM143" s="321"/>
      <c r="DN143" s="321"/>
      <c r="DO143" s="321"/>
      <c r="DP143" s="321"/>
      <c r="DQ143" s="321"/>
      <c r="DR143" s="321"/>
      <c r="DS143" s="321"/>
    </row>
    <row r="144" spans="1:123" ht="7.4" customHeight="1" x14ac:dyDescent="0.5">
      <c r="A144" s="42"/>
      <c r="B144" s="42"/>
      <c r="C144" s="311"/>
      <c r="D144" s="311"/>
      <c r="E144" s="41"/>
      <c r="F144" s="42"/>
      <c r="G144" s="319"/>
      <c r="H144" s="319"/>
      <c r="I144" s="319"/>
      <c r="J144" s="319"/>
      <c r="K144" s="319"/>
      <c r="L144" s="319"/>
      <c r="M144" s="319"/>
      <c r="N144" s="319"/>
      <c r="O144" s="319"/>
      <c r="P144" s="319"/>
      <c r="Q144" s="319"/>
      <c r="R144" s="320"/>
      <c r="S144" s="42"/>
      <c r="T144" s="405"/>
      <c r="U144" s="405"/>
      <c r="V144" s="405"/>
      <c r="W144" s="405"/>
      <c r="X144" s="405"/>
      <c r="Y144" s="405"/>
      <c r="Z144" s="405"/>
      <c r="AA144" s="405"/>
      <c r="AB144" s="405"/>
      <c r="AC144" s="405"/>
      <c r="AD144" s="405"/>
      <c r="AE144" s="405"/>
      <c r="AF144" s="405"/>
      <c r="AG144" s="405"/>
      <c r="AH144" s="405"/>
      <c r="AI144" s="405"/>
      <c r="AJ144" s="411"/>
      <c r="AK144" s="42"/>
      <c r="AL144" s="311"/>
      <c r="AM144" s="311"/>
      <c r="AN144" s="311"/>
      <c r="AO144" s="311"/>
      <c r="AP144" s="43"/>
      <c r="AQ144" s="111"/>
      <c r="AR144" s="309"/>
      <c r="AS144" s="309"/>
      <c r="AT144" s="309"/>
      <c r="AU144" s="309"/>
      <c r="AV144" s="309"/>
      <c r="AW144" s="309"/>
      <c r="AX144" s="309"/>
      <c r="AY144" s="309"/>
      <c r="AZ144" s="309"/>
      <c r="BA144" s="309"/>
      <c r="BB144" s="309"/>
      <c r="BC144" s="309"/>
      <c r="BD144" s="309"/>
      <c r="BE144" s="309"/>
      <c r="BF144" s="309"/>
      <c r="BG144" s="309"/>
      <c r="BH144" s="124"/>
      <c r="BI144" s="41"/>
      <c r="BK144" s="412"/>
      <c r="BL144" s="413"/>
      <c r="BM144" s="414"/>
      <c r="BN144" s="412"/>
      <c r="BO144" s="413"/>
      <c r="BP144" s="414"/>
      <c r="BQ144" s="412"/>
      <c r="BR144" s="413"/>
      <c r="BS144" s="414"/>
      <c r="BT144" s="412"/>
      <c r="BU144" s="413"/>
      <c r="BV144" s="414"/>
      <c r="BW144" s="412"/>
      <c r="BX144" s="413"/>
      <c r="BY144" s="414"/>
      <c r="BZ144" s="412"/>
      <c r="CA144" s="413"/>
      <c r="CB144" s="414"/>
      <c r="CC144" s="412"/>
      <c r="CD144" s="413"/>
      <c r="CE144" s="414"/>
      <c r="CF144" s="412"/>
      <c r="CG144" s="413"/>
      <c r="CH144" s="414"/>
      <c r="CI144" s="412"/>
      <c r="CJ144" s="413"/>
      <c r="CK144" s="414"/>
      <c r="CL144" s="412"/>
      <c r="CM144" s="413"/>
      <c r="CN144" s="414"/>
      <c r="CO144" s="412"/>
      <c r="CP144" s="413"/>
      <c r="CQ144" s="414"/>
      <c r="CR144" s="412"/>
      <c r="CS144" s="413"/>
      <c r="CT144" s="414"/>
      <c r="CU144" s="412"/>
      <c r="CV144" s="413"/>
      <c r="CW144" s="414"/>
      <c r="CX144" s="412"/>
      <c r="CY144" s="413"/>
      <c r="CZ144" s="414"/>
      <c r="DA144" s="412"/>
      <c r="DB144" s="413"/>
      <c r="DC144" s="414"/>
      <c r="DD144" s="412"/>
      <c r="DE144" s="413"/>
      <c r="DF144" s="414"/>
      <c r="DH144" s="311"/>
      <c r="DI144" s="311"/>
      <c r="DJ144" s="311"/>
      <c r="DK144" s="311"/>
      <c r="DL144" s="321"/>
      <c r="DM144" s="321"/>
      <c r="DN144" s="321"/>
      <c r="DO144" s="321"/>
      <c r="DP144" s="321"/>
      <c r="DQ144" s="321"/>
      <c r="DR144" s="321"/>
      <c r="DS144" s="321"/>
    </row>
    <row r="145" spans="1:123" ht="7.4" customHeight="1" x14ac:dyDescent="0.5">
      <c r="A145" s="42"/>
      <c r="B145" s="42"/>
      <c r="C145" s="55"/>
      <c r="D145" s="55"/>
      <c r="E145" s="41"/>
      <c r="F145" s="42"/>
      <c r="G145" s="56"/>
      <c r="H145" s="56"/>
      <c r="I145" s="56"/>
      <c r="J145" s="56"/>
      <c r="K145" s="56"/>
      <c r="L145" s="56"/>
      <c r="M145" s="56"/>
      <c r="N145" s="56"/>
      <c r="O145" s="56"/>
      <c r="P145" s="56"/>
      <c r="Q145" s="56"/>
      <c r="R145" s="126"/>
      <c r="S145" s="42"/>
      <c r="T145" s="116" t="str">
        <f>VLOOKUP(G143,PL!$B$9:$BH$1265,33,FALSE)</f>
        <v>Aluminium, Click Fix, 30mm high</v>
      </c>
      <c r="AJ145" s="41"/>
      <c r="AK145" s="42"/>
      <c r="AL145" s="311"/>
      <c r="AM145" s="311"/>
      <c r="AN145" s="311"/>
      <c r="AO145" s="311"/>
      <c r="AP145" s="43"/>
      <c r="AQ145" s="42"/>
      <c r="AR145" s="119"/>
      <c r="AS145" s="119"/>
      <c r="AT145" s="119"/>
      <c r="AU145" s="119"/>
      <c r="AV145" s="119"/>
      <c r="AW145" s="119"/>
      <c r="AX145" s="105"/>
      <c r="AZ145" s="119"/>
      <c r="BA145" s="119"/>
      <c r="BB145" s="119"/>
      <c r="BC145" s="119"/>
      <c r="BD145" s="119"/>
      <c r="BE145" s="119"/>
      <c r="BF145" s="119"/>
      <c r="BG145" s="119"/>
      <c r="BH145" s="124"/>
      <c r="BI145" s="41"/>
      <c r="BK145" s="194"/>
      <c r="BL145" s="123"/>
      <c r="BM145" s="195"/>
      <c r="BN145" s="194"/>
      <c r="BO145" s="123"/>
      <c r="BP145" s="195"/>
      <c r="BQ145" s="194"/>
      <c r="BR145" s="123"/>
      <c r="BS145" s="195"/>
      <c r="BT145" s="194"/>
      <c r="BU145" s="123"/>
      <c r="BV145" s="195"/>
      <c r="BW145" s="194"/>
      <c r="BX145" s="123"/>
      <c r="BY145" s="195"/>
      <c r="BZ145" s="194"/>
      <c r="CA145" s="123"/>
      <c r="CB145" s="195"/>
      <c r="CC145" s="194"/>
      <c r="CD145" s="123"/>
      <c r="CE145" s="195"/>
      <c r="CF145" s="194"/>
      <c r="CG145" s="123"/>
      <c r="CH145" s="195"/>
      <c r="CI145" s="194"/>
      <c r="CJ145" s="123"/>
      <c r="CK145" s="195"/>
      <c r="CL145" s="194"/>
      <c r="CM145" s="123"/>
      <c r="CN145" s="195"/>
      <c r="CO145" s="194"/>
      <c r="CP145" s="123"/>
      <c r="CQ145" s="195"/>
      <c r="CR145" s="194"/>
      <c r="CS145" s="123"/>
      <c r="CT145" s="195"/>
      <c r="CU145" s="194"/>
      <c r="CV145" s="123"/>
      <c r="CW145" s="195"/>
      <c r="CX145" s="194"/>
      <c r="CY145" s="123"/>
      <c r="CZ145" s="195"/>
      <c r="DA145" s="194"/>
      <c r="DB145" s="123"/>
      <c r="DC145" s="195"/>
      <c r="DD145" s="194"/>
      <c r="DE145" s="123"/>
      <c r="DF145" s="195"/>
      <c r="DH145" s="311"/>
      <c r="DI145" s="311"/>
      <c r="DJ145" s="311"/>
      <c r="DK145" s="311"/>
      <c r="DL145" s="321"/>
      <c r="DM145" s="321"/>
      <c r="DN145" s="321"/>
      <c r="DO145" s="321"/>
      <c r="DP145" s="321"/>
      <c r="DQ145" s="321"/>
      <c r="DR145" s="321"/>
      <c r="DS145" s="321"/>
    </row>
    <row r="146" spans="1:123" ht="7.4" customHeight="1" x14ac:dyDescent="0.5">
      <c r="A146" s="42"/>
      <c r="B146" s="42"/>
      <c r="C146" s="55"/>
      <c r="D146" s="55"/>
      <c r="E146" s="41"/>
      <c r="F146" s="42"/>
      <c r="G146" s="56"/>
      <c r="H146" s="56"/>
      <c r="I146" s="56"/>
      <c r="J146" s="56"/>
      <c r="K146" s="56"/>
      <c r="L146" s="56"/>
      <c r="M146" s="56"/>
      <c r="N146" s="56"/>
      <c r="O146" s="56"/>
      <c r="P146" s="56"/>
      <c r="Q146" s="56"/>
      <c r="R146" s="126"/>
      <c r="S146" s="42"/>
      <c r="AJ146" s="41"/>
      <c r="AK146" s="42"/>
      <c r="AL146" s="311"/>
      <c r="AM146" s="311"/>
      <c r="AN146" s="311"/>
      <c r="AO146" s="311"/>
      <c r="AP146" s="43"/>
      <c r="AQ146" s="42"/>
      <c r="AR146" s="119"/>
      <c r="AS146" s="119"/>
      <c r="AT146" s="119"/>
      <c r="AU146" s="119"/>
      <c r="AV146" s="119"/>
      <c r="AW146" s="119"/>
      <c r="AX146" s="105"/>
      <c r="AZ146" s="119"/>
      <c r="BA146" s="119"/>
      <c r="BB146" s="119"/>
      <c r="BC146" s="119"/>
      <c r="BD146" s="119"/>
      <c r="BE146" s="119"/>
      <c r="BF146" s="119"/>
      <c r="BG146" s="119"/>
      <c r="BH146" s="124"/>
      <c r="BI146" s="41"/>
      <c r="BK146" s="194"/>
      <c r="BL146" s="123"/>
      <c r="BM146" s="195"/>
      <c r="BN146" s="194"/>
      <c r="BO146" s="123"/>
      <c r="BP146" s="195"/>
      <c r="BQ146" s="194"/>
      <c r="BR146" s="123"/>
      <c r="BS146" s="195"/>
      <c r="BT146" s="194"/>
      <c r="BU146" s="123"/>
      <c r="BV146" s="195"/>
      <c r="BW146" s="194"/>
      <c r="BX146" s="123"/>
      <c r="BY146" s="195"/>
      <c r="BZ146" s="194"/>
      <c r="CA146" s="123"/>
      <c r="CB146" s="195"/>
      <c r="CC146" s="194"/>
      <c r="CD146" s="123"/>
      <c r="CE146" s="195"/>
      <c r="CF146" s="194"/>
      <c r="CG146" s="123"/>
      <c r="CH146" s="195"/>
      <c r="CI146" s="194"/>
      <c r="CJ146" s="123"/>
      <c r="CK146" s="195"/>
      <c r="CL146" s="194"/>
      <c r="CM146" s="123"/>
      <c r="CN146" s="195"/>
      <c r="CO146" s="194"/>
      <c r="CP146" s="123"/>
      <c r="CQ146" s="195"/>
      <c r="CR146" s="194"/>
      <c r="CS146" s="123"/>
      <c r="CT146" s="195"/>
      <c r="CU146" s="194"/>
      <c r="CV146" s="123"/>
      <c r="CW146" s="195"/>
      <c r="CX146" s="194"/>
      <c r="CY146" s="123"/>
      <c r="CZ146" s="195"/>
      <c r="DA146" s="194"/>
      <c r="DB146" s="123"/>
      <c r="DC146" s="195"/>
      <c r="DD146" s="194"/>
      <c r="DE146" s="123"/>
      <c r="DF146" s="195"/>
      <c r="DL146" s="105"/>
      <c r="DM146" s="105"/>
      <c r="DN146" s="105"/>
      <c r="DO146" s="105"/>
      <c r="DP146" s="105"/>
      <c r="DQ146" s="105"/>
      <c r="DR146" s="105"/>
      <c r="DS146" s="105"/>
    </row>
    <row r="147" spans="1:123" ht="7.4" customHeight="1" x14ac:dyDescent="0.5">
      <c r="A147" s="42"/>
      <c r="B147" s="42"/>
      <c r="C147" s="311">
        <f>C143+1</f>
        <v>8</v>
      </c>
      <c r="D147" s="311"/>
      <c r="E147" s="41"/>
      <c r="F147" s="42"/>
      <c r="G147" s="319" t="str">
        <f>"AXE_BR_"&amp;IF($AO$35="Corrugated","COR_H",
IF(OR($AO$35="Corrugated (L-bracket)",$AO$35="IBR (L-bracket)"),"L_R",
IF(OR($AO$35="Corrugated (Rib Surface)",$AO$35="IBR (Rib Surface)"),"RS_H",
IF(OR($AO$35="Corrugated (Ridge)",$AO$35="IBR (Ridge)"),"RF_H",
IF($AO$35="IBR","IBR_H",
IF($AO$35="Craft-Lock","CL_H",
IF(OR($AO$35="Klip-Lok",$AO$35="ProLok",$AO$35="Saflok"),"FL_H",
IF($AO$35="Springlok","SL_H",
IF($AO$35="Novotexi","NT_H",
IF(OR($AO$35="Brownbuilt",$AO$35="Dimondek"),"GL_H",
IF(OR($AO$35="Brownbuilt (Pinch)",$AO$35="Dimondek (Pinch)"),"PF_H",
IF(OR($AO$35="Dimondek (Stand Rib)",$AO$35="Zip-Tek"),"SR_H","L_S"))))))))))))&amp;"_AL"</f>
        <v>AXE_BR_IBR_H_AL</v>
      </c>
      <c r="H147" s="319"/>
      <c r="I147" s="319"/>
      <c r="J147" s="319"/>
      <c r="K147" s="319"/>
      <c r="L147" s="319"/>
      <c r="M147" s="319"/>
      <c r="N147" s="319"/>
      <c r="O147" s="319"/>
      <c r="P147" s="319"/>
      <c r="Q147" s="319"/>
      <c r="R147" s="320"/>
      <c r="S147" s="42"/>
      <c r="T147" s="405" t="str">
        <f>VLOOKUP(G147,PL!$B$9:$BH$1265,14,FALSE)</f>
        <v xml:space="preserve">IBR Bracket </v>
      </c>
      <c r="U147" s="405"/>
      <c r="V147" s="405"/>
      <c r="W147" s="405"/>
      <c r="X147" s="405"/>
      <c r="Y147" s="405"/>
      <c r="Z147" s="405"/>
      <c r="AA147" s="405"/>
      <c r="AB147" s="405"/>
      <c r="AC147" s="405"/>
      <c r="AD147" s="405"/>
      <c r="AE147" s="405"/>
      <c r="AF147" s="405"/>
      <c r="AG147" s="405"/>
      <c r="AH147" s="405"/>
      <c r="AI147" s="405"/>
      <c r="AJ147" s="411"/>
      <c r="AK147" s="42"/>
      <c r="AL147" s="311">
        <f>ROUND(SUM(BK147:DF148)*(1+$BF$74),0)</f>
        <v>408</v>
      </c>
      <c r="AM147" s="311"/>
      <c r="AN147" s="311"/>
      <c r="AO147" s="311"/>
      <c r="AP147" s="43"/>
      <c r="AQ147" s="111"/>
      <c r="AR147" s="308" t="str">
        <f>VLOOKUP(G147,PL!$B$9:$BH$818,52,FALSE)</f>
        <v>SOL-59020</v>
      </c>
      <c r="AS147" s="309"/>
      <c r="AT147" s="309"/>
      <c r="AU147" s="309"/>
      <c r="AV147" s="309"/>
      <c r="AW147" s="309"/>
      <c r="AX147" s="309"/>
      <c r="AY147" s="309"/>
      <c r="AZ147" s="309"/>
      <c r="BA147" s="309"/>
      <c r="BB147" s="309"/>
      <c r="BC147" s="309"/>
      <c r="BD147" s="309"/>
      <c r="BE147" s="309"/>
      <c r="BF147" s="309"/>
      <c r="BG147" s="309"/>
      <c r="BH147" s="124"/>
      <c r="BI147" s="41"/>
      <c r="BK147" s="412">
        <f>IF($AO$35="Flat Surface",0,(ROUNDUP(($AE$45*M58+20*(M58-1)+$N$78*2-2*$N$82)/$AX$35,0)+1)*2*M54)</f>
        <v>400</v>
      </c>
      <c r="BL147" s="413"/>
      <c r="BM147" s="414"/>
      <c r="BN147" s="412">
        <f t="shared" ref="BN147" si="83">IF($AO$35="Flat Surface",0,(ROUNDUP(($AE$45*P58+20*(P58-1)+$N$78*2-2*$N$82)/$AX$35,0)+1)*2*P54)</f>
        <v>0</v>
      </c>
      <c r="BO147" s="413"/>
      <c r="BP147" s="414"/>
      <c r="BQ147" s="412">
        <f t="shared" ref="BQ147" si="84">IF($AO$35="Flat Surface",0,(ROUNDUP(($AE$45*S58+20*(S58-1)+$N$78*2-2*$N$82)/$AX$35,0)+1)*2*S54)</f>
        <v>0</v>
      </c>
      <c r="BR147" s="413"/>
      <c r="BS147" s="414"/>
      <c r="BT147" s="412">
        <f t="shared" ref="BT147" si="85">IF($AO$35="Flat Surface",0,(ROUNDUP(($AE$45*V58+20*(V58-1)+$N$78*2-2*$N$82)/$AX$35,0)+1)*2*V54)</f>
        <v>0</v>
      </c>
      <c r="BU147" s="413"/>
      <c r="BV147" s="414"/>
      <c r="BW147" s="412">
        <f t="shared" ref="BW147" si="86">IF($AO$35="Flat Surface",0,(ROUNDUP(($AE$45*Y58+20*(Y58-1)+$N$78*2-2*$N$82)/$AX$35,0)+1)*2*Y54)</f>
        <v>0</v>
      </c>
      <c r="BX147" s="413"/>
      <c r="BY147" s="414"/>
      <c r="BZ147" s="412">
        <f t="shared" ref="BZ147" si="87">IF($AO$35="Flat Surface",0,(ROUNDUP(($AE$45*AB58+20*(AB58-1)+$N$78*2-2*$N$82)/$AX$35,0)+1)*2*AB54)</f>
        <v>0</v>
      </c>
      <c r="CA147" s="413"/>
      <c r="CB147" s="414"/>
      <c r="CC147" s="412">
        <f t="shared" ref="CC147" si="88">IF($AO$35="Flat Surface",0,(ROUNDUP(($AE$45*AE58+20*(AE58-1)+$N$78*2-2*$N$82)/$AX$35,0)+1)*2*AE54)</f>
        <v>0</v>
      </c>
      <c r="CD147" s="413"/>
      <c r="CE147" s="414"/>
      <c r="CF147" s="412">
        <f t="shared" ref="CF147" si="89">IF($AO$35="Flat Surface",0,(ROUNDUP(($AE$45*AH58+20*(AH58-1)+$N$78*2-2*$N$82)/$AX$35,0)+1)*2*AH54)</f>
        <v>0</v>
      </c>
      <c r="CG147" s="413"/>
      <c r="CH147" s="414"/>
      <c r="CI147" s="412">
        <f t="shared" ref="CI147" si="90">IF($AO$35="Flat Surface",0,(ROUNDUP(($AE$45*AK58+20*(AK58-1)+$N$78*2-2*$N$82)/$AX$35,0)+1)*2*AK54)</f>
        <v>0</v>
      </c>
      <c r="CJ147" s="413"/>
      <c r="CK147" s="414"/>
      <c r="CL147" s="412">
        <f t="shared" ref="CL147" si="91">IF($AO$35="Flat Surface",0,(ROUNDUP(($AE$45*AN58+20*(AN58-1)+$N$78*2-2*$N$82)/$AX$35,0)+1)*2*AN54)</f>
        <v>0</v>
      </c>
      <c r="CM147" s="413"/>
      <c r="CN147" s="414"/>
      <c r="CO147" s="412">
        <f t="shared" ref="CO147" si="92">IF($AO$35="Flat Surface",0,(ROUNDUP(($AE$45*AQ58+20*(AQ58-1)+$N$78*2-2*$N$82)/$AX$35,0)+1)*2*AQ54)</f>
        <v>0</v>
      </c>
      <c r="CP147" s="413"/>
      <c r="CQ147" s="414"/>
      <c r="CR147" s="412">
        <f t="shared" ref="CR147" si="93">IF($AO$35="Flat Surface",0,(ROUNDUP(($AE$45*AT58+20*(AT58-1)+$N$78*2-2*$N$82)/$AX$35,0)+1)*2*AT54)</f>
        <v>0</v>
      </c>
      <c r="CS147" s="413"/>
      <c r="CT147" s="414"/>
      <c r="CU147" s="412">
        <f t="shared" ref="CU147" si="94">IF($AO$35="Flat Surface",0,(ROUNDUP(($AE$45*AW58+20*(AW58-1)+$N$78*2-2*$N$82)/$AX$35,0)+1)*2*AW54)</f>
        <v>0</v>
      </c>
      <c r="CV147" s="413"/>
      <c r="CW147" s="414"/>
      <c r="CX147" s="412">
        <f t="shared" ref="CX147" si="95">IF($AO$35="Flat Surface",0,(ROUNDUP(($AE$45*AZ58+20*(AZ58-1)+$N$78*2-2*$N$82)/$AX$35,0)+1)*2*AZ54)</f>
        <v>0</v>
      </c>
      <c r="CY147" s="413"/>
      <c r="CZ147" s="414"/>
      <c r="DA147" s="412">
        <f t="shared" ref="DA147" si="96">IF($AO$35="Flat Surface",0,(ROUNDUP(($AE$45*BC58+20*(BC58-1)+$N$78*2-2*$N$82)/$AX$35,0)+1)*2*BC54)</f>
        <v>0</v>
      </c>
      <c r="DB147" s="413"/>
      <c r="DC147" s="414"/>
      <c r="DD147" s="412">
        <f t="shared" ref="DD147" si="97">IF($AO$35="Flat Surface",0,(ROUNDUP(($AE$45*BF58+20*(BF58-1)+$N$78*2-2*$N$82)/$AX$35,0)+1)*2*BF54)</f>
        <v>0</v>
      </c>
      <c r="DE147" s="413"/>
      <c r="DF147" s="414"/>
      <c r="DH147" s="311"/>
      <c r="DI147" s="311"/>
      <c r="DJ147" s="311"/>
      <c r="DK147" s="311"/>
      <c r="DL147" s="321"/>
      <c r="DM147" s="321"/>
      <c r="DN147" s="321"/>
      <c r="DO147" s="321"/>
      <c r="DP147" s="321"/>
      <c r="DQ147" s="321"/>
      <c r="DR147" s="321"/>
      <c r="DS147" s="321"/>
    </row>
    <row r="148" spans="1:123" ht="7.4" customHeight="1" x14ac:dyDescent="0.5">
      <c r="A148" s="42"/>
      <c r="B148" s="42"/>
      <c r="C148" s="311"/>
      <c r="D148" s="311"/>
      <c r="E148" s="41"/>
      <c r="F148" s="42"/>
      <c r="G148" s="319"/>
      <c r="H148" s="319"/>
      <c r="I148" s="319"/>
      <c r="J148" s="319"/>
      <c r="K148" s="319"/>
      <c r="L148" s="319"/>
      <c r="M148" s="319"/>
      <c r="N148" s="319"/>
      <c r="O148" s="319"/>
      <c r="P148" s="319"/>
      <c r="Q148" s="319"/>
      <c r="R148" s="320"/>
      <c r="S148" s="42"/>
      <c r="T148" s="405"/>
      <c r="U148" s="405"/>
      <c r="V148" s="405"/>
      <c r="W148" s="405"/>
      <c r="X148" s="405"/>
      <c r="Y148" s="405"/>
      <c r="Z148" s="405"/>
      <c r="AA148" s="405"/>
      <c r="AB148" s="405"/>
      <c r="AC148" s="405"/>
      <c r="AD148" s="405"/>
      <c r="AE148" s="405"/>
      <c r="AF148" s="405"/>
      <c r="AG148" s="405"/>
      <c r="AH148" s="405"/>
      <c r="AI148" s="405"/>
      <c r="AJ148" s="411"/>
      <c r="AK148" s="42"/>
      <c r="AL148" s="311"/>
      <c r="AM148" s="311"/>
      <c r="AN148" s="311"/>
      <c r="AO148" s="311"/>
      <c r="AP148" s="43"/>
      <c r="AQ148" s="111"/>
      <c r="AR148" s="309"/>
      <c r="AS148" s="309"/>
      <c r="AT148" s="309"/>
      <c r="AU148" s="309"/>
      <c r="AV148" s="309"/>
      <c r="AW148" s="309"/>
      <c r="AX148" s="309"/>
      <c r="AY148" s="309"/>
      <c r="AZ148" s="309"/>
      <c r="BA148" s="309"/>
      <c r="BB148" s="309"/>
      <c r="BC148" s="309"/>
      <c r="BD148" s="309"/>
      <c r="BE148" s="309"/>
      <c r="BF148" s="309"/>
      <c r="BG148" s="309"/>
      <c r="BH148" s="124"/>
      <c r="BI148" s="41"/>
      <c r="BK148" s="412"/>
      <c r="BL148" s="413"/>
      <c r="BM148" s="414"/>
      <c r="BN148" s="412"/>
      <c r="BO148" s="413"/>
      <c r="BP148" s="414"/>
      <c r="BQ148" s="412"/>
      <c r="BR148" s="413"/>
      <c r="BS148" s="414"/>
      <c r="BT148" s="412"/>
      <c r="BU148" s="413"/>
      <c r="BV148" s="414"/>
      <c r="BW148" s="412"/>
      <c r="BX148" s="413"/>
      <c r="BY148" s="414"/>
      <c r="BZ148" s="412"/>
      <c r="CA148" s="413"/>
      <c r="CB148" s="414"/>
      <c r="CC148" s="412"/>
      <c r="CD148" s="413"/>
      <c r="CE148" s="414"/>
      <c r="CF148" s="412"/>
      <c r="CG148" s="413"/>
      <c r="CH148" s="414"/>
      <c r="CI148" s="412"/>
      <c r="CJ148" s="413"/>
      <c r="CK148" s="414"/>
      <c r="CL148" s="412"/>
      <c r="CM148" s="413"/>
      <c r="CN148" s="414"/>
      <c r="CO148" s="412"/>
      <c r="CP148" s="413"/>
      <c r="CQ148" s="414"/>
      <c r="CR148" s="412"/>
      <c r="CS148" s="413"/>
      <c r="CT148" s="414"/>
      <c r="CU148" s="412"/>
      <c r="CV148" s="413"/>
      <c r="CW148" s="414"/>
      <c r="CX148" s="412"/>
      <c r="CY148" s="413"/>
      <c r="CZ148" s="414"/>
      <c r="DA148" s="412"/>
      <c r="DB148" s="413"/>
      <c r="DC148" s="414"/>
      <c r="DD148" s="412"/>
      <c r="DE148" s="413"/>
      <c r="DF148" s="414"/>
      <c r="DH148" s="311"/>
      <c r="DI148" s="311"/>
      <c r="DJ148" s="311"/>
      <c r="DK148" s="311"/>
      <c r="DL148" s="321"/>
      <c r="DM148" s="321"/>
      <c r="DN148" s="321"/>
      <c r="DO148" s="321"/>
      <c r="DP148" s="321"/>
      <c r="DQ148" s="321"/>
      <c r="DR148" s="321"/>
      <c r="DS148" s="321"/>
    </row>
    <row r="149" spans="1:123" ht="7.4" customHeight="1" x14ac:dyDescent="0.5">
      <c r="A149" s="42"/>
      <c r="B149" s="42"/>
      <c r="C149" s="333"/>
      <c r="D149" s="333"/>
      <c r="E149" s="41"/>
      <c r="F149" s="42"/>
      <c r="G149" s="56"/>
      <c r="H149" s="56"/>
      <c r="I149" s="56"/>
      <c r="J149" s="56"/>
      <c r="K149" s="56"/>
      <c r="L149" s="56"/>
      <c r="M149" s="56"/>
      <c r="N149" s="56"/>
      <c r="O149" s="56"/>
      <c r="P149" s="56"/>
      <c r="Q149" s="56"/>
      <c r="R149" s="126"/>
      <c r="S149" s="42"/>
      <c r="T149" s="116" t="str">
        <f>VLOOKUP(G147,PL!$B$9:$BH$1265,33,FALSE)</f>
        <v>Aluminium, Horizontal</v>
      </c>
      <c r="AJ149" s="41"/>
      <c r="AK149" s="42"/>
      <c r="AL149" s="311"/>
      <c r="AM149" s="311"/>
      <c r="AN149" s="311"/>
      <c r="AO149" s="311"/>
      <c r="AP149" s="43"/>
      <c r="AQ149" s="42"/>
      <c r="AR149" s="119"/>
      <c r="AS149" s="119"/>
      <c r="AT149" s="119"/>
      <c r="AU149" s="119"/>
      <c r="AV149" s="119"/>
      <c r="AW149" s="119"/>
      <c r="AX149" s="105"/>
      <c r="AZ149" s="119"/>
      <c r="BA149" s="119"/>
      <c r="BB149" s="119"/>
      <c r="BC149" s="119"/>
      <c r="BD149" s="119"/>
      <c r="BE149" s="119"/>
      <c r="BF149" s="119"/>
      <c r="BG149" s="119"/>
      <c r="BH149" s="124"/>
      <c r="BI149" s="41"/>
      <c r="BK149" s="194"/>
      <c r="BL149" s="123"/>
      <c r="BM149" s="195"/>
      <c r="BN149" s="194"/>
      <c r="BO149" s="123"/>
      <c r="BP149" s="195"/>
      <c r="BQ149" s="194"/>
      <c r="BR149" s="123"/>
      <c r="BS149" s="195"/>
      <c r="BT149" s="194"/>
      <c r="BU149" s="123"/>
      <c r="BV149" s="195"/>
      <c r="BW149" s="194"/>
      <c r="BX149" s="123"/>
      <c r="BY149" s="195"/>
      <c r="BZ149" s="194"/>
      <c r="CA149" s="123"/>
      <c r="CB149" s="195"/>
      <c r="CC149" s="194"/>
      <c r="CD149" s="123"/>
      <c r="CE149" s="195"/>
      <c r="CF149" s="194"/>
      <c r="CG149" s="123"/>
      <c r="CH149" s="195"/>
      <c r="CI149" s="194"/>
      <c r="CJ149" s="123"/>
      <c r="CK149" s="195"/>
      <c r="CL149" s="194"/>
      <c r="CM149" s="123"/>
      <c r="CN149" s="195"/>
      <c r="CO149" s="194"/>
      <c r="CP149" s="123"/>
      <c r="CQ149" s="195"/>
      <c r="CR149" s="194"/>
      <c r="CS149" s="123"/>
      <c r="CT149" s="195"/>
      <c r="CU149" s="194"/>
      <c r="CV149" s="123"/>
      <c r="CW149" s="195"/>
      <c r="CX149" s="194"/>
      <c r="CY149" s="123"/>
      <c r="CZ149" s="195"/>
      <c r="DA149" s="194"/>
      <c r="DB149" s="123"/>
      <c r="DC149" s="195"/>
      <c r="DD149" s="194"/>
      <c r="DE149" s="123"/>
      <c r="DF149" s="195"/>
      <c r="DH149" s="311"/>
      <c r="DI149" s="311"/>
      <c r="DJ149" s="311"/>
      <c r="DK149" s="311"/>
      <c r="DL149" s="321"/>
      <c r="DM149" s="321"/>
      <c r="DN149" s="321"/>
      <c r="DO149" s="321"/>
      <c r="DP149" s="321"/>
      <c r="DQ149" s="321"/>
      <c r="DR149" s="321"/>
      <c r="DS149" s="321"/>
    </row>
    <row r="150" spans="1:123" ht="7.4" customHeight="1" x14ac:dyDescent="0.5">
      <c r="A150" s="42"/>
      <c r="B150" s="42"/>
      <c r="C150" s="55"/>
      <c r="D150" s="55"/>
      <c r="E150" s="41"/>
      <c r="F150" s="42"/>
      <c r="G150" s="56"/>
      <c r="H150" s="56"/>
      <c r="I150" s="56"/>
      <c r="J150" s="56"/>
      <c r="K150" s="56"/>
      <c r="L150" s="56"/>
      <c r="M150" s="56"/>
      <c r="N150" s="56"/>
      <c r="O150" s="56"/>
      <c r="P150" s="56"/>
      <c r="Q150" s="56"/>
      <c r="R150" s="126"/>
      <c r="S150" s="42"/>
      <c r="AJ150" s="41"/>
      <c r="AK150" s="42"/>
      <c r="AL150" s="311"/>
      <c r="AM150" s="311"/>
      <c r="AN150" s="311"/>
      <c r="AO150" s="311"/>
      <c r="AP150" s="43"/>
      <c r="AQ150" s="42"/>
      <c r="AR150" s="119"/>
      <c r="AS150" s="119"/>
      <c r="AT150" s="119"/>
      <c r="AU150" s="119"/>
      <c r="AV150" s="119"/>
      <c r="AW150" s="119"/>
      <c r="AX150" s="105"/>
      <c r="AZ150" s="119"/>
      <c r="BA150" s="119"/>
      <c r="BB150" s="119"/>
      <c r="BC150" s="119"/>
      <c r="BD150" s="119"/>
      <c r="BE150" s="119"/>
      <c r="BF150" s="119"/>
      <c r="BG150" s="119"/>
      <c r="BH150" s="124"/>
      <c r="BI150" s="41"/>
      <c r="BK150" s="194"/>
      <c r="BL150" s="123"/>
      <c r="BM150" s="195"/>
      <c r="BN150" s="194"/>
      <c r="BO150" s="123"/>
      <c r="BP150" s="195"/>
      <c r="BQ150" s="194"/>
      <c r="BR150" s="123"/>
      <c r="BS150" s="195"/>
      <c r="BT150" s="194"/>
      <c r="BU150" s="123"/>
      <c r="BV150" s="195"/>
      <c r="BW150" s="194"/>
      <c r="BX150" s="123"/>
      <c r="BY150" s="195"/>
      <c r="BZ150" s="194"/>
      <c r="CA150" s="123"/>
      <c r="CB150" s="195"/>
      <c r="CC150" s="194"/>
      <c r="CD150" s="123"/>
      <c r="CE150" s="195"/>
      <c r="CF150" s="194"/>
      <c r="CG150" s="123"/>
      <c r="CH150" s="195"/>
      <c r="CI150" s="194"/>
      <c r="CJ150" s="123"/>
      <c r="CK150" s="195"/>
      <c r="CL150" s="194"/>
      <c r="CM150" s="123"/>
      <c r="CN150" s="195"/>
      <c r="CO150" s="194"/>
      <c r="CP150" s="123"/>
      <c r="CQ150" s="195"/>
      <c r="CR150" s="194"/>
      <c r="CS150" s="123"/>
      <c r="CT150" s="195"/>
      <c r="CU150" s="194"/>
      <c r="CV150" s="123"/>
      <c r="CW150" s="195"/>
      <c r="CX150" s="194"/>
      <c r="CY150" s="123"/>
      <c r="CZ150" s="195"/>
      <c r="DA150" s="194"/>
      <c r="DB150" s="123"/>
      <c r="DC150" s="195"/>
      <c r="DD150" s="194"/>
      <c r="DE150" s="123"/>
      <c r="DF150" s="195"/>
      <c r="DL150" s="105"/>
      <c r="DM150" s="105"/>
      <c r="DN150" s="105"/>
      <c r="DO150" s="105"/>
      <c r="DP150" s="105"/>
      <c r="DQ150" s="105"/>
      <c r="DR150" s="105"/>
      <c r="DS150" s="105"/>
    </row>
    <row r="151" spans="1:123" ht="7.4" customHeight="1" x14ac:dyDescent="0.5">
      <c r="A151" s="42"/>
      <c r="B151" s="42"/>
      <c r="C151" s="311">
        <f>C147+1</f>
        <v>9</v>
      </c>
      <c r="D151" s="311"/>
      <c r="E151" s="41"/>
      <c r="F151" s="42"/>
      <c r="G151" s="319" t="str">
        <f>IF(AL151=0,"N/A","AXE_EC_40_30_AL")</f>
        <v>N/A</v>
      </c>
      <c r="H151" s="319"/>
      <c r="I151" s="319"/>
      <c r="J151" s="319"/>
      <c r="K151" s="319"/>
      <c r="L151" s="319"/>
      <c r="M151" s="319"/>
      <c r="N151" s="319"/>
      <c r="O151" s="319"/>
      <c r="P151" s="319"/>
      <c r="Q151" s="319"/>
      <c r="R151" s="320"/>
      <c r="S151" s="42"/>
      <c r="T151" s="405" t="str">
        <f>VLOOKUP(G151,PL!$B$9:$BH$1265,14,FALSE)</f>
        <v>No Item</v>
      </c>
      <c r="U151" s="405"/>
      <c r="V151" s="405"/>
      <c r="W151" s="405"/>
      <c r="X151" s="405"/>
      <c r="Y151" s="405"/>
      <c r="Z151" s="405"/>
      <c r="AA151" s="405"/>
      <c r="AB151" s="405"/>
      <c r="AC151" s="405"/>
      <c r="AD151" s="405"/>
      <c r="AE151" s="405"/>
      <c r="AF151" s="405"/>
      <c r="AG151" s="405"/>
      <c r="AH151" s="405"/>
      <c r="AI151" s="405"/>
      <c r="AJ151" s="411"/>
      <c r="AK151" s="42"/>
      <c r="AL151" s="311">
        <f>ROUND(SUM(BK151:DF151),0)</f>
        <v>0</v>
      </c>
      <c r="AM151" s="311"/>
      <c r="AN151" s="311"/>
      <c r="AO151" s="311"/>
      <c r="AP151" s="43"/>
      <c r="AQ151" s="111"/>
      <c r="AR151" s="308" t="str">
        <f>VLOOKUP(G151,PL!$B$9:$BH$818,52,FALSE)</f>
        <v>-</v>
      </c>
      <c r="AS151" s="309"/>
      <c r="AT151" s="309"/>
      <c r="AU151" s="309"/>
      <c r="AV151" s="309"/>
      <c r="AW151" s="309"/>
      <c r="AX151" s="309"/>
      <c r="AY151" s="309"/>
      <c r="AZ151" s="309"/>
      <c r="BA151" s="309"/>
      <c r="BB151" s="309"/>
      <c r="BC151" s="309"/>
      <c r="BD151" s="309"/>
      <c r="BE151" s="309"/>
      <c r="BF151" s="309"/>
      <c r="BG151" s="309"/>
      <c r="BH151" s="124"/>
      <c r="BI151" s="41"/>
      <c r="BK151" s="412">
        <f>IF($AI$82="Included",1,0)*M54*4</f>
        <v>0</v>
      </c>
      <c r="BL151" s="413"/>
      <c r="BM151" s="414"/>
      <c r="BN151" s="412">
        <f>IF($AI$82="Included",1,0)*P54*4</f>
        <v>0</v>
      </c>
      <c r="BO151" s="413"/>
      <c r="BP151" s="414"/>
      <c r="BQ151" s="412">
        <f>IF($AI$82="Included",1,0)*S54*4</f>
        <v>0</v>
      </c>
      <c r="BR151" s="413"/>
      <c r="BS151" s="414"/>
      <c r="BT151" s="412">
        <f>IF($AI$82="Included",1,0)*V54*4</f>
        <v>0</v>
      </c>
      <c r="BU151" s="413"/>
      <c r="BV151" s="414"/>
      <c r="BW151" s="412">
        <f>IF($AI$82="Included",1,0)*Y54*4</f>
        <v>0</v>
      </c>
      <c r="BX151" s="413"/>
      <c r="BY151" s="414"/>
      <c r="BZ151" s="412">
        <f>IF($AI$82="Included",1,0)*AB54*4</f>
        <v>0</v>
      </c>
      <c r="CA151" s="413"/>
      <c r="CB151" s="414"/>
      <c r="CC151" s="412">
        <f>IF($AI$82="Included",1,0)*AE54*4</f>
        <v>0</v>
      </c>
      <c r="CD151" s="413"/>
      <c r="CE151" s="414"/>
      <c r="CF151" s="412">
        <f>IF($AI$82="Included",1,0)*AH54*4</f>
        <v>0</v>
      </c>
      <c r="CG151" s="413"/>
      <c r="CH151" s="414"/>
      <c r="CI151" s="412">
        <f>IF($AI$82="Included",1,0)*AK54*4</f>
        <v>0</v>
      </c>
      <c r="CJ151" s="413"/>
      <c r="CK151" s="414"/>
      <c r="CL151" s="412">
        <f>IF($AI$82="Included",1,0)*AN54*4</f>
        <v>0</v>
      </c>
      <c r="CM151" s="413"/>
      <c r="CN151" s="414"/>
      <c r="CO151" s="412">
        <f>IF($AI$82="Included",1,0)*AQ54*4</f>
        <v>0</v>
      </c>
      <c r="CP151" s="413"/>
      <c r="CQ151" s="414"/>
      <c r="CR151" s="412">
        <f>IF($AI$82="Included",1,0)*AT54*4</f>
        <v>0</v>
      </c>
      <c r="CS151" s="413"/>
      <c r="CT151" s="414"/>
      <c r="CU151" s="412">
        <f>IF($AI$82="Included",1,0)*AW54*4</f>
        <v>0</v>
      </c>
      <c r="CV151" s="413"/>
      <c r="CW151" s="414"/>
      <c r="CX151" s="412">
        <f>IF($AI$82="Included",1,0)*AZ54*4</f>
        <v>0</v>
      </c>
      <c r="CY151" s="413"/>
      <c r="CZ151" s="414"/>
      <c r="DA151" s="412">
        <f>IF($AI$82="Included",1,0)*BC54*4</f>
        <v>0</v>
      </c>
      <c r="DB151" s="413"/>
      <c r="DC151" s="414"/>
      <c r="DD151" s="412">
        <f>IF($AI$82="Included",1,0)*BF54*4</f>
        <v>0</v>
      </c>
      <c r="DE151" s="413"/>
      <c r="DF151" s="414"/>
      <c r="DH151" s="311"/>
      <c r="DI151" s="311"/>
      <c r="DJ151" s="311"/>
      <c r="DK151" s="311"/>
      <c r="DL151" s="321"/>
      <c r="DM151" s="321"/>
      <c r="DN151" s="321"/>
      <c r="DO151" s="321"/>
      <c r="DP151" s="321"/>
      <c r="DQ151" s="321"/>
      <c r="DR151" s="321"/>
      <c r="DS151" s="321"/>
    </row>
    <row r="152" spans="1:123" ht="7.4" customHeight="1" x14ac:dyDescent="0.5">
      <c r="A152" s="42"/>
      <c r="B152" s="42"/>
      <c r="C152" s="311"/>
      <c r="D152" s="311"/>
      <c r="E152" s="41"/>
      <c r="F152" s="42"/>
      <c r="G152" s="319"/>
      <c r="H152" s="319"/>
      <c r="I152" s="319"/>
      <c r="J152" s="319"/>
      <c r="K152" s="319"/>
      <c r="L152" s="319"/>
      <c r="M152" s="319"/>
      <c r="N152" s="319"/>
      <c r="O152" s="319"/>
      <c r="P152" s="319"/>
      <c r="Q152" s="319"/>
      <c r="R152" s="320"/>
      <c r="S152" s="42"/>
      <c r="T152" s="405"/>
      <c r="U152" s="405"/>
      <c r="V152" s="405"/>
      <c r="W152" s="405"/>
      <c r="X152" s="405"/>
      <c r="Y152" s="405"/>
      <c r="Z152" s="405"/>
      <c r="AA152" s="405"/>
      <c r="AB152" s="405"/>
      <c r="AC152" s="405"/>
      <c r="AD152" s="405"/>
      <c r="AE152" s="405"/>
      <c r="AF152" s="405"/>
      <c r="AG152" s="405"/>
      <c r="AH152" s="405"/>
      <c r="AI152" s="405"/>
      <c r="AJ152" s="411"/>
      <c r="AK152" s="42"/>
      <c r="AL152" s="311"/>
      <c r="AM152" s="311"/>
      <c r="AN152" s="311"/>
      <c r="AO152" s="311"/>
      <c r="AP152" s="43"/>
      <c r="AQ152" s="111"/>
      <c r="AR152" s="309"/>
      <c r="AS152" s="309"/>
      <c r="AT152" s="309"/>
      <c r="AU152" s="309"/>
      <c r="AV152" s="309"/>
      <c r="AW152" s="309"/>
      <c r="AX152" s="309"/>
      <c r="AY152" s="309"/>
      <c r="AZ152" s="309"/>
      <c r="BA152" s="309"/>
      <c r="BB152" s="309"/>
      <c r="BC152" s="309"/>
      <c r="BD152" s="309"/>
      <c r="BE152" s="309"/>
      <c r="BF152" s="309"/>
      <c r="BG152" s="309"/>
      <c r="BH152" s="124"/>
      <c r="BI152" s="41"/>
      <c r="BK152" s="412"/>
      <c r="BL152" s="413"/>
      <c r="BM152" s="414"/>
      <c r="BN152" s="412"/>
      <c r="BO152" s="413"/>
      <c r="BP152" s="414"/>
      <c r="BQ152" s="412"/>
      <c r="BR152" s="413"/>
      <c r="BS152" s="414"/>
      <c r="BT152" s="412"/>
      <c r="BU152" s="413"/>
      <c r="BV152" s="414"/>
      <c r="BW152" s="412"/>
      <c r="BX152" s="413"/>
      <c r="BY152" s="414"/>
      <c r="BZ152" s="412"/>
      <c r="CA152" s="413"/>
      <c r="CB152" s="414"/>
      <c r="CC152" s="412"/>
      <c r="CD152" s="413"/>
      <c r="CE152" s="414"/>
      <c r="CF152" s="412"/>
      <c r="CG152" s="413"/>
      <c r="CH152" s="414"/>
      <c r="CI152" s="412"/>
      <c r="CJ152" s="413"/>
      <c r="CK152" s="414"/>
      <c r="CL152" s="412"/>
      <c r="CM152" s="413"/>
      <c r="CN152" s="414"/>
      <c r="CO152" s="412"/>
      <c r="CP152" s="413"/>
      <c r="CQ152" s="414"/>
      <c r="CR152" s="412"/>
      <c r="CS152" s="413"/>
      <c r="CT152" s="414"/>
      <c r="CU152" s="412"/>
      <c r="CV152" s="413"/>
      <c r="CW152" s="414"/>
      <c r="CX152" s="412"/>
      <c r="CY152" s="413"/>
      <c r="CZ152" s="414"/>
      <c r="DA152" s="412"/>
      <c r="DB152" s="413"/>
      <c r="DC152" s="414"/>
      <c r="DD152" s="412"/>
      <c r="DE152" s="413"/>
      <c r="DF152" s="414"/>
      <c r="DH152" s="311"/>
      <c r="DI152" s="311"/>
      <c r="DJ152" s="311"/>
      <c r="DK152" s="311"/>
      <c r="DL152" s="321"/>
      <c r="DM152" s="321"/>
      <c r="DN152" s="321"/>
      <c r="DO152" s="321"/>
      <c r="DP152" s="321"/>
      <c r="DQ152" s="321"/>
      <c r="DR152" s="321"/>
      <c r="DS152" s="321"/>
    </row>
    <row r="153" spans="1:123" ht="7.4" customHeight="1" x14ac:dyDescent="0.5">
      <c r="A153" s="42"/>
      <c r="B153" s="42"/>
      <c r="C153" s="333"/>
      <c r="D153" s="333"/>
      <c r="E153" s="41"/>
      <c r="F153" s="42"/>
      <c r="G153" s="56"/>
      <c r="H153" s="56"/>
      <c r="I153" s="56"/>
      <c r="J153" s="56"/>
      <c r="K153" s="56"/>
      <c r="L153" s="56"/>
      <c r="M153" s="56"/>
      <c r="N153" s="56"/>
      <c r="O153" s="56"/>
      <c r="P153" s="56"/>
      <c r="Q153" s="56"/>
      <c r="R153" s="126"/>
      <c r="S153" s="42"/>
      <c r="T153" s="116" t="str">
        <f>VLOOKUP(G151,PL!$B$9:$BH$1265,33,FALSE)</f>
        <v>.</v>
      </c>
      <c r="AJ153" s="41"/>
      <c r="AK153" s="42"/>
      <c r="AL153" s="311"/>
      <c r="AM153" s="311"/>
      <c r="AN153" s="311"/>
      <c r="AO153" s="311"/>
      <c r="AP153" s="43"/>
      <c r="AQ153" s="42"/>
      <c r="AR153" s="119"/>
      <c r="AS153" s="119"/>
      <c r="AT153" s="119"/>
      <c r="AU153" s="119"/>
      <c r="AV153" s="119"/>
      <c r="AW153" s="119"/>
      <c r="AX153" s="105"/>
      <c r="AZ153" s="119"/>
      <c r="BA153" s="119"/>
      <c r="BB153" s="119"/>
      <c r="BC153" s="119"/>
      <c r="BD153" s="119"/>
      <c r="BE153" s="119"/>
      <c r="BF153" s="119"/>
      <c r="BG153" s="119"/>
      <c r="BH153" s="124"/>
      <c r="BI153" s="41"/>
      <c r="BK153" s="194"/>
      <c r="BL153" s="123"/>
      <c r="BM153" s="195"/>
      <c r="BN153" s="194"/>
      <c r="BO153" s="123"/>
      <c r="BP153" s="195"/>
      <c r="BQ153" s="194"/>
      <c r="BR153" s="123"/>
      <c r="BS153" s="195"/>
      <c r="BT153" s="194"/>
      <c r="BU153" s="123"/>
      <c r="BV153" s="195"/>
      <c r="BW153" s="194"/>
      <c r="BX153" s="123"/>
      <c r="BY153" s="195"/>
      <c r="BZ153" s="194"/>
      <c r="CA153" s="123"/>
      <c r="CB153" s="195"/>
      <c r="CC153" s="194"/>
      <c r="CD153" s="123"/>
      <c r="CE153" s="195"/>
      <c r="CF153" s="194"/>
      <c r="CG153" s="123"/>
      <c r="CH153" s="195"/>
      <c r="CI153" s="194"/>
      <c r="CJ153" s="123"/>
      <c r="CK153" s="195"/>
      <c r="CL153" s="194"/>
      <c r="CM153" s="123"/>
      <c r="CN153" s="195"/>
      <c r="CO153" s="194"/>
      <c r="CP153" s="123"/>
      <c r="CQ153" s="195"/>
      <c r="CR153" s="194"/>
      <c r="CS153" s="123"/>
      <c r="CT153" s="195"/>
      <c r="CU153" s="194"/>
      <c r="CV153" s="123"/>
      <c r="CW153" s="195"/>
      <c r="CX153" s="194"/>
      <c r="CY153" s="123"/>
      <c r="CZ153" s="195"/>
      <c r="DA153" s="194"/>
      <c r="DB153" s="123"/>
      <c r="DC153" s="195"/>
      <c r="DD153" s="194"/>
      <c r="DE153" s="123"/>
      <c r="DF153" s="195"/>
      <c r="DH153" s="311"/>
      <c r="DI153" s="311"/>
      <c r="DJ153" s="311"/>
      <c r="DK153" s="311"/>
      <c r="DL153" s="321"/>
      <c r="DM153" s="321"/>
      <c r="DN153" s="321"/>
      <c r="DO153" s="321"/>
      <c r="DP153" s="321"/>
      <c r="DQ153" s="321"/>
      <c r="DR153" s="321"/>
      <c r="DS153" s="321"/>
    </row>
    <row r="154" spans="1:123" ht="7.4" customHeight="1" x14ac:dyDescent="0.5">
      <c r="A154" s="42"/>
      <c r="B154" s="42"/>
      <c r="C154" s="333"/>
      <c r="D154" s="333"/>
      <c r="E154" s="41"/>
      <c r="F154" s="42"/>
      <c r="G154" s="56"/>
      <c r="H154" s="56"/>
      <c r="I154" s="56"/>
      <c r="J154" s="56"/>
      <c r="K154" s="56"/>
      <c r="L154" s="56"/>
      <c r="M154" s="56"/>
      <c r="N154" s="56"/>
      <c r="O154" s="56"/>
      <c r="P154" s="56"/>
      <c r="Q154" s="56"/>
      <c r="R154" s="126"/>
      <c r="S154" s="42"/>
      <c r="AJ154" s="41"/>
      <c r="AK154" s="42"/>
      <c r="AL154" s="311"/>
      <c r="AM154" s="311"/>
      <c r="AN154" s="311"/>
      <c r="AO154" s="311"/>
      <c r="AP154" s="43"/>
      <c r="AQ154" s="42"/>
      <c r="AR154" s="119"/>
      <c r="AS154" s="119"/>
      <c r="AT154" s="119"/>
      <c r="AU154" s="119"/>
      <c r="AV154" s="119"/>
      <c r="AW154" s="119"/>
      <c r="AX154" s="105"/>
      <c r="AZ154" s="119"/>
      <c r="BA154" s="119"/>
      <c r="BB154" s="119"/>
      <c r="BC154" s="119"/>
      <c r="BD154" s="119"/>
      <c r="BE154" s="119"/>
      <c r="BF154" s="119"/>
      <c r="BG154" s="119"/>
      <c r="BH154" s="124"/>
      <c r="BI154" s="41"/>
      <c r="BK154" s="194"/>
      <c r="BL154" s="123"/>
      <c r="BM154" s="195"/>
      <c r="BN154" s="194"/>
      <c r="BO154" s="123"/>
      <c r="BP154" s="195"/>
      <c r="BQ154" s="194"/>
      <c r="BR154" s="123"/>
      <c r="BS154" s="195"/>
      <c r="BT154" s="194"/>
      <c r="BU154" s="123"/>
      <c r="BV154" s="195"/>
      <c r="BW154" s="194"/>
      <c r="BX154" s="123"/>
      <c r="BY154" s="195"/>
      <c r="BZ154" s="194"/>
      <c r="CA154" s="123"/>
      <c r="CB154" s="195"/>
      <c r="CC154" s="194"/>
      <c r="CD154" s="123"/>
      <c r="CE154" s="195"/>
      <c r="CF154" s="194"/>
      <c r="CG154" s="123"/>
      <c r="CH154" s="195"/>
      <c r="CI154" s="194"/>
      <c r="CJ154" s="123"/>
      <c r="CK154" s="195"/>
      <c r="CL154" s="194"/>
      <c r="CM154" s="123"/>
      <c r="CN154" s="195"/>
      <c r="CO154" s="194"/>
      <c r="CP154" s="123"/>
      <c r="CQ154" s="195"/>
      <c r="CR154" s="194"/>
      <c r="CS154" s="123"/>
      <c r="CT154" s="195"/>
      <c r="CU154" s="194"/>
      <c r="CV154" s="123"/>
      <c r="CW154" s="195"/>
      <c r="CX154" s="194"/>
      <c r="CY154" s="123"/>
      <c r="CZ154" s="195"/>
      <c r="DA154" s="194"/>
      <c r="DB154" s="123"/>
      <c r="DC154" s="195"/>
      <c r="DD154" s="194"/>
      <c r="DE154" s="123"/>
      <c r="DF154" s="195"/>
      <c r="DH154" s="311"/>
      <c r="DI154" s="311"/>
      <c r="DJ154" s="311"/>
      <c r="DK154" s="311"/>
      <c r="DL154" s="321"/>
      <c r="DM154" s="321"/>
      <c r="DN154" s="321"/>
      <c r="DO154" s="321"/>
      <c r="DP154" s="321"/>
      <c r="DQ154" s="321"/>
      <c r="DR154" s="321"/>
      <c r="DS154" s="321"/>
    </row>
    <row r="155" spans="1:123" ht="7.4" customHeight="1" x14ac:dyDescent="0.5">
      <c r="A155" s="42"/>
      <c r="B155" s="42"/>
      <c r="C155" s="311">
        <f>C151+1</f>
        <v>10</v>
      </c>
      <c r="D155" s="311"/>
      <c r="E155" s="41"/>
      <c r="F155" s="42"/>
      <c r="G155" s="319" t="str">
        <f>IF(AL155=0,"N/A","AXE_CC_SS")</f>
        <v>N/A</v>
      </c>
      <c r="H155" s="319"/>
      <c r="I155" s="319"/>
      <c r="J155" s="319"/>
      <c r="K155" s="319"/>
      <c r="L155" s="319"/>
      <c r="M155" s="319"/>
      <c r="N155" s="319"/>
      <c r="O155" s="319"/>
      <c r="P155" s="319"/>
      <c r="Q155" s="319"/>
      <c r="R155" s="320"/>
      <c r="S155" s="42"/>
      <c r="T155" s="405" t="str">
        <f>VLOOKUP(G155,PL!$B$9:$BH$1265,14,FALSE)</f>
        <v>No Item</v>
      </c>
      <c r="U155" s="405"/>
      <c r="V155" s="405"/>
      <c r="W155" s="405"/>
      <c r="X155" s="405"/>
      <c r="Y155" s="405"/>
      <c r="Z155" s="405"/>
      <c r="AA155" s="405"/>
      <c r="AB155" s="405"/>
      <c r="AC155" s="405"/>
      <c r="AD155" s="405"/>
      <c r="AE155" s="405"/>
      <c r="AF155" s="405"/>
      <c r="AG155" s="405"/>
      <c r="AH155" s="405"/>
      <c r="AI155" s="405"/>
      <c r="AJ155" s="411"/>
      <c r="AK155" s="42"/>
      <c r="AL155" s="311">
        <f>ROUND(SUM(BK155:DF155)*(1+$BF$74),0)</f>
        <v>0</v>
      </c>
      <c r="AM155" s="311"/>
      <c r="AN155" s="311"/>
      <c r="AO155" s="311"/>
      <c r="AP155" s="43"/>
      <c r="AQ155" s="111"/>
      <c r="AR155" s="308" t="str">
        <f>VLOOKUP(G155,PL!$B$9:$BH$818,52,FALSE)</f>
        <v>-</v>
      </c>
      <c r="AS155" s="309"/>
      <c r="AT155" s="309"/>
      <c r="AU155" s="309"/>
      <c r="AV155" s="309"/>
      <c r="AW155" s="309"/>
      <c r="AX155" s="309"/>
      <c r="AY155" s="309"/>
      <c r="AZ155" s="309"/>
      <c r="BA155" s="309"/>
      <c r="BB155" s="309"/>
      <c r="BC155" s="309"/>
      <c r="BD155" s="309"/>
      <c r="BE155" s="309"/>
      <c r="BF155" s="309"/>
      <c r="BG155" s="309"/>
      <c r="BH155" s="124"/>
      <c r="BI155" s="41"/>
      <c r="BK155" s="412">
        <f>IF($AI$74="Included",1,0)*M58*M54</f>
        <v>0</v>
      </c>
      <c r="BL155" s="413"/>
      <c r="BM155" s="414"/>
      <c r="BN155" s="412">
        <f>IF($AI$74="Included",1,0)*P58*P54</f>
        <v>0</v>
      </c>
      <c r="BO155" s="413"/>
      <c r="BP155" s="414"/>
      <c r="BQ155" s="412">
        <f>IF($AI$74="Included",1,0)*S58*S54</f>
        <v>0</v>
      </c>
      <c r="BR155" s="413"/>
      <c r="BS155" s="414"/>
      <c r="BT155" s="412">
        <f>IF($AI$74="Included",1,0)*V58*V54</f>
        <v>0</v>
      </c>
      <c r="BU155" s="413"/>
      <c r="BV155" s="414"/>
      <c r="BW155" s="412">
        <f>IF($AI$74="Included",1,0)*Y58*Y54</f>
        <v>0</v>
      </c>
      <c r="BX155" s="413"/>
      <c r="BY155" s="414"/>
      <c r="BZ155" s="412">
        <f>IF($AI$74="Included",1,0)*AB58*AB54</f>
        <v>0</v>
      </c>
      <c r="CA155" s="413"/>
      <c r="CB155" s="414"/>
      <c r="CC155" s="412">
        <f>IF($AI$74="Included",1,0)*AE58*AE54</f>
        <v>0</v>
      </c>
      <c r="CD155" s="413"/>
      <c r="CE155" s="414"/>
      <c r="CF155" s="412">
        <f>IF($AI$74="Included",1,0)*AH58*AH54</f>
        <v>0</v>
      </c>
      <c r="CG155" s="413"/>
      <c r="CH155" s="414"/>
      <c r="CI155" s="412">
        <f>IF($AI$74="Included",1,0)*AK58*AK54</f>
        <v>0</v>
      </c>
      <c r="CJ155" s="413"/>
      <c r="CK155" s="414"/>
      <c r="CL155" s="412">
        <f>IF($AI$74="Included",1,0)*AN58*AN54</f>
        <v>0</v>
      </c>
      <c r="CM155" s="413"/>
      <c r="CN155" s="414"/>
      <c r="CO155" s="412">
        <f>IF($AI$74="Included",1,0)*AQ58*AQ54</f>
        <v>0</v>
      </c>
      <c r="CP155" s="413"/>
      <c r="CQ155" s="414"/>
      <c r="CR155" s="412">
        <f>IF($AI$74="Included",1,0)*AT58*AT54</f>
        <v>0</v>
      </c>
      <c r="CS155" s="413"/>
      <c r="CT155" s="414"/>
      <c r="CU155" s="412">
        <f>IF($AI$74="Included",1,0)*AW58*AW54</f>
        <v>0</v>
      </c>
      <c r="CV155" s="413"/>
      <c r="CW155" s="414"/>
      <c r="CX155" s="412">
        <f>IF($AI$74="Included",1,0)*AZ58*AZ54</f>
        <v>0</v>
      </c>
      <c r="CY155" s="413"/>
      <c r="CZ155" s="414"/>
      <c r="DA155" s="412">
        <f>IF($AI$74="Included",1,0)*BC58*BC54</f>
        <v>0</v>
      </c>
      <c r="DB155" s="413"/>
      <c r="DC155" s="414"/>
      <c r="DD155" s="412">
        <f>IF($AI$74="Included",1,0)*BF58*BF54</f>
        <v>0</v>
      </c>
      <c r="DE155" s="413"/>
      <c r="DF155" s="414"/>
      <c r="DH155" s="311"/>
      <c r="DI155" s="311"/>
      <c r="DJ155" s="311"/>
      <c r="DK155" s="311"/>
      <c r="DL155" s="321"/>
      <c r="DM155" s="321"/>
      <c r="DN155" s="321"/>
      <c r="DO155" s="321"/>
      <c r="DP155" s="321"/>
      <c r="DQ155" s="321"/>
      <c r="DR155" s="321"/>
      <c r="DS155" s="321"/>
    </row>
    <row r="156" spans="1:123" ht="7.4" customHeight="1" x14ac:dyDescent="0.5">
      <c r="A156" s="42"/>
      <c r="B156" s="42"/>
      <c r="C156" s="311"/>
      <c r="D156" s="311"/>
      <c r="E156" s="41"/>
      <c r="F156" s="42"/>
      <c r="G156" s="319"/>
      <c r="H156" s="319"/>
      <c r="I156" s="319"/>
      <c r="J156" s="319"/>
      <c r="K156" s="319"/>
      <c r="L156" s="319"/>
      <c r="M156" s="319"/>
      <c r="N156" s="319"/>
      <c r="O156" s="319"/>
      <c r="P156" s="319"/>
      <c r="Q156" s="319"/>
      <c r="R156" s="320"/>
      <c r="S156" s="42"/>
      <c r="T156" s="405"/>
      <c r="U156" s="405"/>
      <c r="V156" s="405"/>
      <c r="W156" s="405"/>
      <c r="X156" s="405"/>
      <c r="Y156" s="405"/>
      <c r="Z156" s="405"/>
      <c r="AA156" s="405"/>
      <c r="AB156" s="405"/>
      <c r="AC156" s="405"/>
      <c r="AD156" s="405"/>
      <c r="AE156" s="405"/>
      <c r="AF156" s="405"/>
      <c r="AG156" s="405"/>
      <c r="AH156" s="405"/>
      <c r="AI156" s="405"/>
      <c r="AJ156" s="411"/>
      <c r="AK156" s="42"/>
      <c r="AL156" s="311"/>
      <c r="AM156" s="311"/>
      <c r="AN156" s="311"/>
      <c r="AO156" s="311"/>
      <c r="AP156" s="43"/>
      <c r="AQ156" s="111"/>
      <c r="AR156" s="309"/>
      <c r="AS156" s="309"/>
      <c r="AT156" s="309"/>
      <c r="AU156" s="309"/>
      <c r="AV156" s="309"/>
      <c r="AW156" s="309"/>
      <c r="AX156" s="309"/>
      <c r="AY156" s="309"/>
      <c r="AZ156" s="309"/>
      <c r="BA156" s="309"/>
      <c r="BB156" s="309"/>
      <c r="BC156" s="309"/>
      <c r="BD156" s="309"/>
      <c r="BE156" s="309"/>
      <c r="BF156" s="309"/>
      <c r="BG156" s="309"/>
      <c r="BH156" s="124"/>
      <c r="BI156" s="41"/>
      <c r="BK156" s="412"/>
      <c r="BL156" s="413"/>
      <c r="BM156" s="414"/>
      <c r="BN156" s="412"/>
      <c r="BO156" s="413"/>
      <c r="BP156" s="414"/>
      <c r="BQ156" s="412"/>
      <c r="BR156" s="413"/>
      <c r="BS156" s="414"/>
      <c r="BT156" s="412"/>
      <c r="BU156" s="413"/>
      <c r="BV156" s="414"/>
      <c r="BW156" s="412"/>
      <c r="BX156" s="413"/>
      <c r="BY156" s="414"/>
      <c r="BZ156" s="412"/>
      <c r="CA156" s="413"/>
      <c r="CB156" s="414"/>
      <c r="CC156" s="412"/>
      <c r="CD156" s="413"/>
      <c r="CE156" s="414"/>
      <c r="CF156" s="412"/>
      <c r="CG156" s="413"/>
      <c r="CH156" s="414"/>
      <c r="CI156" s="412"/>
      <c r="CJ156" s="413"/>
      <c r="CK156" s="414"/>
      <c r="CL156" s="412"/>
      <c r="CM156" s="413"/>
      <c r="CN156" s="414"/>
      <c r="CO156" s="412"/>
      <c r="CP156" s="413"/>
      <c r="CQ156" s="414"/>
      <c r="CR156" s="412"/>
      <c r="CS156" s="413"/>
      <c r="CT156" s="414"/>
      <c r="CU156" s="412"/>
      <c r="CV156" s="413"/>
      <c r="CW156" s="414"/>
      <c r="CX156" s="412"/>
      <c r="CY156" s="413"/>
      <c r="CZ156" s="414"/>
      <c r="DA156" s="412"/>
      <c r="DB156" s="413"/>
      <c r="DC156" s="414"/>
      <c r="DD156" s="412"/>
      <c r="DE156" s="413"/>
      <c r="DF156" s="414"/>
      <c r="DH156" s="311"/>
      <c r="DI156" s="311"/>
      <c r="DJ156" s="311"/>
      <c r="DK156" s="311"/>
      <c r="DL156" s="321"/>
      <c r="DM156" s="321"/>
      <c r="DN156" s="321"/>
      <c r="DO156" s="321"/>
      <c r="DP156" s="321"/>
      <c r="DQ156" s="321"/>
      <c r="DR156" s="321"/>
      <c r="DS156" s="321"/>
    </row>
    <row r="157" spans="1:123" ht="7.4" customHeight="1" x14ac:dyDescent="0.5">
      <c r="A157" s="42"/>
      <c r="B157" s="42"/>
      <c r="C157" s="333"/>
      <c r="D157" s="333"/>
      <c r="E157" s="41"/>
      <c r="F157" s="42"/>
      <c r="G157" s="56"/>
      <c r="H157" s="56"/>
      <c r="I157" s="56"/>
      <c r="J157" s="56"/>
      <c r="K157" s="56"/>
      <c r="L157" s="56"/>
      <c r="M157" s="56"/>
      <c r="N157" s="56"/>
      <c r="O157" s="56"/>
      <c r="P157" s="56"/>
      <c r="Q157" s="56"/>
      <c r="R157" s="126"/>
      <c r="S157" s="42"/>
      <c r="T157" s="116" t="str">
        <f>VLOOKUP(G155,PL!$B$9:$BH$1265,33,FALSE)</f>
        <v>.</v>
      </c>
      <c r="AJ157" s="41"/>
      <c r="AK157" s="42"/>
      <c r="AL157" s="311"/>
      <c r="AM157" s="311"/>
      <c r="AN157" s="311"/>
      <c r="AO157" s="311"/>
      <c r="AP157" s="43"/>
      <c r="AQ157" s="42"/>
      <c r="AR157" s="119"/>
      <c r="AS157" s="119"/>
      <c r="AT157" s="119"/>
      <c r="AU157" s="119"/>
      <c r="AV157" s="119"/>
      <c r="AW157" s="119"/>
      <c r="AX157" s="105"/>
      <c r="AZ157" s="119"/>
      <c r="BA157" s="119"/>
      <c r="BB157" s="119"/>
      <c r="BC157" s="119"/>
      <c r="BD157" s="119"/>
      <c r="BE157" s="119"/>
      <c r="BF157" s="119"/>
      <c r="BG157" s="119"/>
      <c r="BH157" s="124"/>
      <c r="BI157" s="41"/>
      <c r="BK157" s="194"/>
      <c r="BL157" s="123"/>
      <c r="BM157" s="195"/>
      <c r="BN157" s="194"/>
      <c r="BO157" s="123"/>
      <c r="BP157" s="195"/>
      <c r="BQ157" s="194"/>
      <c r="BR157" s="123"/>
      <c r="BS157" s="195"/>
      <c r="BT157" s="194"/>
      <c r="BU157" s="123"/>
      <c r="BV157" s="195"/>
      <c r="BW157" s="194"/>
      <c r="BX157" s="123"/>
      <c r="BY157" s="195"/>
      <c r="BZ157" s="194"/>
      <c r="CA157" s="123"/>
      <c r="CB157" s="195"/>
      <c r="CC157" s="194"/>
      <c r="CD157" s="123"/>
      <c r="CE157" s="195"/>
      <c r="CF157" s="194"/>
      <c r="CG157" s="123"/>
      <c r="CH157" s="195"/>
      <c r="CI157" s="194"/>
      <c r="CJ157" s="123"/>
      <c r="CK157" s="195"/>
      <c r="CL157" s="194"/>
      <c r="CM157" s="123"/>
      <c r="CN157" s="195"/>
      <c r="CO157" s="194"/>
      <c r="CP157" s="123"/>
      <c r="CQ157" s="195"/>
      <c r="CR157" s="194"/>
      <c r="CS157" s="123"/>
      <c r="CT157" s="195"/>
      <c r="CU157" s="194"/>
      <c r="CV157" s="123"/>
      <c r="CW157" s="195"/>
      <c r="CX157" s="194"/>
      <c r="CY157" s="123"/>
      <c r="CZ157" s="195"/>
      <c r="DA157" s="194"/>
      <c r="DB157" s="123"/>
      <c r="DC157" s="195"/>
      <c r="DD157" s="194"/>
      <c r="DE157" s="123"/>
      <c r="DF157" s="195"/>
      <c r="DH157" s="311"/>
      <c r="DI157" s="311"/>
      <c r="DJ157" s="311"/>
      <c r="DK157" s="311"/>
      <c r="DL157" s="321"/>
      <c r="DM157" s="321"/>
      <c r="DN157" s="321"/>
      <c r="DO157" s="321"/>
      <c r="DP157" s="321"/>
      <c r="DQ157" s="321"/>
      <c r="DR157" s="321"/>
      <c r="DS157" s="321"/>
    </row>
    <row r="158" spans="1:123" ht="7.4" customHeight="1" x14ac:dyDescent="0.5">
      <c r="A158" s="42"/>
      <c r="B158" s="42"/>
      <c r="C158" s="55"/>
      <c r="D158" s="55"/>
      <c r="E158" s="41"/>
      <c r="F158" s="42"/>
      <c r="G158" s="56"/>
      <c r="H158" s="56"/>
      <c r="I158" s="56"/>
      <c r="J158" s="56"/>
      <c r="K158" s="56"/>
      <c r="L158" s="56"/>
      <c r="M158" s="56"/>
      <c r="N158" s="56"/>
      <c r="O158" s="56"/>
      <c r="P158" s="56"/>
      <c r="Q158" s="56"/>
      <c r="R158" s="126"/>
      <c r="S158" s="42"/>
      <c r="AJ158" s="41"/>
      <c r="AK158" s="42"/>
      <c r="AL158" s="311"/>
      <c r="AM158" s="311"/>
      <c r="AN158" s="311"/>
      <c r="AO158" s="311"/>
      <c r="AP158" s="43"/>
      <c r="AQ158" s="42"/>
      <c r="AR158" s="46"/>
      <c r="AS158" s="46"/>
      <c r="AT158" s="46"/>
      <c r="AU158" s="46"/>
      <c r="AV158" s="46"/>
      <c r="AW158" s="46"/>
      <c r="AX158" s="105"/>
      <c r="AZ158" s="119"/>
      <c r="BA158" s="119"/>
      <c r="BB158" s="119"/>
      <c r="BC158" s="119"/>
      <c r="BD158" s="119"/>
      <c r="BE158" s="119"/>
      <c r="BF158" s="119"/>
      <c r="BG158" s="119"/>
      <c r="BH158" s="124"/>
      <c r="BI158" s="124"/>
      <c r="BK158" s="194"/>
      <c r="BL158" s="123"/>
      <c r="BM158" s="195"/>
      <c r="BN158" s="194"/>
      <c r="BO158" s="123"/>
      <c r="BP158" s="195"/>
      <c r="BQ158" s="194"/>
      <c r="BR158" s="123"/>
      <c r="BS158" s="195"/>
      <c r="BT158" s="194"/>
      <c r="BU158" s="123"/>
      <c r="BV158" s="195"/>
      <c r="BW158" s="194"/>
      <c r="BX158" s="123"/>
      <c r="BY158" s="195"/>
      <c r="BZ158" s="194"/>
      <c r="CA158" s="123"/>
      <c r="CB158" s="195"/>
      <c r="CC158" s="194"/>
      <c r="CD158" s="123"/>
      <c r="CE158" s="195"/>
      <c r="CF158" s="194"/>
      <c r="CG158" s="123"/>
      <c r="CH158" s="195"/>
      <c r="CI158" s="194"/>
      <c r="CJ158" s="123"/>
      <c r="CK158" s="195"/>
      <c r="CL158" s="194"/>
      <c r="CM158" s="123"/>
      <c r="CN158" s="195"/>
      <c r="CO158" s="194"/>
      <c r="CP158" s="123"/>
      <c r="CQ158" s="195"/>
      <c r="CR158" s="194"/>
      <c r="CS158" s="123"/>
      <c r="CT158" s="195"/>
      <c r="CU158" s="194"/>
      <c r="CV158" s="123"/>
      <c r="CW158" s="195"/>
      <c r="CX158" s="194"/>
      <c r="CY158" s="123"/>
      <c r="CZ158" s="195"/>
      <c r="DA158" s="194"/>
      <c r="DB158" s="123"/>
      <c r="DC158" s="195"/>
      <c r="DD158" s="194"/>
      <c r="DE158" s="123"/>
      <c r="DF158" s="195"/>
      <c r="DL158" s="105"/>
      <c r="DM158" s="105"/>
      <c r="DN158" s="105"/>
      <c r="DO158" s="105"/>
      <c r="DP158" s="105"/>
      <c r="DQ158" s="105"/>
      <c r="DR158" s="105"/>
      <c r="DS158" s="105"/>
    </row>
    <row r="159" spans="1:123" ht="7.4" customHeight="1" x14ac:dyDescent="0.5">
      <c r="A159" s="42"/>
      <c r="B159" s="42"/>
      <c r="C159" s="311">
        <f>C155+1</f>
        <v>11</v>
      </c>
      <c r="D159" s="311"/>
      <c r="E159" s="41"/>
      <c r="F159" s="42"/>
      <c r="G159" s="319" t="str">
        <f>IF(AL159=0,"N/A","AXE_EL_AL")</f>
        <v>N/A</v>
      </c>
      <c r="H159" s="319"/>
      <c r="I159" s="319"/>
      <c r="J159" s="319"/>
      <c r="K159" s="319"/>
      <c r="L159" s="319"/>
      <c r="M159" s="319"/>
      <c r="N159" s="319"/>
      <c r="O159" s="319"/>
      <c r="P159" s="319"/>
      <c r="Q159" s="319"/>
      <c r="R159" s="320"/>
      <c r="S159" s="42"/>
      <c r="T159" s="405" t="str">
        <f>VLOOKUP(G159,PL!$B$9:$BH$1265,14,FALSE)</f>
        <v>No Item</v>
      </c>
      <c r="U159" s="405"/>
      <c r="V159" s="405"/>
      <c r="W159" s="405"/>
      <c r="X159" s="405"/>
      <c r="Y159" s="405"/>
      <c r="Z159" s="405"/>
      <c r="AA159" s="405"/>
      <c r="AB159" s="405"/>
      <c r="AC159" s="405"/>
      <c r="AD159" s="405"/>
      <c r="AE159" s="405"/>
      <c r="AF159" s="405"/>
      <c r="AG159" s="405"/>
      <c r="AH159" s="405"/>
      <c r="AI159" s="405"/>
      <c r="AJ159" s="411"/>
      <c r="AK159" s="42"/>
      <c r="AL159" s="311">
        <f>ROUND(SUM(BK159:DF159)*(1+$BF$80),0)</f>
        <v>0</v>
      </c>
      <c r="AM159" s="311"/>
      <c r="AN159" s="311"/>
      <c r="AO159" s="311"/>
      <c r="AP159" s="43"/>
      <c r="AQ159" s="111"/>
      <c r="AR159" s="308" t="str">
        <f>VLOOKUP(G159,PL!$B$9:$BH$818,52,FALSE)</f>
        <v>-</v>
      </c>
      <c r="AS159" s="309"/>
      <c r="AT159" s="309"/>
      <c r="AU159" s="309"/>
      <c r="AV159" s="309"/>
      <c r="AW159" s="309"/>
      <c r="AX159" s="309"/>
      <c r="AY159" s="309"/>
      <c r="AZ159" s="309"/>
      <c r="BA159" s="309"/>
      <c r="BB159" s="309"/>
      <c r="BC159" s="309"/>
      <c r="BD159" s="309"/>
      <c r="BE159" s="309"/>
      <c r="BF159" s="309"/>
      <c r="BG159" s="309"/>
      <c r="BH159" s="124"/>
      <c r="BI159" s="124"/>
      <c r="BK159" s="412">
        <f>IF($AI$86="Included",1,0)*M54</f>
        <v>0</v>
      </c>
      <c r="BL159" s="413"/>
      <c r="BM159" s="414"/>
      <c r="BN159" s="412">
        <f>IF($AI$86="Included",1,0)*P54</f>
        <v>0</v>
      </c>
      <c r="BO159" s="413"/>
      <c r="BP159" s="414"/>
      <c r="BQ159" s="412">
        <f>IF($AI$86="Included",1,0)*S54</f>
        <v>0</v>
      </c>
      <c r="BR159" s="413"/>
      <c r="BS159" s="414"/>
      <c r="BT159" s="412">
        <f>IF($AI$86="Included",1,0)*V54</f>
        <v>0</v>
      </c>
      <c r="BU159" s="413"/>
      <c r="BV159" s="414"/>
      <c r="BW159" s="412">
        <f>IF($AI$86="Included",1,0)*Y54</f>
        <v>0</v>
      </c>
      <c r="BX159" s="413"/>
      <c r="BY159" s="414"/>
      <c r="BZ159" s="412">
        <f>IF($AI$86="Included",1,0)*AB54</f>
        <v>0</v>
      </c>
      <c r="CA159" s="413"/>
      <c r="CB159" s="414"/>
      <c r="CC159" s="412">
        <f>IF($AI$86="Included",1,0)*AE54</f>
        <v>0</v>
      </c>
      <c r="CD159" s="413"/>
      <c r="CE159" s="414"/>
      <c r="CF159" s="412">
        <f>IF($AI$86="Included",1,0)*AH54</f>
        <v>0</v>
      </c>
      <c r="CG159" s="413"/>
      <c r="CH159" s="414"/>
      <c r="CI159" s="412">
        <f>IF($AI$86="Included",1,0)*AK54</f>
        <v>0</v>
      </c>
      <c r="CJ159" s="413"/>
      <c r="CK159" s="414"/>
      <c r="CL159" s="412">
        <f>IF($AI$86="Included",1,0)*AN54</f>
        <v>0</v>
      </c>
      <c r="CM159" s="413"/>
      <c r="CN159" s="414"/>
      <c r="CO159" s="412">
        <f>IF($AI$86="Included",1,0)*AQ54</f>
        <v>0</v>
      </c>
      <c r="CP159" s="413"/>
      <c r="CQ159" s="414"/>
      <c r="CR159" s="412">
        <f>IF($AI$86="Included",1,0)*AT54</f>
        <v>0</v>
      </c>
      <c r="CS159" s="413"/>
      <c r="CT159" s="414"/>
      <c r="CU159" s="412">
        <f>IF($AI$86="Included",1,0)*AW54</f>
        <v>0</v>
      </c>
      <c r="CV159" s="413"/>
      <c r="CW159" s="414"/>
      <c r="CX159" s="412">
        <f>IF($AI$86="Included",1,0)*AZ54</f>
        <v>0</v>
      </c>
      <c r="CY159" s="413"/>
      <c r="CZ159" s="414"/>
      <c r="DA159" s="412">
        <f>IF($AI$86="Included",1,0)*BC54</f>
        <v>0</v>
      </c>
      <c r="DB159" s="413"/>
      <c r="DC159" s="414"/>
      <c r="DD159" s="412">
        <f>IF($AI$86="Included",1,0)*BF54</f>
        <v>0</v>
      </c>
      <c r="DE159" s="413"/>
      <c r="DF159" s="414"/>
      <c r="DH159" s="311"/>
      <c r="DI159" s="311"/>
      <c r="DJ159" s="311"/>
      <c r="DK159" s="311"/>
      <c r="DL159" s="321"/>
      <c r="DM159" s="321"/>
      <c r="DN159" s="321"/>
      <c r="DO159" s="321"/>
      <c r="DP159" s="321"/>
      <c r="DQ159" s="321"/>
      <c r="DR159" s="321"/>
      <c r="DS159" s="321"/>
    </row>
    <row r="160" spans="1:123" ht="7.4" customHeight="1" x14ac:dyDescent="0.5">
      <c r="A160" s="42"/>
      <c r="B160" s="42"/>
      <c r="C160" s="311"/>
      <c r="D160" s="311"/>
      <c r="E160" s="41"/>
      <c r="F160" s="42"/>
      <c r="G160" s="319"/>
      <c r="H160" s="319"/>
      <c r="I160" s="319"/>
      <c r="J160" s="319"/>
      <c r="K160" s="319"/>
      <c r="L160" s="319"/>
      <c r="M160" s="319"/>
      <c r="N160" s="319"/>
      <c r="O160" s="319"/>
      <c r="P160" s="319"/>
      <c r="Q160" s="319"/>
      <c r="R160" s="320"/>
      <c r="S160" s="42"/>
      <c r="T160" s="405"/>
      <c r="U160" s="405"/>
      <c r="V160" s="405"/>
      <c r="W160" s="405"/>
      <c r="X160" s="405"/>
      <c r="Y160" s="405"/>
      <c r="Z160" s="405"/>
      <c r="AA160" s="405"/>
      <c r="AB160" s="405"/>
      <c r="AC160" s="405"/>
      <c r="AD160" s="405"/>
      <c r="AE160" s="405"/>
      <c r="AF160" s="405"/>
      <c r="AG160" s="405"/>
      <c r="AH160" s="405"/>
      <c r="AI160" s="405"/>
      <c r="AJ160" s="411"/>
      <c r="AK160" s="42"/>
      <c r="AL160" s="311"/>
      <c r="AM160" s="311"/>
      <c r="AN160" s="311"/>
      <c r="AO160" s="311"/>
      <c r="AP160" s="43"/>
      <c r="AQ160" s="111"/>
      <c r="AR160" s="309"/>
      <c r="AS160" s="309"/>
      <c r="AT160" s="309"/>
      <c r="AU160" s="309"/>
      <c r="AV160" s="309"/>
      <c r="AW160" s="309"/>
      <c r="AX160" s="309"/>
      <c r="AY160" s="309"/>
      <c r="AZ160" s="309"/>
      <c r="BA160" s="309"/>
      <c r="BB160" s="309"/>
      <c r="BC160" s="309"/>
      <c r="BD160" s="309"/>
      <c r="BE160" s="309"/>
      <c r="BF160" s="309"/>
      <c r="BG160" s="309"/>
      <c r="BH160" s="124"/>
      <c r="BI160" s="124"/>
      <c r="BK160" s="412"/>
      <c r="BL160" s="413"/>
      <c r="BM160" s="414"/>
      <c r="BN160" s="412"/>
      <c r="BO160" s="413"/>
      <c r="BP160" s="414"/>
      <c r="BQ160" s="412"/>
      <c r="BR160" s="413"/>
      <c r="BS160" s="414"/>
      <c r="BT160" s="412"/>
      <c r="BU160" s="413"/>
      <c r="BV160" s="414"/>
      <c r="BW160" s="412"/>
      <c r="BX160" s="413"/>
      <c r="BY160" s="414"/>
      <c r="BZ160" s="412"/>
      <c r="CA160" s="413"/>
      <c r="CB160" s="414"/>
      <c r="CC160" s="412"/>
      <c r="CD160" s="413"/>
      <c r="CE160" s="414"/>
      <c r="CF160" s="412"/>
      <c r="CG160" s="413"/>
      <c r="CH160" s="414"/>
      <c r="CI160" s="412"/>
      <c r="CJ160" s="413"/>
      <c r="CK160" s="414"/>
      <c r="CL160" s="412"/>
      <c r="CM160" s="413"/>
      <c r="CN160" s="414"/>
      <c r="CO160" s="412"/>
      <c r="CP160" s="413"/>
      <c r="CQ160" s="414"/>
      <c r="CR160" s="412"/>
      <c r="CS160" s="413"/>
      <c r="CT160" s="414"/>
      <c r="CU160" s="412"/>
      <c r="CV160" s="413"/>
      <c r="CW160" s="414"/>
      <c r="CX160" s="412"/>
      <c r="CY160" s="413"/>
      <c r="CZ160" s="414"/>
      <c r="DA160" s="412"/>
      <c r="DB160" s="413"/>
      <c r="DC160" s="414"/>
      <c r="DD160" s="412"/>
      <c r="DE160" s="413"/>
      <c r="DF160" s="414"/>
      <c r="DH160" s="311"/>
      <c r="DI160" s="311"/>
      <c r="DJ160" s="311"/>
      <c r="DK160" s="311"/>
      <c r="DL160" s="321"/>
      <c r="DM160" s="321"/>
      <c r="DN160" s="321"/>
      <c r="DO160" s="321"/>
      <c r="DP160" s="321"/>
      <c r="DQ160" s="321"/>
      <c r="DR160" s="321"/>
      <c r="DS160" s="321"/>
    </row>
    <row r="161" spans="1:123" ht="7.4" customHeight="1" x14ac:dyDescent="0.5">
      <c r="A161" s="42"/>
      <c r="B161" s="42"/>
      <c r="C161" s="333"/>
      <c r="D161" s="333"/>
      <c r="E161" s="41"/>
      <c r="F161" s="42"/>
      <c r="G161" s="56"/>
      <c r="H161" s="56"/>
      <c r="I161" s="56"/>
      <c r="J161" s="56"/>
      <c r="K161" s="56"/>
      <c r="L161" s="56"/>
      <c r="M161" s="56"/>
      <c r="N161" s="56"/>
      <c r="O161" s="56"/>
      <c r="P161" s="56"/>
      <c r="Q161" s="56"/>
      <c r="R161" s="126"/>
      <c r="S161" s="42"/>
      <c r="T161" s="116" t="str">
        <f>VLOOKUP(G159,PL!$B$9:$BH$1265,33,FALSE)</f>
        <v>.</v>
      </c>
      <c r="AJ161" s="41"/>
      <c r="AK161" s="42"/>
      <c r="AL161" s="311"/>
      <c r="AM161" s="311"/>
      <c r="AN161" s="311"/>
      <c r="AO161" s="311"/>
      <c r="AP161" s="43"/>
      <c r="AQ161" s="42"/>
      <c r="AR161" s="46"/>
      <c r="AS161" s="46"/>
      <c r="AT161" s="46"/>
      <c r="AU161" s="46"/>
      <c r="AV161" s="46"/>
      <c r="AW161" s="46"/>
      <c r="AX161" s="105"/>
      <c r="AZ161" s="119"/>
      <c r="BA161" s="119"/>
      <c r="BB161" s="119"/>
      <c r="BC161" s="119"/>
      <c r="BD161" s="119"/>
      <c r="BE161" s="119"/>
      <c r="BF161" s="119"/>
      <c r="BG161" s="119"/>
      <c r="BH161" s="124"/>
      <c r="BI161" s="124"/>
      <c r="BK161" s="194"/>
      <c r="BL161" s="123"/>
      <c r="BM161" s="195"/>
      <c r="BN161" s="194"/>
      <c r="BO161" s="123"/>
      <c r="BP161" s="195"/>
      <c r="BQ161" s="194"/>
      <c r="BR161" s="123"/>
      <c r="BS161" s="195"/>
      <c r="BT161" s="194"/>
      <c r="BU161" s="123"/>
      <c r="BV161" s="195"/>
      <c r="BW161" s="194"/>
      <c r="BX161" s="123"/>
      <c r="BY161" s="195"/>
      <c r="BZ161" s="194"/>
      <c r="CA161" s="123"/>
      <c r="CB161" s="195"/>
      <c r="CC161" s="194"/>
      <c r="CD161" s="123"/>
      <c r="CE161" s="195"/>
      <c r="CF161" s="194"/>
      <c r="CG161" s="123"/>
      <c r="CH161" s="195"/>
      <c r="CI161" s="194"/>
      <c r="CJ161" s="123"/>
      <c r="CK161" s="195"/>
      <c r="CL161" s="194"/>
      <c r="CM161" s="123"/>
      <c r="CN161" s="195"/>
      <c r="CO161" s="194"/>
      <c r="CP161" s="123"/>
      <c r="CQ161" s="195"/>
      <c r="CR161" s="194"/>
      <c r="CS161" s="123"/>
      <c r="CT161" s="195"/>
      <c r="CU161" s="194"/>
      <c r="CV161" s="123"/>
      <c r="CW161" s="195"/>
      <c r="CX161" s="194"/>
      <c r="CY161" s="123"/>
      <c r="CZ161" s="195"/>
      <c r="DA161" s="194"/>
      <c r="DB161" s="123"/>
      <c r="DC161" s="195"/>
      <c r="DD161" s="194"/>
      <c r="DE161" s="123"/>
      <c r="DF161" s="195"/>
      <c r="DH161" s="311"/>
      <c r="DI161" s="311"/>
      <c r="DJ161" s="311"/>
      <c r="DK161" s="311"/>
      <c r="DL161" s="321"/>
      <c r="DM161" s="321"/>
      <c r="DN161" s="321"/>
      <c r="DO161" s="321"/>
      <c r="DP161" s="321"/>
      <c r="DQ161" s="321"/>
      <c r="DR161" s="321"/>
      <c r="DS161" s="321"/>
    </row>
    <row r="162" spans="1:123" ht="7.4" customHeight="1" x14ac:dyDescent="0.5">
      <c r="A162" s="42"/>
      <c r="B162" s="42"/>
      <c r="C162" s="333"/>
      <c r="D162" s="333"/>
      <c r="E162" s="41"/>
      <c r="F162" s="42"/>
      <c r="G162" s="56"/>
      <c r="H162" s="56"/>
      <c r="I162" s="56"/>
      <c r="J162" s="56"/>
      <c r="K162" s="56"/>
      <c r="L162" s="56"/>
      <c r="M162" s="56"/>
      <c r="N162" s="56"/>
      <c r="O162" s="56"/>
      <c r="P162" s="56"/>
      <c r="Q162" s="56"/>
      <c r="R162" s="126"/>
      <c r="S162" s="42"/>
      <c r="AJ162" s="41"/>
      <c r="AK162" s="42"/>
      <c r="AL162" s="311"/>
      <c r="AM162" s="311"/>
      <c r="AN162" s="311"/>
      <c r="AO162" s="311"/>
      <c r="AP162" s="43"/>
      <c r="AQ162" s="42"/>
      <c r="AR162" s="119"/>
      <c r="AS162" s="119"/>
      <c r="AT162" s="119"/>
      <c r="AU162" s="119"/>
      <c r="AV162" s="119"/>
      <c r="AW162" s="119"/>
      <c r="AX162" s="105"/>
      <c r="AZ162" s="119"/>
      <c r="BA162" s="119"/>
      <c r="BB162" s="119"/>
      <c r="BC162" s="119"/>
      <c r="BD162" s="119"/>
      <c r="BE162" s="119"/>
      <c r="BF162" s="119"/>
      <c r="BG162" s="119"/>
      <c r="BH162" s="124"/>
      <c r="BI162" s="41"/>
      <c r="BK162" s="194"/>
      <c r="BL162" s="123"/>
      <c r="BM162" s="195"/>
      <c r="BN162" s="194"/>
      <c r="BO162" s="123"/>
      <c r="BP162" s="195"/>
      <c r="BQ162" s="194"/>
      <c r="BR162" s="123"/>
      <c r="BS162" s="195"/>
      <c r="BT162" s="194"/>
      <c r="BU162" s="123"/>
      <c r="BV162" s="195"/>
      <c r="BW162" s="194"/>
      <c r="BX162" s="123"/>
      <c r="BY162" s="195"/>
      <c r="BZ162" s="194"/>
      <c r="CA162" s="123"/>
      <c r="CB162" s="195"/>
      <c r="CC162" s="194"/>
      <c r="CD162" s="123"/>
      <c r="CE162" s="195"/>
      <c r="CF162" s="194"/>
      <c r="CG162" s="123"/>
      <c r="CH162" s="195"/>
      <c r="CI162" s="194"/>
      <c r="CJ162" s="123"/>
      <c r="CK162" s="195"/>
      <c r="CL162" s="194"/>
      <c r="CM162" s="123"/>
      <c r="CN162" s="195"/>
      <c r="CO162" s="194"/>
      <c r="CP162" s="123"/>
      <c r="CQ162" s="195"/>
      <c r="CR162" s="194"/>
      <c r="CS162" s="123"/>
      <c r="CT162" s="195"/>
      <c r="CU162" s="194"/>
      <c r="CV162" s="123"/>
      <c r="CW162" s="195"/>
      <c r="CX162" s="194"/>
      <c r="CY162" s="123"/>
      <c r="CZ162" s="195"/>
      <c r="DA162" s="194"/>
      <c r="DB162" s="123"/>
      <c r="DC162" s="195"/>
      <c r="DD162" s="194"/>
      <c r="DE162" s="123"/>
      <c r="DF162" s="195"/>
      <c r="DH162" s="311"/>
      <c r="DI162" s="311"/>
      <c r="DJ162" s="311"/>
      <c r="DK162" s="311"/>
      <c r="DL162" s="321"/>
      <c r="DM162" s="321"/>
      <c r="DN162" s="321"/>
      <c r="DO162" s="321"/>
      <c r="DP162" s="321"/>
      <c r="DQ162" s="321"/>
      <c r="DR162" s="321"/>
      <c r="DS162" s="321"/>
    </row>
    <row r="163" spans="1:123" ht="7.4" customHeight="1" x14ac:dyDescent="0.5">
      <c r="A163" s="42"/>
      <c r="B163" s="42"/>
      <c r="C163" s="311">
        <f>C159+1</f>
        <v>12</v>
      </c>
      <c r="D163" s="311"/>
      <c r="E163" s="41"/>
      <c r="F163" s="42"/>
      <c r="G163" s="319" t="str">
        <f>IF(AL163=0,"N/A","AXE_CS_8_20"&amp;"_SS")</f>
        <v>N/A</v>
      </c>
      <c r="H163" s="319"/>
      <c r="I163" s="319"/>
      <c r="J163" s="319"/>
      <c r="K163" s="319"/>
      <c r="L163" s="319"/>
      <c r="M163" s="319"/>
      <c r="N163" s="319"/>
      <c r="O163" s="319"/>
      <c r="P163" s="319"/>
      <c r="Q163" s="319"/>
      <c r="R163" s="320"/>
      <c r="S163" s="42"/>
      <c r="T163" s="405" t="str">
        <f>VLOOKUP(G163,PL!$B$9:$BH$1265,14,FALSE)</f>
        <v>No Item</v>
      </c>
      <c r="U163" s="405"/>
      <c r="V163" s="405"/>
      <c r="W163" s="405"/>
      <c r="X163" s="405"/>
      <c r="Y163" s="405"/>
      <c r="Z163" s="405"/>
      <c r="AA163" s="405"/>
      <c r="AB163" s="405"/>
      <c r="AC163" s="405"/>
      <c r="AD163" s="405"/>
      <c r="AE163" s="405"/>
      <c r="AF163" s="405"/>
      <c r="AG163" s="405"/>
      <c r="AH163" s="405"/>
      <c r="AI163" s="405"/>
      <c r="AJ163" s="411"/>
      <c r="AK163" s="42"/>
      <c r="AL163" s="311">
        <f>ROUND(SUM(BK163:DF163)*(1+$BF$80),0)</f>
        <v>0</v>
      </c>
      <c r="AM163" s="311"/>
      <c r="AN163" s="311"/>
      <c r="AO163" s="311"/>
      <c r="AP163" s="43"/>
      <c r="AQ163" s="111"/>
      <c r="AR163" s="308" t="str">
        <f>VLOOKUP(G163,PL!$B$9:$BH$818,52,FALSE)</f>
        <v>-</v>
      </c>
      <c r="AS163" s="309"/>
      <c r="AT163" s="309"/>
      <c r="AU163" s="309"/>
      <c r="AV163" s="309"/>
      <c r="AW163" s="309"/>
      <c r="AX163" s="309"/>
      <c r="AY163" s="309"/>
      <c r="AZ163" s="309"/>
      <c r="BA163" s="309"/>
      <c r="BB163" s="309"/>
      <c r="BC163" s="309"/>
      <c r="BD163" s="309"/>
      <c r="BE163" s="309"/>
      <c r="BF163" s="309"/>
      <c r="BG163" s="309"/>
      <c r="BH163" s="124"/>
      <c r="BI163" s="41"/>
      <c r="BK163" s="412">
        <f>IF($AI$82="Included",1,0)*M54*4
+IF(OR(MID($G$147,8,2)="PF",MID($G$147,8,2)="RS",MID($G$147,8,2)="RF"),BK147,0)</f>
        <v>0</v>
      </c>
      <c r="BL163" s="413"/>
      <c r="BM163" s="414"/>
      <c r="BN163" s="412">
        <f t="shared" ref="BN163" si="98">IF($AI$82="Included",1,0)*P54*4
+IF(OR(MID($G$147,8,2)="PF",MID($G$147,8,2)="RS",MID($G$147,8,2)="RF"),BN147,0)</f>
        <v>0</v>
      </c>
      <c r="BO163" s="413"/>
      <c r="BP163" s="414"/>
      <c r="BQ163" s="412">
        <f t="shared" ref="BQ163" si="99">IF($AI$82="Included",1,0)*S54*4
+IF(OR(MID($G$147,8,2)="PF",MID($G$147,8,2)="RS",MID($G$147,8,2)="RF"),BQ147,0)</f>
        <v>0</v>
      </c>
      <c r="BR163" s="413"/>
      <c r="BS163" s="414"/>
      <c r="BT163" s="412">
        <f t="shared" ref="BT163" si="100">IF($AI$82="Included",1,0)*V54*4
+IF(OR(MID($G$147,8,2)="PF",MID($G$147,8,2)="RS",MID($G$147,8,2)="RF"),BT147,0)</f>
        <v>0</v>
      </c>
      <c r="BU163" s="413"/>
      <c r="BV163" s="414"/>
      <c r="BW163" s="412">
        <f t="shared" ref="BW163" si="101">IF($AI$82="Included",1,0)*Y54*4
+IF(OR(MID($G$147,8,2)="PF",MID($G$147,8,2)="RS",MID($G$147,8,2)="RF"),BW147,0)</f>
        <v>0</v>
      </c>
      <c r="BX163" s="413"/>
      <c r="BY163" s="414"/>
      <c r="BZ163" s="412">
        <f t="shared" ref="BZ163" si="102">IF($AI$82="Included",1,0)*AB54*4
+IF(OR(MID($G$147,8,2)="PF",MID($G$147,8,2)="RS",MID($G$147,8,2)="RF"),BZ147,0)</f>
        <v>0</v>
      </c>
      <c r="CA163" s="413"/>
      <c r="CB163" s="414"/>
      <c r="CC163" s="412">
        <f t="shared" ref="CC163" si="103">IF($AI$82="Included",1,0)*AE54*4
+IF(OR(MID($G$147,8,2)="PF",MID($G$147,8,2)="RS",MID($G$147,8,2)="RF"),CC147,0)</f>
        <v>0</v>
      </c>
      <c r="CD163" s="413"/>
      <c r="CE163" s="414"/>
      <c r="CF163" s="412">
        <f t="shared" ref="CF163" si="104">IF($AI$82="Included",1,0)*AH54*4
+IF(OR(MID($G$147,8,2)="PF",MID($G$147,8,2)="RS",MID($G$147,8,2)="RF"),CF147,0)</f>
        <v>0</v>
      </c>
      <c r="CG163" s="413"/>
      <c r="CH163" s="414"/>
      <c r="CI163" s="412">
        <f t="shared" ref="CI163" si="105">IF($AI$82="Included",1,0)*AK54*4
+IF(OR(MID($G$147,8,2)="PF",MID($G$147,8,2)="RS",MID($G$147,8,2)="RF"),CI147,0)</f>
        <v>0</v>
      </c>
      <c r="CJ163" s="413"/>
      <c r="CK163" s="414"/>
      <c r="CL163" s="412">
        <f t="shared" ref="CL163" si="106">IF($AI$82="Included",1,0)*AN54*4
+IF(OR(MID($G$147,8,2)="PF",MID($G$147,8,2)="RS",MID($G$147,8,2)="RF"),CL147,0)</f>
        <v>0</v>
      </c>
      <c r="CM163" s="413"/>
      <c r="CN163" s="414"/>
      <c r="CO163" s="412">
        <f t="shared" ref="CO163" si="107">IF($AI$82="Included",1,0)*AQ54*4
+IF(OR(MID($G$147,8,2)="PF",MID($G$147,8,2)="RS",MID($G$147,8,2)="RF"),CO147,0)</f>
        <v>0</v>
      </c>
      <c r="CP163" s="413"/>
      <c r="CQ163" s="414"/>
      <c r="CR163" s="412">
        <f t="shared" ref="CR163" si="108">IF($AI$82="Included",1,0)*AT54*4
+IF(OR(MID($G$147,8,2)="PF",MID($G$147,8,2)="RS",MID($G$147,8,2)="RF"),CR147,0)</f>
        <v>0</v>
      </c>
      <c r="CS163" s="413"/>
      <c r="CT163" s="414"/>
      <c r="CU163" s="412">
        <f t="shared" ref="CU163" si="109">IF($AI$82="Included",1,0)*AW54*4
+IF(OR(MID($G$147,8,2)="PF",MID($G$147,8,2)="RS",MID($G$147,8,2)="RF"),CU147,0)</f>
        <v>0</v>
      </c>
      <c r="CV163" s="413"/>
      <c r="CW163" s="414"/>
      <c r="CX163" s="412">
        <f t="shared" ref="CX163" si="110">IF($AI$82="Included",1,0)*AZ54*4
+IF(OR(MID($G$147,8,2)="PF",MID($G$147,8,2)="RS",MID($G$147,8,2)="RF"),CX147,0)</f>
        <v>0</v>
      </c>
      <c r="CY163" s="413"/>
      <c r="CZ163" s="414"/>
      <c r="DA163" s="412">
        <f t="shared" ref="DA163" si="111">IF($AI$82="Included",1,0)*BC54*4
+IF(OR(MID($G$147,8,2)="PF",MID($G$147,8,2)="RS",MID($G$147,8,2)="RF"),DA147,0)</f>
        <v>0</v>
      </c>
      <c r="DB163" s="413"/>
      <c r="DC163" s="414"/>
      <c r="DD163" s="412">
        <f t="shared" ref="DD163" si="112">IF($AI$82="Included",1,0)*BF54*4
+IF(OR(MID($G$147,8,2)="PF",MID($G$147,8,2)="RS",MID($G$147,8,2)="RF"),DD147,0)</f>
        <v>0</v>
      </c>
      <c r="DE163" s="413"/>
      <c r="DF163" s="414"/>
      <c r="DH163" s="311"/>
      <c r="DI163" s="311"/>
      <c r="DJ163" s="311"/>
      <c r="DK163" s="311"/>
      <c r="DL163" s="321"/>
      <c r="DM163" s="321"/>
      <c r="DN163" s="321"/>
      <c r="DO163" s="321"/>
      <c r="DP163" s="321"/>
      <c r="DQ163" s="321"/>
      <c r="DR163" s="321"/>
      <c r="DS163" s="321"/>
    </row>
    <row r="164" spans="1:123" ht="7.4" customHeight="1" x14ac:dyDescent="0.5">
      <c r="A164" s="42"/>
      <c r="B164" s="42"/>
      <c r="C164" s="311"/>
      <c r="D164" s="311"/>
      <c r="E164" s="41"/>
      <c r="F164" s="42"/>
      <c r="G164" s="319"/>
      <c r="H164" s="319"/>
      <c r="I164" s="319"/>
      <c r="J164" s="319"/>
      <c r="K164" s="319"/>
      <c r="L164" s="319"/>
      <c r="M164" s="319"/>
      <c r="N164" s="319"/>
      <c r="O164" s="319"/>
      <c r="P164" s="319"/>
      <c r="Q164" s="319"/>
      <c r="R164" s="320"/>
      <c r="S164" s="42"/>
      <c r="T164" s="405"/>
      <c r="U164" s="405"/>
      <c r="V164" s="405"/>
      <c r="W164" s="405"/>
      <c r="X164" s="405"/>
      <c r="Y164" s="405"/>
      <c r="Z164" s="405"/>
      <c r="AA164" s="405"/>
      <c r="AB164" s="405"/>
      <c r="AC164" s="405"/>
      <c r="AD164" s="405"/>
      <c r="AE164" s="405"/>
      <c r="AF164" s="405"/>
      <c r="AG164" s="405"/>
      <c r="AH164" s="405"/>
      <c r="AI164" s="405"/>
      <c r="AJ164" s="411"/>
      <c r="AK164" s="42"/>
      <c r="AL164" s="311"/>
      <c r="AM164" s="311"/>
      <c r="AN164" s="311"/>
      <c r="AO164" s="311"/>
      <c r="AP164" s="43"/>
      <c r="AQ164" s="111"/>
      <c r="AR164" s="309"/>
      <c r="AS164" s="309"/>
      <c r="AT164" s="309"/>
      <c r="AU164" s="309"/>
      <c r="AV164" s="309"/>
      <c r="AW164" s="309"/>
      <c r="AX164" s="309"/>
      <c r="AY164" s="309"/>
      <c r="AZ164" s="309"/>
      <c r="BA164" s="309"/>
      <c r="BB164" s="309"/>
      <c r="BC164" s="309"/>
      <c r="BD164" s="309"/>
      <c r="BE164" s="309"/>
      <c r="BF164" s="309"/>
      <c r="BG164" s="309"/>
      <c r="BH164" s="124"/>
      <c r="BI164" s="41"/>
      <c r="BK164" s="412"/>
      <c r="BL164" s="413"/>
      <c r="BM164" s="414"/>
      <c r="BN164" s="412"/>
      <c r="BO164" s="413"/>
      <c r="BP164" s="414"/>
      <c r="BQ164" s="412"/>
      <c r="BR164" s="413"/>
      <c r="BS164" s="414"/>
      <c r="BT164" s="412"/>
      <c r="BU164" s="413"/>
      <c r="BV164" s="414"/>
      <c r="BW164" s="412"/>
      <c r="BX164" s="413"/>
      <c r="BY164" s="414"/>
      <c r="BZ164" s="412"/>
      <c r="CA164" s="413"/>
      <c r="CB164" s="414"/>
      <c r="CC164" s="412"/>
      <c r="CD164" s="413"/>
      <c r="CE164" s="414"/>
      <c r="CF164" s="412"/>
      <c r="CG164" s="413"/>
      <c r="CH164" s="414"/>
      <c r="CI164" s="412"/>
      <c r="CJ164" s="413"/>
      <c r="CK164" s="414"/>
      <c r="CL164" s="412"/>
      <c r="CM164" s="413"/>
      <c r="CN164" s="414"/>
      <c r="CO164" s="412"/>
      <c r="CP164" s="413"/>
      <c r="CQ164" s="414"/>
      <c r="CR164" s="412"/>
      <c r="CS164" s="413"/>
      <c r="CT164" s="414"/>
      <c r="CU164" s="412"/>
      <c r="CV164" s="413"/>
      <c r="CW164" s="414"/>
      <c r="CX164" s="412"/>
      <c r="CY164" s="413"/>
      <c r="CZ164" s="414"/>
      <c r="DA164" s="412"/>
      <c r="DB164" s="413"/>
      <c r="DC164" s="414"/>
      <c r="DD164" s="412"/>
      <c r="DE164" s="413"/>
      <c r="DF164" s="414"/>
      <c r="DH164" s="311"/>
      <c r="DI164" s="311"/>
      <c r="DJ164" s="311"/>
      <c r="DK164" s="311"/>
      <c r="DL164" s="321"/>
      <c r="DM164" s="321"/>
      <c r="DN164" s="321"/>
      <c r="DO164" s="321"/>
      <c r="DP164" s="321"/>
      <c r="DQ164" s="321"/>
      <c r="DR164" s="321"/>
      <c r="DS164" s="321"/>
    </row>
    <row r="165" spans="1:123" ht="7.4" customHeight="1" x14ac:dyDescent="0.5">
      <c r="A165" s="42"/>
      <c r="B165" s="42"/>
      <c r="C165" s="333"/>
      <c r="D165" s="333"/>
      <c r="E165" s="41"/>
      <c r="F165" s="42"/>
      <c r="G165" s="56"/>
      <c r="H165" s="56"/>
      <c r="I165" s="56"/>
      <c r="J165" s="56"/>
      <c r="K165" s="56"/>
      <c r="L165" s="56"/>
      <c r="M165" s="56"/>
      <c r="N165" s="56"/>
      <c r="O165" s="56"/>
      <c r="P165" s="56"/>
      <c r="Q165" s="56"/>
      <c r="R165" s="126"/>
      <c r="S165" s="42"/>
      <c r="T165" s="116" t="str">
        <f>VLOOKUP(G163,PL!$B$9:$BH$1265,33,FALSE)</f>
        <v>.</v>
      </c>
      <c r="AJ165" s="41"/>
      <c r="AK165" s="42"/>
      <c r="AL165" s="311"/>
      <c r="AM165" s="311"/>
      <c r="AN165" s="311"/>
      <c r="AO165" s="311"/>
      <c r="AP165" s="43"/>
      <c r="AQ165" s="42"/>
      <c r="AR165" s="119"/>
      <c r="AS165" s="119"/>
      <c r="AT165" s="119"/>
      <c r="AU165" s="119"/>
      <c r="AV165" s="119"/>
      <c r="AW165" s="119"/>
      <c r="AX165" s="105"/>
      <c r="AZ165" s="119"/>
      <c r="BA165" s="119"/>
      <c r="BB165" s="119"/>
      <c r="BC165" s="119"/>
      <c r="BD165" s="119"/>
      <c r="BE165" s="119"/>
      <c r="BF165" s="119"/>
      <c r="BG165" s="119"/>
      <c r="BH165" s="124"/>
      <c r="BI165" s="41"/>
      <c r="BK165" s="194"/>
      <c r="BL165" s="123"/>
      <c r="BM165" s="195"/>
      <c r="BN165" s="194"/>
      <c r="BO165" s="123"/>
      <c r="BP165" s="195"/>
      <c r="BQ165" s="194"/>
      <c r="BR165" s="123"/>
      <c r="BS165" s="195"/>
      <c r="BT165" s="194"/>
      <c r="BU165" s="123"/>
      <c r="BV165" s="195"/>
      <c r="BW165" s="194"/>
      <c r="BX165" s="123"/>
      <c r="BY165" s="195"/>
      <c r="BZ165" s="194"/>
      <c r="CA165" s="123"/>
      <c r="CB165" s="195"/>
      <c r="CC165" s="194"/>
      <c r="CD165" s="123"/>
      <c r="CE165" s="195"/>
      <c r="CF165" s="194"/>
      <c r="CG165" s="123"/>
      <c r="CH165" s="195"/>
      <c r="CI165" s="194"/>
      <c r="CJ165" s="123"/>
      <c r="CK165" s="195"/>
      <c r="CL165" s="194"/>
      <c r="CM165" s="123"/>
      <c r="CN165" s="195"/>
      <c r="CO165" s="194"/>
      <c r="CP165" s="123"/>
      <c r="CQ165" s="195"/>
      <c r="CR165" s="194"/>
      <c r="CS165" s="123"/>
      <c r="CT165" s="195"/>
      <c r="CU165" s="194"/>
      <c r="CV165" s="123"/>
      <c r="CW165" s="195"/>
      <c r="CX165" s="194"/>
      <c r="CY165" s="123"/>
      <c r="CZ165" s="195"/>
      <c r="DA165" s="194"/>
      <c r="DB165" s="123"/>
      <c r="DC165" s="195"/>
      <c r="DD165" s="194"/>
      <c r="DE165" s="123"/>
      <c r="DF165" s="195"/>
      <c r="DH165" s="311"/>
      <c r="DI165" s="311"/>
      <c r="DJ165" s="311"/>
      <c r="DK165" s="311"/>
      <c r="DL165" s="321"/>
      <c r="DM165" s="321"/>
      <c r="DN165" s="321"/>
      <c r="DO165" s="321"/>
      <c r="DP165" s="321"/>
      <c r="DQ165" s="321"/>
      <c r="DR165" s="321"/>
      <c r="DS165" s="321"/>
    </row>
    <row r="166" spans="1:123" ht="7.4" customHeight="1" x14ac:dyDescent="0.5">
      <c r="A166" s="42"/>
      <c r="B166" s="42"/>
      <c r="C166" s="333"/>
      <c r="D166" s="333"/>
      <c r="E166" s="41"/>
      <c r="F166" s="42"/>
      <c r="G166" s="56"/>
      <c r="H166" s="56"/>
      <c r="I166" s="56"/>
      <c r="J166" s="56"/>
      <c r="K166" s="56"/>
      <c r="L166" s="56"/>
      <c r="M166" s="56"/>
      <c r="N166" s="56"/>
      <c r="O166" s="56"/>
      <c r="P166" s="56"/>
      <c r="Q166" s="56"/>
      <c r="R166" s="126"/>
      <c r="S166" s="42"/>
      <c r="AJ166" s="41"/>
      <c r="AK166" s="42"/>
      <c r="AL166" s="311"/>
      <c r="AM166" s="311"/>
      <c r="AN166" s="311"/>
      <c r="AO166" s="311"/>
      <c r="AP166" s="43"/>
      <c r="AQ166" s="42"/>
      <c r="AR166" s="119"/>
      <c r="AS166" s="119"/>
      <c r="AT166" s="119"/>
      <c r="AU166" s="119"/>
      <c r="AV166" s="119"/>
      <c r="AW166" s="119"/>
      <c r="AX166" s="105"/>
      <c r="AZ166" s="119"/>
      <c r="BA166" s="119"/>
      <c r="BB166" s="119"/>
      <c r="BC166" s="119"/>
      <c r="BD166" s="119"/>
      <c r="BE166" s="119"/>
      <c r="BF166" s="119"/>
      <c r="BG166" s="119"/>
      <c r="BH166" s="124"/>
      <c r="BI166" s="41"/>
      <c r="BK166" s="194"/>
      <c r="BL166" s="123"/>
      <c r="BM166" s="195"/>
      <c r="BN166" s="194"/>
      <c r="BO166" s="123"/>
      <c r="BP166" s="195"/>
      <c r="BQ166" s="194"/>
      <c r="BR166" s="123"/>
      <c r="BS166" s="195"/>
      <c r="BT166" s="194"/>
      <c r="BU166" s="123"/>
      <c r="BV166" s="195"/>
      <c r="BW166" s="194"/>
      <c r="BX166" s="123"/>
      <c r="BY166" s="195"/>
      <c r="BZ166" s="194"/>
      <c r="CA166" s="123"/>
      <c r="CB166" s="195"/>
      <c r="CC166" s="194"/>
      <c r="CD166" s="123"/>
      <c r="CE166" s="195"/>
      <c r="CF166" s="194"/>
      <c r="CG166" s="123"/>
      <c r="CH166" s="195"/>
      <c r="CI166" s="194"/>
      <c r="CJ166" s="123"/>
      <c r="CK166" s="195"/>
      <c r="CL166" s="194"/>
      <c r="CM166" s="123"/>
      <c r="CN166" s="195"/>
      <c r="CO166" s="194"/>
      <c r="CP166" s="123"/>
      <c r="CQ166" s="195"/>
      <c r="CR166" s="194"/>
      <c r="CS166" s="123"/>
      <c r="CT166" s="195"/>
      <c r="CU166" s="194"/>
      <c r="CV166" s="123"/>
      <c r="CW166" s="195"/>
      <c r="CX166" s="194"/>
      <c r="CY166" s="123"/>
      <c r="CZ166" s="195"/>
      <c r="DA166" s="194"/>
      <c r="DB166" s="123"/>
      <c r="DC166" s="195"/>
      <c r="DD166" s="194"/>
      <c r="DE166" s="123"/>
      <c r="DF166" s="195"/>
      <c r="DH166" s="311"/>
      <c r="DI166" s="311"/>
      <c r="DJ166" s="311"/>
      <c r="DK166" s="311"/>
      <c r="DL166" s="321"/>
      <c r="DM166" s="321"/>
      <c r="DN166" s="321"/>
      <c r="DO166" s="321"/>
      <c r="DP166" s="321"/>
      <c r="DQ166" s="321"/>
      <c r="DR166" s="321"/>
      <c r="DS166" s="321"/>
    </row>
    <row r="167" spans="1:123" ht="7.4" customHeight="1" x14ac:dyDescent="0.5">
      <c r="A167" s="42"/>
      <c r="B167" s="42"/>
      <c r="C167" s="311">
        <f>C163+1</f>
        <v>13</v>
      </c>
      <c r="D167" s="311"/>
      <c r="E167" s="41"/>
      <c r="F167" s="42"/>
      <c r="G167" s="319" t="str">
        <f>IF(AL167=0,"N/A","AXE_CS_8_25"&amp;"_SS")</f>
        <v>AXE_CS_8_25_SS</v>
      </c>
      <c r="H167" s="319"/>
      <c r="I167" s="319"/>
      <c r="J167" s="319"/>
      <c r="K167" s="319"/>
      <c r="L167" s="319"/>
      <c r="M167" s="319"/>
      <c r="N167" s="319"/>
      <c r="O167" s="319"/>
      <c r="P167" s="319"/>
      <c r="Q167" s="319"/>
      <c r="R167" s="320"/>
      <c r="S167" s="42"/>
      <c r="T167" s="405" t="str">
        <f>VLOOKUP(G167,PL!$B$9:$BH$1265,14,FALSE)</f>
        <v>Cap Screws Hexagon</v>
      </c>
      <c r="U167" s="405"/>
      <c r="V167" s="405"/>
      <c r="W167" s="405"/>
      <c r="X167" s="405"/>
      <c r="Y167" s="405"/>
      <c r="Z167" s="405"/>
      <c r="AA167" s="405"/>
      <c r="AB167" s="405"/>
      <c r="AC167" s="405"/>
      <c r="AD167" s="405"/>
      <c r="AE167" s="405"/>
      <c r="AF167" s="405"/>
      <c r="AG167" s="405"/>
      <c r="AH167" s="405"/>
      <c r="AI167" s="405"/>
      <c r="AJ167" s="411"/>
      <c r="AK167" s="42"/>
      <c r="AL167" s="311">
        <f>ROUND(SUM(BK167:DF167)*(1+$BF$80),0)</f>
        <v>416</v>
      </c>
      <c r="AM167" s="311"/>
      <c r="AN167" s="311"/>
      <c r="AO167" s="311"/>
      <c r="AP167" s="43"/>
      <c r="AQ167" s="111"/>
      <c r="AR167" s="308" t="str">
        <f>VLOOKUP(G167,PL!$B$9:$BH$818,52,FALSE)</f>
        <v>SOL-59501</v>
      </c>
      <c r="AS167" s="309"/>
      <c r="AT167" s="309"/>
      <c r="AU167" s="309"/>
      <c r="AV167" s="309"/>
      <c r="AW167" s="309"/>
      <c r="AX167" s="309"/>
      <c r="AY167" s="309"/>
      <c r="AZ167" s="309"/>
      <c r="BA167" s="309"/>
      <c r="BB167" s="309"/>
      <c r="BC167" s="309"/>
      <c r="BD167" s="309"/>
      <c r="BE167" s="309"/>
      <c r="BF167" s="309"/>
      <c r="BG167" s="309"/>
      <c r="BH167" s="124"/>
      <c r="BI167" s="41"/>
      <c r="BK167" s="412">
        <f>IF(OR(MID($G$147,8,2)="PF",MID($G$147,8,2)="RS",MID($G$147,8,2)="RF"),0,BK147)</f>
        <v>400</v>
      </c>
      <c r="BL167" s="413"/>
      <c r="BM167" s="414"/>
      <c r="BN167" s="412">
        <f>IF(OR(MID($G$147,8,2)="PF",MID($G$147,8,2)="RS",MID($G$147,8,2)="RF"),0,BN147)</f>
        <v>0</v>
      </c>
      <c r="BO167" s="413"/>
      <c r="BP167" s="414"/>
      <c r="BQ167" s="412">
        <f>IF(OR(MID($G$147,8,2)="PF",MID($G$147,8,2)="RS",MID($G$147,8,2)="RF"),0,BQ147)</f>
        <v>0</v>
      </c>
      <c r="BR167" s="413"/>
      <c r="BS167" s="414"/>
      <c r="BT167" s="412">
        <f>IF(OR(MID($G$147,8,2)="PF",MID($G$147,8,2)="RS",MID($G$147,8,2)="RF"),0,BT147)</f>
        <v>0</v>
      </c>
      <c r="BU167" s="413"/>
      <c r="BV167" s="414"/>
      <c r="BW167" s="412">
        <f>IF(OR(MID($G$147,8,2)="PF",MID($G$147,8,2)="RS",MID($G$147,8,2)="RF"),0,BW147)</f>
        <v>0</v>
      </c>
      <c r="BX167" s="413"/>
      <c r="BY167" s="414"/>
      <c r="BZ167" s="412">
        <f>IF(OR(MID($G$147,8,2)="PF",MID($G$147,8,2)="RS",MID($G$147,8,2)="RF"),0,BZ147)</f>
        <v>0</v>
      </c>
      <c r="CA167" s="413"/>
      <c r="CB167" s="414"/>
      <c r="CC167" s="412">
        <f>IF(OR(MID($G$147,8,2)="PF",MID($G$147,8,2)="RS",MID($G$147,8,2)="RF"),0,CC147)</f>
        <v>0</v>
      </c>
      <c r="CD167" s="413"/>
      <c r="CE167" s="414"/>
      <c r="CF167" s="412">
        <f>IF(OR(MID($G$147,8,2)="PF",MID($G$147,8,2)="RS",MID($G$147,8,2)="RF"),0,CF147)</f>
        <v>0</v>
      </c>
      <c r="CG167" s="413"/>
      <c r="CH167" s="414"/>
      <c r="CI167" s="412">
        <f>IF(OR(MID($G$147,8,2)="PF",MID($G$147,8,2)="RS",MID($G$147,8,2)="RF"),0,CI147)</f>
        <v>0</v>
      </c>
      <c r="CJ167" s="413"/>
      <c r="CK167" s="414"/>
      <c r="CL167" s="412">
        <f>IF(OR(MID($G$147,8,2)="PF",MID($G$147,8,2)="RS",MID($G$147,8,2)="RF"),0,CL147)</f>
        <v>0</v>
      </c>
      <c r="CM167" s="413"/>
      <c r="CN167" s="414"/>
      <c r="CO167" s="412">
        <f>IF(OR(MID($G$147,8,2)="PF",MID($G$147,8,2)="RS",MID($G$147,8,2)="RF"),0,CO147)</f>
        <v>0</v>
      </c>
      <c r="CP167" s="413"/>
      <c r="CQ167" s="414"/>
      <c r="CR167" s="412">
        <f>IF(OR(MID($G$147,8,2)="PF",MID($G$147,8,2)="RS",MID($G$147,8,2)="RF"),0,CR147)</f>
        <v>0</v>
      </c>
      <c r="CS167" s="413"/>
      <c r="CT167" s="414"/>
      <c r="CU167" s="412">
        <f>IF(OR(MID($G$147,8,2)="PF",MID($G$147,8,2)="RS",MID($G$147,8,2)="RF"),0,CU147)</f>
        <v>0</v>
      </c>
      <c r="CV167" s="413"/>
      <c r="CW167" s="414"/>
      <c r="CX167" s="412">
        <f>IF(OR(MID($G$147,8,2)="PF",MID($G$147,8,2)="RS",MID($G$147,8,2)="RF"),0,CX147)</f>
        <v>0</v>
      </c>
      <c r="CY167" s="413"/>
      <c r="CZ167" s="414"/>
      <c r="DA167" s="412">
        <f>IF(OR(MID($G$147,8,2)="PF",MID($G$147,8,2)="RS",MID($G$147,8,2)="RF"),0,DA147)</f>
        <v>0</v>
      </c>
      <c r="DB167" s="413"/>
      <c r="DC167" s="414"/>
      <c r="DD167" s="412">
        <f>IF(OR(MID($G$147,8,2)="PF",MID($G$147,8,2)="RS",MID($G$147,8,2)="RF"),0,DD147)</f>
        <v>0</v>
      </c>
      <c r="DE167" s="413"/>
      <c r="DF167" s="414"/>
      <c r="DH167" s="311"/>
      <c r="DI167" s="311"/>
      <c r="DJ167" s="311"/>
      <c r="DK167" s="311"/>
      <c r="DL167" s="321"/>
      <c r="DM167" s="321"/>
      <c r="DN167" s="321"/>
      <c r="DO167" s="321"/>
      <c r="DP167" s="321"/>
      <c r="DQ167" s="321"/>
      <c r="DR167" s="321"/>
      <c r="DS167" s="321"/>
    </row>
    <row r="168" spans="1:123" ht="7.4" customHeight="1" x14ac:dyDescent="0.5">
      <c r="A168" s="42"/>
      <c r="B168" s="42"/>
      <c r="C168" s="311"/>
      <c r="D168" s="311"/>
      <c r="E168" s="41"/>
      <c r="F168" s="42"/>
      <c r="G168" s="319"/>
      <c r="H168" s="319"/>
      <c r="I168" s="319"/>
      <c r="J168" s="319"/>
      <c r="K168" s="319"/>
      <c r="L168" s="319"/>
      <c r="M168" s="319"/>
      <c r="N168" s="319"/>
      <c r="O168" s="319"/>
      <c r="P168" s="319"/>
      <c r="Q168" s="319"/>
      <c r="R168" s="320"/>
      <c r="S168" s="42"/>
      <c r="T168" s="405"/>
      <c r="U168" s="405"/>
      <c r="V168" s="405"/>
      <c r="W168" s="405"/>
      <c r="X168" s="405"/>
      <c r="Y168" s="405"/>
      <c r="Z168" s="405"/>
      <c r="AA168" s="405"/>
      <c r="AB168" s="405"/>
      <c r="AC168" s="405"/>
      <c r="AD168" s="405"/>
      <c r="AE168" s="405"/>
      <c r="AF168" s="405"/>
      <c r="AG168" s="405"/>
      <c r="AH168" s="405"/>
      <c r="AI168" s="405"/>
      <c r="AJ168" s="411"/>
      <c r="AK168" s="42"/>
      <c r="AL168" s="311"/>
      <c r="AM168" s="311"/>
      <c r="AN168" s="311"/>
      <c r="AO168" s="311"/>
      <c r="AP168" s="43"/>
      <c r="AQ168" s="111"/>
      <c r="AR168" s="309"/>
      <c r="AS168" s="309"/>
      <c r="AT168" s="309"/>
      <c r="AU168" s="309"/>
      <c r="AV168" s="309"/>
      <c r="AW168" s="309"/>
      <c r="AX168" s="309"/>
      <c r="AY168" s="309"/>
      <c r="AZ168" s="309"/>
      <c r="BA168" s="309"/>
      <c r="BB168" s="309"/>
      <c r="BC168" s="309"/>
      <c r="BD168" s="309"/>
      <c r="BE168" s="309"/>
      <c r="BF168" s="309"/>
      <c r="BG168" s="309"/>
      <c r="BH168" s="124"/>
      <c r="BI168" s="41"/>
      <c r="BK168" s="412"/>
      <c r="BL168" s="413"/>
      <c r="BM168" s="414"/>
      <c r="BN168" s="412"/>
      <c r="BO168" s="413"/>
      <c r="BP168" s="414"/>
      <c r="BQ168" s="412"/>
      <c r="BR168" s="413"/>
      <c r="BS168" s="414"/>
      <c r="BT168" s="412"/>
      <c r="BU168" s="413"/>
      <c r="BV168" s="414"/>
      <c r="BW168" s="412"/>
      <c r="BX168" s="413"/>
      <c r="BY168" s="414"/>
      <c r="BZ168" s="412"/>
      <c r="CA168" s="413"/>
      <c r="CB168" s="414"/>
      <c r="CC168" s="412"/>
      <c r="CD168" s="413"/>
      <c r="CE168" s="414"/>
      <c r="CF168" s="412"/>
      <c r="CG168" s="413"/>
      <c r="CH168" s="414"/>
      <c r="CI168" s="412"/>
      <c r="CJ168" s="413"/>
      <c r="CK168" s="414"/>
      <c r="CL168" s="412"/>
      <c r="CM168" s="413"/>
      <c r="CN168" s="414"/>
      <c r="CO168" s="412"/>
      <c r="CP168" s="413"/>
      <c r="CQ168" s="414"/>
      <c r="CR168" s="412"/>
      <c r="CS168" s="413"/>
      <c r="CT168" s="414"/>
      <c r="CU168" s="412"/>
      <c r="CV168" s="413"/>
      <c r="CW168" s="414"/>
      <c r="CX168" s="412"/>
      <c r="CY168" s="413"/>
      <c r="CZ168" s="414"/>
      <c r="DA168" s="412"/>
      <c r="DB168" s="413"/>
      <c r="DC168" s="414"/>
      <c r="DD168" s="412"/>
      <c r="DE168" s="413"/>
      <c r="DF168" s="414"/>
      <c r="DH168" s="311"/>
      <c r="DI168" s="311"/>
      <c r="DJ168" s="311"/>
      <c r="DK168" s="311"/>
      <c r="DL168" s="321"/>
      <c r="DM168" s="321"/>
      <c r="DN168" s="321"/>
      <c r="DO168" s="321"/>
      <c r="DP168" s="321"/>
      <c r="DQ168" s="321"/>
      <c r="DR168" s="321"/>
      <c r="DS168" s="321"/>
    </row>
    <row r="169" spans="1:123" ht="7.4" customHeight="1" x14ac:dyDescent="0.5">
      <c r="A169" s="42"/>
      <c r="B169" s="42"/>
      <c r="C169" s="333"/>
      <c r="D169" s="333"/>
      <c r="E169" s="41"/>
      <c r="F169" s="42"/>
      <c r="G169" s="56"/>
      <c r="H169" s="56"/>
      <c r="I169" s="56"/>
      <c r="J169" s="56"/>
      <c r="K169" s="56"/>
      <c r="L169" s="56"/>
      <c r="M169" s="56"/>
      <c r="N169" s="56"/>
      <c r="O169" s="56"/>
      <c r="P169" s="56"/>
      <c r="Q169" s="56"/>
      <c r="R169" s="126"/>
      <c r="S169" s="42"/>
      <c r="T169" s="116" t="str">
        <f>VLOOKUP(G167,PL!$B$9:$BH$1265,33,FALSE)</f>
        <v>Stainless Steel, M8x25</v>
      </c>
      <c r="AJ169" s="41"/>
      <c r="AK169" s="42"/>
      <c r="AL169" s="311"/>
      <c r="AM169" s="311"/>
      <c r="AN169" s="311"/>
      <c r="AO169" s="311"/>
      <c r="AP169" s="43"/>
      <c r="AQ169" s="42"/>
      <c r="AR169" s="119"/>
      <c r="AS169" s="119"/>
      <c r="AT169" s="119"/>
      <c r="AU169" s="119"/>
      <c r="AV169" s="119"/>
      <c r="AW169" s="119"/>
      <c r="AX169" s="105"/>
      <c r="AZ169" s="119"/>
      <c r="BA169" s="119"/>
      <c r="BB169" s="119"/>
      <c r="BC169" s="119"/>
      <c r="BD169" s="119"/>
      <c r="BE169" s="119"/>
      <c r="BF169" s="119"/>
      <c r="BG169" s="119"/>
      <c r="BH169" s="124"/>
      <c r="BI169" s="41"/>
      <c r="BK169" s="194"/>
      <c r="BL169" s="123"/>
      <c r="BM169" s="195"/>
      <c r="BN169" s="194"/>
      <c r="BO169" s="123"/>
      <c r="BP169" s="195"/>
      <c r="BQ169" s="194"/>
      <c r="BR169" s="123"/>
      <c r="BS169" s="195"/>
      <c r="BT169" s="194"/>
      <c r="BU169" s="123"/>
      <c r="BV169" s="195"/>
      <c r="BW169" s="194"/>
      <c r="BX169" s="123"/>
      <c r="BY169" s="195"/>
      <c r="BZ169" s="194"/>
      <c r="CA169" s="123"/>
      <c r="CB169" s="195"/>
      <c r="CC169" s="194"/>
      <c r="CD169" s="123"/>
      <c r="CE169" s="195"/>
      <c r="CF169" s="194"/>
      <c r="CG169" s="123"/>
      <c r="CH169" s="195"/>
      <c r="CI169" s="194"/>
      <c r="CJ169" s="123"/>
      <c r="CK169" s="195"/>
      <c r="CL169" s="194"/>
      <c r="CM169" s="123"/>
      <c r="CN169" s="195"/>
      <c r="CO169" s="194"/>
      <c r="CP169" s="123"/>
      <c r="CQ169" s="195"/>
      <c r="CR169" s="194"/>
      <c r="CS169" s="123"/>
      <c r="CT169" s="195"/>
      <c r="CU169" s="194"/>
      <c r="CV169" s="123"/>
      <c r="CW169" s="195"/>
      <c r="CX169" s="194"/>
      <c r="CY169" s="123"/>
      <c r="CZ169" s="195"/>
      <c r="DA169" s="194"/>
      <c r="DB169" s="123"/>
      <c r="DC169" s="195"/>
      <c r="DD169" s="194"/>
      <c r="DE169" s="123"/>
      <c r="DF169" s="195"/>
      <c r="DH169" s="311"/>
      <c r="DI169" s="311"/>
      <c r="DJ169" s="311"/>
      <c r="DK169" s="311"/>
      <c r="DL169" s="321"/>
      <c r="DM169" s="321"/>
      <c r="DN169" s="321"/>
      <c r="DO169" s="321"/>
      <c r="DP169" s="321"/>
      <c r="DQ169" s="321"/>
      <c r="DR169" s="321"/>
      <c r="DS169" s="321"/>
    </row>
    <row r="170" spans="1:123" ht="7.4" customHeight="1" x14ac:dyDescent="0.5">
      <c r="A170" s="42"/>
      <c r="B170" s="42"/>
      <c r="C170" s="333"/>
      <c r="D170" s="333"/>
      <c r="E170" s="41"/>
      <c r="F170" s="42"/>
      <c r="G170" s="56"/>
      <c r="H170" s="56"/>
      <c r="I170" s="56"/>
      <c r="J170" s="56"/>
      <c r="K170" s="56"/>
      <c r="L170" s="56"/>
      <c r="M170" s="56"/>
      <c r="N170" s="56"/>
      <c r="O170" s="56"/>
      <c r="P170" s="56"/>
      <c r="Q170" s="56"/>
      <c r="R170" s="126"/>
      <c r="S170" s="42"/>
      <c r="AJ170" s="41"/>
      <c r="AK170" s="42"/>
      <c r="AL170" s="311"/>
      <c r="AM170" s="311"/>
      <c r="AN170" s="311"/>
      <c r="AO170" s="311"/>
      <c r="AP170" s="43"/>
      <c r="AQ170" s="42"/>
      <c r="AR170" s="119"/>
      <c r="AS170" s="119"/>
      <c r="AT170" s="119"/>
      <c r="AU170" s="119"/>
      <c r="AV170" s="119"/>
      <c r="AW170" s="119"/>
      <c r="AX170" s="105"/>
      <c r="AZ170" s="119"/>
      <c r="BA170" s="119"/>
      <c r="BB170" s="119"/>
      <c r="BC170" s="119"/>
      <c r="BD170" s="119"/>
      <c r="BE170" s="119"/>
      <c r="BF170" s="119"/>
      <c r="BG170" s="119"/>
      <c r="BH170" s="124"/>
      <c r="BI170" s="41"/>
      <c r="BK170" s="194"/>
      <c r="BL170" s="123"/>
      <c r="BM170" s="195"/>
      <c r="BN170" s="194"/>
      <c r="BO170" s="123"/>
      <c r="BP170" s="195"/>
      <c r="BQ170" s="194"/>
      <c r="BR170" s="123"/>
      <c r="BS170" s="195"/>
      <c r="BT170" s="194"/>
      <c r="BU170" s="123"/>
      <c r="BV170" s="195"/>
      <c r="BW170" s="194"/>
      <c r="BX170" s="123"/>
      <c r="BY170" s="195"/>
      <c r="BZ170" s="194"/>
      <c r="CA170" s="123"/>
      <c r="CB170" s="195"/>
      <c r="CC170" s="194"/>
      <c r="CD170" s="123"/>
      <c r="CE170" s="195"/>
      <c r="CF170" s="194"/>
      <c r="CG170" s="123"/>
      <c r="CH170" s="195"/>
      <c r="CI170" s="194"/>
      <c r="CJ170" s="123"/>
      <c r="CK170" s="195"/>
      <c r="CL170" s="194"/>
      <c r="CM170" s="123"/>
      <c r="CN170" s="195"/>
      <c r="CO170" s="194"/>
      <c r="CP170" s="123"/>
      <c r="CQ170" s="195"/>
      <c r="CR170" s="194"/>
      <c r="CS170" s="123"/>
      <c r="CT170" s="195"/>
      <c r="CU170" s="194"/>
      <c r="CV170" s="123"/>
      <c r="CW170" s="195"/>
      <c r="CX170" s="194"/>
      <c r="CY170" s="123"/>
      <c r="CZ170" s="195"/>
      <c r="DA170" s="194"/>
      <c r="DB170" s="123"/>
      <c r="DC170" s="195"/>
      <c r="DD170" s="194"/>
      <c r="DE170" s="123"/>
      <c r="DF170" s="195"/>
      <c r="DH170" s="311"/>
      <c r="DI170" s="311"/>
      <c r="DJ170" s="311"/>
      <c r="DK170" s="311"/>
      <c r="DL170" s="321"/>
      <c r="DM170" s="321"/>
      <c r="DN170" s="321"/>
      <c r="DO170" s="321"/>
      <c r="DP170" s="321"/>
      <c r="DQ170" s="321"/>
      <c r="DR170" s="321"/>
      <c r="DS170" s="321"/>
    </row>
    <row r="171" spans="1:123" ht="7.4" customHeight="1" x14ac:dyDescent="0.5">
      <c r="A171" s="42"/>
      <c r="B171" s="42"/>
      <c r="C171" s="311">
        <f>C167+1</f>
        <v>14</v>
      </c>
      <c r="D171" s="311"/>
      <c r="E171" s="41"/>
      <c r="F171" s="42"/>
      <c r="G171" s="319" t="str">
        <f>IF(AL171=0,"N/A","AXE_CS_8_"&amp;$AM$45-5&amp;"_SS")</f>
        <v>N/A</v>
      </c>
      <c r="H171" s="319"/>
      <c r="I171" s="319"/>
      <c r="J171" s="319"/>
      <c r="K171" s="319"/>
      <c r="L171" s="319"/>
      <c r="M171" s="319"/>
      <c r="N171" s="319"/>
      <c r="O171" s="319"/>
      <c r="P171" s="319"/>
      <c r="Q171" s="319"/>
      <c r="R171" s="320"/>
      <c r="S171" s="42"/>
      <c r="T171" s="405" t="str">
        <f>VLOOKUP(G171,PL!$B$9:$BH$1265,14,FALSE)</f>
        <v>No Item</v>
      </c>
      <c r="U171" s="405"/>
      <c r="V171" s="405"/>
      <c r="W171" s="405"/>
      <c r="X171" s="405"/>
      <c r="Y171" s="405"/>
      <c r="Z171" s="405"/>
      <c r="AA171" s="405"/>
      <c r="AB171" s="405"/>
      <c r="AC171" s="405"/>
      <c r="AD171" s="405"/>
      <c r="AE171" s="405"/>
      <c r="AF171" s="405"/>
      <c r="AG171" s="405"/>
      <c r="AH171" s="405"/>
      <c r="AI171" s="405"/>
      <c r="AJ171" s="411"/>
      <c r="AK171" s="42"/>
      <c r="AL171" s="311">
        <f>ROUND(SUM(BK171:DF171)*(1+$BF$80),0)</f>
        <v>0</v>
      </c>
      <c r="AM171" s="311"/>
      <c r="AN171" s="311"/>
      <c r="AO171" s="311"/>
      <c r="AP171" s="43"/>
      <c r="AQ171" s="111"/>
      <c r="AR171" s="308" t="str">
        <f>VLOOKUP(G171,PL!$B$9:$BH$818,52,FALSE)</f>
        <v>-</v>
      </c>
      <c r="AS171" s="309"/>
      <c r="AT171" s="309"/>
      <c r="AU171" s="309"/>
      <c r="AV171" s="309"/>
      <c r="AW171" s="309"/>
      <c r="AX171" s="309"/>
      <c r="AY171" s="309"/>
      <c r="AZ171" s="309"/>
      <c r="BA171" s="309"/>
      <c r="BB171" s="309"/>
      <c r="BC171" s="309"/>
      <c r="BD171" s="309"/>
      <c r="BE171" s="309"/>
      <c r="BF171" s="309"/>
      <c r="BG171" s="309"/>
      <c r="BH171" s="124"/>
      <c r="BI171" s="41"/>
      <c r="BK171" s="412">
        <f>IF($AI$78="Included",0,BK139+BK143)</f>
        <v>0</v>
      </c>
      <c r="BL171" s="413"/>
      <c r="BM171" s="414"/>
      <c r="BN171" s="412">
        <f>IF($AI$78="Included",0,BN139+BN143)</f>
        <v>0</v>
      </c>
      <c r="BO171" s="413"/>
      <c r="BP171" s="414"/>
      <c r="BQ171" s="412">
        <f>IF($AI$78="Included",0,BQ139+BQ143)</f>
        <v>0</v>
      </c>
      <c r="BR171" s="413"/>
      <c r="BS171" s="414"/>
      <c r="BT171" s="412">
        <f>IF($AI$78="Included",0,BT139+BT143)</f>
        <v>0</v>
      </c>
      <c r="BU171" s="413"/>
      <c r="BV171" s="414"/>
      <c r="BW171" s="412">
        <f>IF($AI$78="Included",0,BW139+BW143)</f>
        <v>0</v>
      </c>
      <c r="BX171" s="413"/>
      <c r="BY171" s="414"/>
      <c r="BZ171" s="412">
        <f>IF($AI$78="Included",0,BZ139+BZ143)</f>
        <v>0</v>
      </c>
      <c r="CA171" s="413"/>
      <c r="CB171" s="414"/>
      <c r="CC171" s="412">
        <f>IF($AI$78="Included",0,CC139+CC143)</f>
        <v>0</v>
      </c>
      <c r="CD171" s="413"/>
      <c r="CE171" s="414"/>
      <c r="CF171" s="412">
        <f>IF($AI$78="Included",0,CF139+CF143)</f>
        <v>0</v>
      </c>
      <c r="CG171" s="413"/>
      <c r="CH171" s="414"/>
      <c r="CI171" s="412">
        <f>IF($AI$78="Included",0,CI139+CI143)</f>
        <v>0</v>
      </c>
      <c r="CJ171" s="413"/>
      <c r="CK171" s="414"/>
      <c r="CL171" s="412">
        <f>IF($AI$78="Included",0,CL139+CL143)</f>
        <v>0</v>
      </c>
      <c r="CM171" s="413"/>
      <c r="CN171" s="414"/>
      <c r="CO171" s="412">
        <f>IF($AI$78="Included",0,CO139+CO143)</f>
        <v>0</v>
      </c>
      <c r="CP171" s="413"/>
      <c r="CQ171" s="414"/>
      <c r="CR171" s="412">
        <f>IF($AI$78="Included",0,CR139+CR143)</f>
        <v>0</v>
      </c>
      <c r="CS171" s="413"/>
      <c r="CT171" s="414"/>
      <c r="CU171" s="412">
        <f>IF($AI$78="Included",0,CU139+CU143)</f>
        <v>0</v>
      </c>
      <c r="CV171" s="413"/>
      <c r="CW171" s="414"/>
      <c r="CX171" s="412">
        <f>IF($AI$78="Included",0,CX139+CX143)</f>
        <v>0</v>
      </c>
      <c r="CY171" s="413"/>
      <c r="CZ171" s="414"/>
      <c r="DA171" s="412">
        <f>IF($AI$78="Included",0,DA139+DA143)</f>
        <v>0</v>
      </c>
      <c r="DB171" s="413"/>
      <c r="DC171" s="414"/>
      <c r="DD171" s="412">
        <f>IF($AI$78="Included",0,DD139+DD143)</f>
        <v>0</v>
      </c>
      <c r="DE171" s="413"/>
      <c r="DF171" s="414"/>
      <c r="DH171" s="311"/>
      <c r="DI171" s="311"/>
      <c r="DJ171" s="311"/>
      <c r="DK171" s="311"/>
      <c r="DL171" s="321"/>
      <c r="DM171" s="321"/>
      <c r="DN171" s="321"/>
      <c r="DO171" s="321"/>
      <c r="DP171" s="321"/>
      <c r="DQ171" s="321"/>
      <c r="DR171" s="321"/>
      <c r="DS171" s="321"/>
    </row>
    <row r="172" spans="1:123" ht="7.4" customHeight="1" x14ac:dyDescent="0.5">
      <c r="A172" s="42"/>
      <c r="B172" s="42"/>
      <c r="C172" s="311"/>
      <c r="D172" s="311"/>
      <c r="E172" s="41"/>
      <c r="F172" s="42"/>
      <c r="G172" s="319"/>
      <c r="H172" s="319"/>
      <c r="I172" s="319"/>
      <c r="J172" s="319"/>
      <c r="K172" s="319"/>
      <c r="L172" s="319"/>
      <c r="M172" s="319"/>
      <c r="N172" s="319"/>
      <c r="O172" s="319"/>
      <c r="P172" s="319"/>
      <c r="Q172" s="319"/>
      <c r="R172" s="320"/>
      <c r="S172" s="42"/>
      <c r="T172" s="405"/>
      <c r="U172" s="405"/>
      <c r="V172" s="405"/>
      <c r="W172" s="405"/>
      <c r="X172" s="405"/>
      <c r="Y172" s="405"/>
      <c r="Z172" s="405"/>
      <c r="AA172" s="405"/>
      <c r="AB172" s="405"/>
      <c r="AC172" s="405"/>
      <c r="AD172" s="405"/>
      <c r="AE172" s="405"/>
      <c r="AF172" s="405"/>
      <c r="AG172" s="405"/>
      <c r="AH172" s="405"/>
      <c r="AI172" s="405"/>
      <c r="AJ172" s="411"/>
      <c r="AK172" s="42"/>
      <c r="AL172" s="311"/>
      <c r="AM172" s="311"/>
      <c r="AN172" s="311"/>
      <c r="AO172" s="311"/>
      <c r="AP172" s="43"/>
      <c r="AQ172" s="111"/>
      <c r="AR172" s="309"/>
      <c r="AS172" s="309"/>
      <c r="AT172" s="309"/>
      <c r="AU172" s="309"/>
      <c r="AV172" s="309"/>
      <c r="AW172" s="309"/>
      <c r="AX172" s="309"/>
      <c r="AY172" s="309"/>
      <c r="AZ172" s="309"/>
      <c r="BA172" s="309"/>
      <c r="BB172" s="309"/>
      <c r="BC172" s="309"/>
      <c r="BD172" s="309"/>
      <c r="BE172" s="309"/>
      <c r="BF172" s="309"/>
      <c r="BG172" s="309"/>
      <c r="BH172" s="124"/>
      <c r="BI172" s="41"/>
      <c r="BK172" s="412"/>
      <c r="BL172" s="413"/>
      <c r="BM172" s="414"/>
      <c r="BN172" s="412"/>
      <c r="BO172" s="413"/>
      <c r="BP172" s="414"/>
      <c r="BQ172" s="412"/>
      <c r="BR172" s="413"/>
      <c r="BS172" s="414"/>
      <c r="BT172" s="412"/>
      <c r="BU172" s="413"/>
      <c r="BV172" s="414"/>
      <c r="BW172" s="412"/>
      <c r="BX172" s="413"/>
      <c r="BY172" s="414"/>
      <c r="BZ172" s="412"/>
      <c r="CA172" s="413"/>
      <c r="CB172" s="414"/>
      <c r="CC172" s="412"/>
      <c r="CD172" s="413"/>
      <c r="CE172" s="414"/>
      <c r="CF172" s="412"/>
      <c r="CG172" s="413"/>
      <c r="CH172" s="414"/>
      <c r="CI172" s="412"/>
      <c r="CJ172" s="413"/>
      <c r="CK172" s="414"/>
      <c r="CL172" s="412"/>
      <c r="CM172" s="413"/>
      <c r="CN172" s="414"/>
      <c r="CO172" s="412"/>
      <c r="CP172" s="413"/>
      <c r="CQ172" s="414"/>
      <c r="CR172" s="412"/>
      <c r="CS172" s="413"/>
      <c r="CT172" s="414"/>
      <c r="CU172" s="412"/>
      <c r="CV172" s="413"/>
      <c r="CW172" s="414"/>
      <c r="CX172" s="412"/>
      <c r="CY172" s="413"/>
      <c r="CZ172" s="414"/>
      <c r="DA172" s="412"/>
      <c r="DB172" s="413"/>
      <c r="DC172" s="414"/>
      <c r="DD172" s="412"/>
      <c r="DE172" s="413"/>
      <c r="DF172" s="414"/>
      <c r="DH172" s="311"/>
      <c r="DI172" s="311"/>
      <c r="DJ172" s="311"/>
      <c r="DK172" s="311"/>
      <c r="DL172" s="321"/>
      <c r="DM172" s="321"/>
      <c r="DN172" s="321"/>
      <c r="DO172" s="321"/>
      <c r="DP172" s="321"/>
      <c r="DQ172" s="321"/>
      <c r="DR172" s="321"/>
      <c r="DS172" s="321"/>
    </row>
    <row r="173" spans="1:123" ht="7.4" customHeight="1" x14ac:dyDescent="0.5">
      <c r="A173" s="42"/>
      <c r="B173" s="42"/>
      <c r="C173" s="333"/>
      <c r="D173" s="333"/>
      <c r="E173" s="41"/>
      <c r="F173" s="42"/>
      <c r="G173" s="56"/>
      <c r="H173" s="56"/>
      <c r="I173" s="56"/>
      <c r="J173" s="56"/>
      <c r="K173" s="56"/>
      <c r="L173" s="56"/>
      <c r="M173" s="56"/>
      <c r="N173" s="56"/>
      <c r="O173" s="56"/>
      <c r="P173" s="56"/>
      <c r="Q173" s="56"/>
      <c r="R173" s="126"/>
      <c r="S173" s="42"/>
      <c r="T173" s="116" t="str">
        <f>VLOOKUP(G171,PL!$B$9:$BH$1265,33,FALSE)</f>
        <v>.</v>
      </c>
      <c r="AJ173" s="41"/>
      <c r="AK173" s="42"/>
      <c r="AL173" s="311"/>
      <c r="AM173" s="311"/>
      <c r="AN173" s="311"/>
      <c r="AO173" s="311"/>
      <c r="AP173" s="43"/>
      <c r="AQ173" s="42"/>
      <c r="AR173" s="119"/>
      <c r="AS173" s="119"/>
      <c r="AT173" s="119"/>
      <c r="AU173" s="119"/>
      <c r="AV173" s="119"/>
      <c r="AW173" s="119"/>
      <c r="AX173" s="105"/>
      <c r="AZ173" s="119"/>
      <c r="BA173" s="119"/>
      <c r="BB173" s="119"/>
      <c r="BC173" s="119"/>
      <c r="BD173" s="119"/>
      <c r="BE173" s="119"/>
      <c r="BF173" s="119"/>
      <c r="BG173" s="119"/>
      <c r="BH173" s="124"/>
      <c r="BI173" s="41"/>
      <c r="BK173" s="194"/>
      <c r="BL173" s="123"/>
      <c r="BM173" s="195"/>
      <c r="BN173" s="194"/>
      <c r="BO173" s="123"/>
      <c r="BP173" s="195"/>
      <c r="BQ173" s="194"/>
      <c r="BR173" s="123"/>
      <c r="BS173" s="195"/>
      <c r="BT173" s="194"/>
      <c r="BU173" s="123"/>
      <c r="BV173" s="195"/>
      <c r="BW173" s="194"/>
      <c r="BX173" s="123"/>
      <c r="BY173" s="195"/>
      <c r="BZ173" s="194"/>
      <c r="CA173" s="123"/>
      <c r="CB173" s="195"/>
      <c r="CC173" s="194"/>
      <c r="CD173" s="123"/>
      <c r="CE173" s="195"/>
      <c r="CF173" s="194"/>
      <c r="CG173" s="123"/>
      <c r="CH173" s="195"/>
      <c r="CI173" s="194"/>
      <c r="CJ173" s="123"/>
      <c r="CK173" s="195"/>
      <c r="CL173" s="194"/>
      <c r="CM173" s="123"/>
      <c r="CN173" s="195"/>
      <c r="CO173" s="194"/>
      <c r="CP173" s="123"/>
      <c r="CQ173" s="195"/>
      <c r="CR173" s="194"/>
      <c r="CS173" s="123"/>
      <c r="CT173" s="195"/>
      <c r="CU173" s="194"/>
      <c r="CV173" s="123"/>
      <c r="CW173" s="195"/>
      <c r="CX173" s="194"/>
      <c r="CY173" s="123"/>
      <c r="CZ173" s="195"/>
      <c r="DA173" s="194"/>
      <c r="DB173" s="123"/>
      <c r="DC173" s="195"/>
      <c r="DD173" s="194"/>
      <c r="DE173" s="123"/>
      <c r="DF173" s="195"/>
      <c r="DH173" s="311"/>
      <c r="DI173" s="311"/>
      <c r="DJ173" s="311"/>
      <c r="DK173" s="311"/>
      <c r="DL173" s="321"/>
      <c r="DM173" s="321"/>
      <c r="DN173" s="321"/>
      <c r="DO173" s="321"/>
      <c r="DP173" s="321"/>
      <c r="DQ173" s="321"/>
      <c r="DR173" s="321"/>
      <c r="DS173" s="321"/>
    </row>
    <row r="174" spans="1:123" ht="7.4" customHeight="1" x14ac:dyDescent="0.5">
      <c r="A174" s="42"/>
      <c r="B174" s="42"/>
      <c r="C174" s="333"/>
      <c r="D174" s="333"/>
      <c r="E174" s="41"/>
      <c r="F174" s="42"/>
      <c r="G174" s="56"/>
      <c r="H174" s="56"/>
      <c r="I174" s="56"/>
      <c r="J174" s="56"/>
      <c r="K174" s="56"/>
      <c r="L174" s="56"/>
      <c r="M174" s="56"/>
      <c r="N174" s="56"/>
      <c r="O174" s="56"/>
      <c r="P174" s="56"/>
      <c r="Q174" s="56"/>
      <c r="R174" s="126"/>
      <c r="S174" s="42"/>
      <c r="AJ174" s="41"/>
      <c r="AK174" s="42"/>
      <c r="AL174" s="311"/>
      <c r="AM174" s="311"/>
      <c r="AN174" s="311"/>
      <c r="AO174" s="311"/>
      <c r="AP174" s="43"/>
      <c r="AQ174" s="42"/>
      <c r="AR174" s="119"/>
      <c r="AS174" s="119"/>
      <c r="AT174" s="119"/>
      <c r="AU174" s="119"/>
      <c r="AV174" s="119"/>
      <c r="AW174" s="119"/>
      <c r="AX174" s="105"/>
      <c r="AZ174" s="119"/>
      <c r="BA174" s="119"/>
      <c r="BB174" s="119"/>
      <c r="BC174" s="119"/>
      <c r="BD174" s="119"/>
      <c r="BE174" s="119"/>
      <c r="BF174" s="119"/>
      <c r="BG174" s="119"/>
      <c r="BH174" s="124"/>
      <c r="BI174" s="41"/>
      <c r="BK174" s="194"/>
      <c r="BL174" s="123"/>
      <c r="BM174" s="195"/>
      <c r="BN174" s="194"/>
      <c r="BO174" s="123"/>
      <c r="BP174" s="195"/>
      <c r="BQ174" s="194"/>
      <c r="BR174" s="123"/>
      <c r="BS174" s="195"/>
      <c r="BT174" s="194"/>
      <c r="BU174" s="123"/>
      <c r="BV174" s="195"/>
      <c r="BW174" s="194"/>
      <c r="BX174" s="123"/>
      <c r="BY174" s="195"/>
      <c r="BZ174" s="194"/>
      <c r="CA174" s="123"/>
      <c r="CB174" s="195"/>
      <c r="CC174" s="194"/>
      <c r="CD174" s="123"/>
      <c r="CE174" s="195"/>
      <c r="CF174" s="194"/>
      <c r="CG174" s="123"/>
      <c r="CH174" s="195"/>
      <c r="CI174" s="194"/>
      <c r="CJ174" s="123"/>
      <c r="CK174" s="195"/>
      <c r="CL174" s="194"/>
      <c r="CM174" s="123"/>
      <c r="CN174" s="195"/>
      <c r="CO174" s="194"/>
      <c r="CP174" s="123"/>
      <c r="CQ174" s="195"/>
      <c r="CR174" s="194"/>
      <c r="CS174" s="123"/>
      <c r="CT174" s="195"/>
      <c r="CU174" s="194"/>
      <c r="CV174" s="123"/>
      <c r="CW174" s="195"/>
      <c r="CX174" s="194"/>
      <c r="CY174" s="123"/>
      <c r="CZ174" s="195"/>
      <c r="DA174" s="194"/>
      <c r="DB174" s="123"/>
      <c r="DC174" s="195"/>
      <c r="DD174" s="194"/>
      <c r="DE174" s="123"/>
      <c r="DF174" s="195"/>
      <c r="DH174" s="311"/>
      <c r="DI174" s="311"/>
      <c r="DJ174" s="311"/>
      <c r="DK174" s="311"/>
      <c r="DL174" s="321"/>
      <c r="DM174" s="321"/>
      <c r="DN174" s="321"/>
      <c r="DO174" s="321"/>
      <c r="DP174" s="321"/>
      <c r="DQ174" s="321"/>
      <c r="DR174" s="321"/>
      <c r="DS174" s="321"/>
    </row>
    <row r="175" spans="1:123" ht="7.4" customHeight="1" x14ac:dyDescent="0.5">
      <c r="A175" s="42"/>
      <c r="B175" s="42"/>
      <c r="C175" s="311">
        <f>C171+1</f>
        <v>15</v>
      </c>
      <c r="D175" s="311"/>
      <c r="E175" s="41"/>
      <c r="F175" s="42"/>
      <c r="G175" s="319" t="str">
        <f>IF(AL175=0,"N/A","AXE_WS_8"&amp;"_SS")</f>
        <v>AXE_WS_8_SS</v>
      </c>
      <c r="H175" s="319"/>
      <c r="I175" s="319"/>
      <c r="J175" s="319"/>
      <c r="K175" s="319"/>
      <c r="L175" s="319"/>
      <c r="M175" s="319"/>
      <c r="N175" s="319"/>
      <c r="O175" s="319"/>
      <c r="P175" s="319"/>
      <c r="Q175" s="319"/>
      <c r="R175" s="320"/>
      <c r="S175" s="42"/>
      <c r="T175" s="405" t="str">
        <f>VLOOKUP(G175,PL!$B$9:$BH$1265,14,FALSE)</f>
        <v>Spring Washer</v>
      </c>
      <c r="U175" s="405"/>
      <c r="V175" s="405"/>
      <c r="W175" s="405"/>
      <c r="X175" s="405"/>
      <c r="Y175" s="405"/>
      <c r="Z175" s="405"/>
      <c r="AA175" s="405"/>
      <c r="AB175" s="405"/>
      <c r="AC175" s="405"/>
      <c r="AD175" s="405"/>
      <c r="AE175" s="405"/>
      <c r="AF175" s="405"/>
      <c r="AG175" s="405"/>
      <c r="AH175" s="405"/>
      <c r="AI175" s="405"/>
      <c r="AJ175" s="411"/>
      <c r="AK175" s="42"/>
      <c r="AL175" s="311">
        <f>ROUND(SUM(BK175:DF175)*(1+$BF$80),0)</f>
        <v>416</v>
      </c>
      <c r="AM175" s="311"/>
      <c r="AN175" s="311"/>
      <c r="AO175" s="311"/>
      <c r="AP175" s="43"/>
      <c r="AQ175" s="111"/>
      <c r="AR175" s="308" t="str">
        <f>VLOOKUP(G175,PL!$B$9:$BH$818,52,FALSE)</f>
        <v>SOL-5951</v>
      </c>
      <c r="AS175" s="309"/>
      <c r="AT175" s="309"/>
      <c r="AU175" s="309"/>
      <c r="AV175" s="309"/>
      <c r="AW175" s="309"/>
      <c r="AX175" s="309"/>
      <c r="AY175" s="309"/>
      <c r="AZ175" s="309"/>
      <c r="BA175" s="309"/>
      <c r="BB175" s="309"/>
      <c r="BC175" s="309"/>
      <c r="BD175" s="309"/>
      <c r="BE175" s="309"/>
      <c r="BF175" s="309"/>
      <c r="BG175" s="309"/>
      <c r="BH175" s="124"/>
      <c r="BI175" s="41"/>
      <c r="BK175" s="412">
        <f>BK167+BK171+BK163</f>
        <v>400</v>
      </c>
      <c r="BL175" s="413"/>
      <c r="BM175" s="414"/>
      <c r="BN175" s="412">
        <f>BN167+BN171+BN163</f>
        <v>0</v>
      </c>
      <c r="BO175" s="413"/>
      <c r="BP175" s="414"/>
      <c r="BQ175" s="412">
        <f>BQ167+BQ171+BQ163</f>
        <v>0</v>
      </c>
      <c r="BR175" s="413"/>
      <c r="BS175" s="414"/>
      <c r="BT175" s="412">
        <f>BT167+BT171+BT163</f>
        <v>0</v>
      </c>
      <c r="BU175" s="413"/>
      <c r="BV175" s="414"/>
      <c r="BW175" s="412">
        <f>BW167+BW171+BW163</f>
        <v>0</v>
      </c>
      <c r="BX175" s="413"/>
      <c r="BY175" s="414"/>
      <c r="BZ175" s="412">
        <f>BZ167+BZ171+BZ163</f>
        <v>0</v>
      </c>
      <c r="CA175" s="413"/>
      <c r="CB175" s="414"/>
      <c r="CC175" s="412">
        <f>CC167+CC171+CC163</f>
        <v>0</v>
      </c>
      <c r="CD175" s="413"/>
      <c r="CE175" s="414"/>
      <c r="CF175" s="412">
        <f>CF167+CF171+CF163</f>
        <v>0</v>
      </c>
      <c r="CG175" s="413"/>
      <c r="CH175" s="414"/>
      <c r="CI175" s="412">
        <f>CI167+CI171+CI163</f>
        <v>0</v>
      </c>
      <c r="CJ175" s="413"/>
      <c r="CK175" s="414"/>
      <c r="CL175" s="412">
        <f>CL167+CL171+CL163</f>
        <v>0</v>
      </c>
      <c r="CM175" s="413"/>
      <c r="CN175" s="414"/>
      <c r="CO175" s="412">
        <f>CO167+CO171+CO163</f>
        <v>0</v>
      </c>
      <c r="CP175" s="413"/>
      <c r="CQ175" s="414"/>
      <c r="CR175" s="412">
        <f>CR167+CR171+CR163</f>
        <v>0</v>
      </c>
      <c r="CS175" s="413"/>
      <c r="CT175" s="414"/>
      <c r="CU175" s="412">
        <f>CU167+CU171+CU163</f>
        <v>0</v>
      </c>
      <c r="CV175" s="413"/>
      <c r="CW175" s="414"/>
      <c r="CX175" s="412">
        <f>CX167+CX171+CX163</f>
        <v>0</v>
      </c>
      <c r="CY175" s="413"/>
      <c r="CZ175" s="414"/>
      <c r="DA175" s="412">
        <f>DA167+DA171+DA163</f>
        <v>0</v>
      </c>
      <c r="DB175" s="413"/>
      <c r="DC175" s="414"/>
      <c r="DD175" s="412">
        <f>DD167+DD171+DD163</f>
        <v>0</v>
      </c>
      <c r="DE175" s="413"/>
      <c r="DF175" s="414"/>
      <c r="DH175" s="311"/>
      <c r="DI175" s="311"/>
      <c r="DJ175" s="311"/>
      <c r="DK175" s="311"/>
      <c r="DL175" s="321"/>
      <c r="DM175" s="321"/>
      <c r="DN175" s="321"/>
      <c r="DO175" s="321"/>
      <c r="DP175" s="321"/>
      <c r="DQ175" s="321"/>
      <c r="DR175" s="321"/>
      <c r="DS175" s="321"/>
    </row>
    <row r="176" spans="1:123" ht="7.4" customHeight="1" x14ac:dyDescent="0.5">
      <c r="A176" s="42"/>
      <c r="B176" s="42"/>
      <c r="C176" s="311"/>
      <c r="D176" s="311"/>
      <c r="E176" s="41"/>
      <c r="F176" s="42"/>
      <c r="G176" s="319"/>
      <c r="H176" s="319"/>
      <c r="I176" s="319"/>
      <c r="J176" s="319"/>
      <c r="K176" s="319"/>
      <c r="L176" s="319"/>
      <c r="M176" s="319"/>
      <c r="N176" s="319"/>
      <c r="O176" s="319"/>
      <c r="P176" s="319"/>
      <c r="Q176" s="319"/>
      <c r="R176" s="320"/>
      <c r="S176" s="42"/>
      <c r="T176" s="405"/>
      <c r="U176" s="405"/>
      <c r="V176" s="405"/>
      <c r="W176" s="405"/>
      <c r="X176" s="405"/>
      <c r="Y176" s="405"/>
      <c r="Z176" s="405"/>
      <c r="AA176" s="405"/>
      <c r="AB176" s="405"/>
      <c r="AC176" s="405"/>
      <c r="AD176" s="405"/>
      <c r="AE176" s="405"/>
      <c r="AF176" s="405"/>
      <c r="AG176" s="405"/>
      <c r="AH176" s="405"/>
      <c r="AI176" s="405"/>
      <c r="AJ176" s="411"/>
      <c r="AK176" s="42"/>
      <c r="AL176" s="311"/>
      <c r="AM176" s="311"/>
      <c r="AN176" s="311"/>
      <c r="AO176" s="311"/>
      <c r="AP176" s="43"/>
      <c r="AQ176" s="111"/>
      <c r="AR176" s="309"/>
      <c r="AS176" s="309"/>
      <c r="AT176" s="309"/>
      <c r="AU176" s="309"/>
      <c r="AV176" s="309"/>
      <c r="AW176" s="309"/>
      <c r="AX176" s="309"/>
      <c r="AY176" s="309"/>
      <c r="AZ176" s="309"/>
      <c r="BA176" s="309"/>
      <c r="BB176" s="309"/>
      <c r="BC176" s="309"/>
      <c r="BD176" s="309"/>
      <c r="BE176" s="309"/>
      <c r="BF176" s="309"/>
      <c r="BG176" s="309"/>
      <c r="BH176" s="124"/>
      <c r="BI176" s="41"/>
      <c r="BK176" s="412"/>
      <c r="BL176" s="413"/>
      <c r="BM176" s="414"/>
      <c r="BN176" s="412"/>
      <c r="BO176" s="413"/>
      <c r="BP176" s="414"/>
      <c r="BQ176" s="412"/>
      <c r="BR176" s="413"/>
      <c r="BS176" s="414"/>
      <c r="BT176" s="412"/>
      <c r="BU176" s="413"/>
      <c r="BV176" s="414"/>
      <c r="BW176" s="412"/>
      <c r="BX176" s="413"/>
      <c r="BY176" s="414"/>
      <c r="BZ176" s="412"/>
      <c r="CA176" s="413"/>
      <c r="CB176" s="414"/>
      <c r="CC176" s="412"/>
      <c r="CD176" s="413"/>
      <c r="CE176" s="414"/>
      <c r="CF176" s="412"/>
      <c r="CG176" s="413"/>
      <c r="CH176" s="414"/>
      <c r="CI176" s="412"/>
      <c r="CJ176" s="413"/>
      <c r="CK176" s="414"/>
      <c r="CL176" s="412"/>
      <c r="CM176" s="413"/>
      <c r="CN176" s="414"/>
      <c r="CO176" s="412"/>
      <c r="CP176" s="413"/>
      <c r="CQ176" s="414"/>
      <c r="CR176" s="412"/>
      <c r="CS176" s="413"/>
      <c r="CT176" s="414"/>
      <c r="CU176" s="412"/>
      <c r="CV176" s="413"/>
      <c r="CW176" s="414"/>
      <c r="CX176" s="412"/>
      <c r="CY176" s="413"/>
      <c r="CZ176" s="414"/>
      <c r="DA176" s="412"/>
      <c r="DB176" s="413"/>
      <c r="DC176" s="414"/>
      <c r="DD176" s="412"/>
      <c r="DE176" s="413"/>
      <c r="DF176" s="414"/>
      <c r="DH176" s="311"/>
      <c r="DI176" s="311"/>
      <c r="DJ176" s="311"/>
      <c r="DK176" s="311"/>
      <c r="DL176" s="321"/>
      <c r="DM176" s="321"/>
      <c r="DN176" s="321"/>
      <c r="DO176" s="321"/>
      <c r="DP176" s="321"/>
      <c r="DQ176" s="321"/>
      <c r="DR176" s="321"/>
      <c r="DS176" s="321"/>
    </row>
    <row r="177" spans="1:123" ht="7.4" customHeight="1" x14ac:dyDescent="0.5">
      <c r="A177" s="42"/>
      <c r="B177" s="42"/>
      <c r="C177" s="333"/>
      <c r="D177" s="333"/>
      <c r="E177" s="41"/>
      <c r="F177" s="42"/>
      <c r="G177" s="56"/>
      <c r="H177" s="56"/>
      <c r="I177" s="56"/>
      <c r="J177" s="56"/>
      <c r="K177" s="56"/>
      <c r="L177" s="56"/>
      <c r="M177" s="56"/>
      <c r="N177" s="56"/>
      <c r="O177" s="56"/>
      <c r="P177" s="56"/>
      <c r="Q177" s="56"/>
      <c r="R177" s="126"/>
      <c r="S177" s="42"/>
      <c r="T177" s="116" t="str">
        <f>VLOOKUP(G175,PL!$B$9:$BH$1265,33,FALSE)</f>
        <v>Stainless Steel, M8</v>
      </c>
      <c r="AJ177" s="41"/>
      <c r="AK177" s="42"/>
      <c r="AL177" s="311"/>
      <c r="AM177" s="311"/>
      <c r="AN177" s="311"/>
      <c r="AO177" s="311"/>
      <c r="AP177" s="43"/>
      <c r="AQ177" s="42"/>
      <c r="AR177" s="119"/>
      <c r="AS177" s="119"/>
      <c r="AT177" s="119"/>
      <c r="AU177" s="119"/>
      <c r="AV177" s="119"/>
      <c r="AW177" s="119"/>
      <c r="AX177" s="105"/>
      <c r="AZ177" s="119"/>
      <c r="BA177" s="119"/>
      <c r="BB177" s="119"/>
      <c r="BC177" s="119"/>
      <c r="BD177" s="119"/>
      <c r="BE177" s="119"/>
      <c r="BF177" s="119"/>
      <c r="BG177" s="119"/>
      <c r="BH177" s="124"/>
      <c r="BI177" s="41"/>
      <c r="BK177" s="194"/>
      <c r="BL177" s="123"/>
      <c r="BM177" s="195"/>
      <c r="BN177" s="194"/>
      <c r="BO177" s="123"/>
      <c r="BP177" s="195"/>
      <c r="BQ177" s="194"/>
      <c r="BR177" s="123"/>
      <c r="BS177" s="195"/>
      <c r="BT177" s="194"/>
      <c r="BU177" s="123"/>
      <c r="BV177" s="195"/>
      <c r="BW177" s="194"/>
      <c r="BX177" s="123"/>
      <c r="BY177" s="195"/>
      <c r="BZ177" s="194"/>
      <c r="CA177" s="123"/>
      <c r="CB177" s="195"/>
      <c r="CC177" s="194"/>
      <c r="CD177" s="123"/>
      <c r="CE177" s="195"/>
      <c r="CF177" s="194"/>
      <c r="CG177" s="123"/>
      <c r="CH177" s="195"/>
      <c r="CI177" s="194"/>
      <c r="CJ177" s="123"/>
      <c r="CK177" s="195"/>
      <c r="CL177" s="194"/>
      <c r="CM177" s="123"/>
      <c r="CN177" s="195"/>
      <c r="CO177" s="194"/>
      <c r="CP177" s="123"/>
      <c r="CQ177" s="195"/>
      <c r="CR177" s="194"/>
      <c r="CS177" s="123"/>
      <c r="CT177" s="195"/>
      <c r="CU177" s="194"/>
      <c r="CV177" s="123"/>
      <c r="CW177" s="195"/>
      <c r="CX177" s="194"/>
      <c r="CY177" s="123"/>
      <c r="CZ177" s="195"/>
      <c r="DA177" s="194"/>
      <c r="DB177" s="123"/>
      <c r="DC177" s="195"/>
      <c r="DD177" s="194"/>
      <c r="DE177" s="123"/>
      <c r="DF177" s="195"/>
      <c r="DH177" s="311"/>
      <c r="DI177" s="311"/>
      <c r="DJ177" s="311"/>
      <c r="DK177" s="311"/>
      <c r="DL177" s="321"/>
      <c r="DM177" s="321"/>
      <c r="DN177" s="321"/>
      <c r="DO177" s="321"/>
      <c r="DP177" s="321"/>
      <c r="DQ177" s="321"/>
      <c r="DR177" s="321"/>
      <c r="DS177" s="321"/>
    </row>
    <row r="178" spans="1:123" ht="7.4" customHeight="1" x14ac:dyDescent="0.5">
      <c r="A178" s="42"/>
      <c r="B178" s="42"/>
      <c r="C178" s="333"/>
      <c r="D178" s="333"/>
      <c r="E178" s="41"/>
      <c r="F178" s="42"/>
      <c r="G178" s="56"/>
      <c r="H178" s="56"/>
      <c r="I178" s="56"/>
      <c r="J178" s="56"/>
      <c r="K178" s="56"/>
      <c r="L178" s="56"/>
      <c r="M178" s="56"/>
      <c r="N178" s="56"/>
      <c r="O178" s="56"/>
      <c r="P178" s="56"/>
      <c r="Q178" s="56"/>
      <c r="R178" s="126"/>
      <c r="S178" s="42"/>
      <c r="AJ178" s="41"/>
      <c r="AK178" s="42"/>
      <c r="AL178" s="311"/>
      <c r="AM178" s="311"/>
      <c r="AN178" s="311"/>
      <c r="AO178" s="311"/>
      <c r="AP178" s="43"/>
      <c r="AQ178" s="42"/>
      <c r="AR178" s="119"/>
      <c r="AS178" s="119"/>
      <c r="AT178" s="119"/>
      <c r="AU178" s="119"/>
      <c r="AV178" s="119"/>
      <c r="AW178" s="119"/>
      <c r="AX178" s="105"/>
      <c r="AZ178" s="119"/>
      <c r="BA178" s="119"/>
      <c r="BB178" s="119"/>
      <c r="BC178" s="119"/>
      <c r="BD178" s="119"/>
      <c r="BE178" s="119"/>
      <c r="BF178" s="119"/>
      <c r="BG178" s="119"/>
      <c r="BH178" s="124"/>
      <c r="BI178" s="41"/>
      <c r="BK178" s="194"/>
      <c r="BL178" s="123"/>
      <c r="BM178" s="195"/>
      <c r="BN178" s="194"/>
      <c r="BO178" s="123"/>
      <c r="BP178" s="195"/>
      <c r="BQ178" s="194"/>
      <c r="BR178" s="123"/>
      <c r="BS178" s="195"/>
      <c r="BT178" s="194"/>
      <c r="BU178" s="123"/>
      <c r="BV178" s="195"/>
      <c r="BW178" s="194"/>
      <c r="BX178" s="123"/>
      <c r="BY178" s="195"/>
      <c r="BZ178" s="194"/>
      <c r="CA178" s="123"/>
      <c r="CB178" s="195"/>
      <c r="CC178" s="194"/>
      <c r="CD178" s="123"/>
      <c r="CE178" s="195"/>
      <c r="CF178" s="194"/>
      <c r="CG178" s="123"/>
      <c r="CH178" s="195"/>
      <c r="CI178" s="194"/>
      <c r="CJ178" s="123"/>
      <c r="CK178" s="195"/>
      <c r="CL178" s="194"/>
      <c r="CM178" s="123"/>
      <c r="CN178" s="195"/>
      <c r="CO178" s="194"/>
      <c r="CP178" s="123"/>
      <c r="CQ178" s="195"/>
      <c r="CR178" s="194"/>
      <c r="CS178" s="123"/>
      <c r="CT178" s="195"/>
      <c r="CU178" s="194"/>
      <c r="CV178" s="123"/>
      <c r="CW178" s="195"/>
      <c r="CX178" s="194"/>
      <c r="CY178" s="123"/>
      <c r="CZ178" s="195"/>
      <c r="DA178" s="194"/>
      <c r="DB178" s="123"/>
      <c r="DC178" s="195"/>
      <c r="DD178" s="194"/>
      <c r="DE178" s="123"/>
      <c r="DF178" s="195"/>
      <c r="DH178" s="311"/>
      <c r="DI178" s="311"/>
      <c r="DJ178" s="311"/>
      <c r="DK178" s="311"/>
      <c r="DL178" s="321"/>
      <c r="DM178" s="321"/>
      <c r="DN178" s="321"/>
      <c r="DO178" s="321"/>
      <c r="DP178" s="321"/>
      <c r="DQ178" s="321"/>
      <c r="DR178" s="321"/>
      <c r="DS178" s="321"/>
    </row>
    <row r="179" spans="1:123" ht="7.4" customHeight="1" x14ac:dyDescent="0.5">
      <c r="A179" s="42"/>
      <c r="B179" s="42"/>
      <c r="C179" s="311">
        <f>C175+1</f>
        <v>16</v>
      </c>
      <c r="D179" s="311"/>
      <c r="E179" s="41"/>
      <c r="F179" s="42"/>
      <c r="G179" s="319" t="str">
        <f>IF(AL179=0,"N/A","AXE_NHF_8_SS")</f>
        <v>AXE_NHF_8_SS</v>
      </c>
      <c r="H179" s="319"/>
      <c r="I179" s="319"/>
      <c r="J179" s="319"/>
      <c r="K179" s="319"/>
      <c r="L179" s="319"/>
      <c r="M179" s="319"/>
      <c r="N179" s="319"/>
      <c r="O179" s="319"/>
      <c r="P179" s="319"/>
      <c r="Q179" s="319"/>
      <c r="R179" s="320"/>
      <c r="S179" s="42"/>
      <c r="T179" s="405" t="str">
        <f>VLOOKUP(G179,PL!$B$9:$BH$1265,14,FALSE)</f>
        <v>Hex Flange Nut</v>
      </c>
      <c r="U179" s="405"/>
      <c r="V179" s="405"/>
      <c r="W179" s="405"/>
      <c r="X179" s="405"/>
      <c r="Y179" s="405"/>
      <c r="Z179" s="405"/>
      <c r="AA179" s="405"/>
      <c r="AB179" s="405"/>
      <c r="AC179" s="405"/>
      <c r="AD179" s="405"/>
      <c r="AE179" s="405"/>
      <c r="AF179" s="405"/>
      <c r="AG179" s="405"/>
      <c r="AH179" s="405"/>
      <c r="AI179" s="405"/>
      <c r="AJ179" s="411"/>
      <c r="AK179" s="42"/>
      <c r="AL179" s="311">
        <f>ROUND(SUM(BK179:DF179)*(1+$BF$80),0)</f>
        <v>416</v>
      </c>
      <c r="AM179" s="311"/>
      <c r="AN179" s="311"/>
      <c r="AO179" s="311"/>
      <c r="AP179" s="43"/>
      <c r="AQ179" s="111"/>
      <c r="AR179" s="308" t="str">
        <f>VLOOKUP(G179,PL!$B$9:$BH$818,52,FALSE)</f>
        <v>SOL-59530</v>
      </c>
      <c r="AS179" s="309"/>
      <c r="AT179" s="309"/>
      <c r="AU179" s="309"/>
      <c r="AV179" s="309"/>
      <c r="AW179" s="309"/>
      <c r="AX179" s="309"/>
      <c r="AY179" s="309"/>
      <c r="AZ179" s="309"/>
      <c r="BA179" s="309"/>
      <c r="BB179" s="309"/>
      <c r="BC179" s="309"/>
      <c r="BD179" s="309"/>
      <c r="BE179" s="309"/>
      <c r="BF179" s="309"/>
      <c r="BG179" s="309"/>
      <c r="BH179" s="124"/>
      <c r="BI179" s="41"/>
      <c r="BK179" s="412">
        <f>BK167</f>
        <v>400</v>
      </c>
      <c r="BL179" s="413"/>
      <c r="BM179" s="414"/>
      <c r="BN179" s="412">
        <f>BN167</f>
        <v>0</v>
      </c>
      <c r="BO179" s="413"/>
      <c r="BP179" s="414"/>
      <c r="BQ179" s="412">
        <f>BQ167</f>
        <v>0</v>
      </c>
      <c r="BR179" s="413"/>
      <c r="BS179" s="414"/>
      <c r="BT179" s="412">
        <f>BT167</f>
        <v>0</v>
      </c>
      <c r="BU179" s="413"/>
      <c r="BV179" s="414"/>
      <c r="BW179" s="412">
        <f>BW167</f>
        <v>0</v>
      </c>
      <c r="BX179" s="413"/>
      <c r="BY179" s="414"/>
      <c r="BZ179" s="412">
        <f>BZ167</f>
        <v>0</v>
      </c>
      <c r="CA179" s="413"/>
      <c r="CB179" s="414"/>
      <c r="CC179" s="412">
        <f>CC167</f>
        <v>0</v>
      </c>
      <c r="CD179" s="413"/>
      <c r="CE179" s="414"/>
      <c r="CF179" s="412">
        <f>CF167</f>
        <v>0</v>
      </c>
      <c r="CG179" s="413"/>
      <c r="CH179" s="414"/>
      <c r="CI179" s="412">
        <f>CI167</f>
        <v>0</v>
      </c>
      <c r="CJ179" s="413"/>
      <c r="CK179" s="414"/>
      <c r="CL179" s="412">
        <f>CL167</f>
        <v>0</v>
      </c>
      <c r="CM179" s="413"/>
      <c r="CN179" s="414"/>
      <c r="CO179" s="412">
        <f>CO167</f>
        <v>0</v>
      </c>
      <c r="CP179" s="413"/>
      <c r="CQ179" s="414"/>
      <c r="CR179" s="412">
        <f>CR167</f>
        <v>0</v>
      </c>
      <c r="CS179" s="413"/>
      <c r="CT179" s="414"/>
      <c r="CU179" s="412">
        <f>CU167</f>
        <v>0</v>
      </c>
      <c r="CV179" s="413"/>
      <c r="CW179" s="414"/>
      <c r="CX179" s="412">
        <f>CX167</f>
        <v>0</v>
      </c>
      <c r="CY179" s="413"/>
      <c r="CZ179" s="414"/>
      <c r="DA179" s="412">
        <f>DA167</f>
        <v>0</v>
      </c>
      <c r="DB179" s="413"/>
      <c r="DC179" s="414"/>
      <c r="DD179" s="412">
        <f>DD167</f>
        <v>0</v>
      </c>
      <c r="DE179" s="413"/>
      <c r="DF179" s="414"/>
      <c r="DH179" s="311"/>
      <c r="DI179" s="311"/>
      <c r="DJ179" s="311"/>
      <c r="DK179" s="311"/>
      <c r="DL179" s="321"/>
      <c r="DM179" s="321"/>
      <c r="DN179" s="321"/>
      <c r="DO179" s="321"/>
      <c r="DP179" s="321"/>
      <c r="DQ179" s="321"/>
      <c r="DR179" s="321"/>
      <c r="DS179" s="321"/>
    </row>
    <row r="180" spans="1:123" ht="7.4" customHeight="1" x14ac:dyDescent="0.5">
      <c r="A180" s="42"/>
      <c r="B180" s="42"/>
      <c r="C180" s="311"/>
      <c r="D180" s="311"/>
      <c r="E180" s="41"/>
      <c r="F180" s="42"/>
      <c r="G180" s="319"/>
      <c r="H180" s="319"/>
      <c r="I180" s="319"/>
      <c r="J180" s="319"/>
      <c r="K180" s="319"/>
      <c r="L180" s="319"/>
      <c r="M180" s="319"/>
      <c r="N180" s="319"/>
      <c r="O180" s="319"/>
      <c r="P180" s="319"/>
      <c r="Q180" s="319"/>
      <c r="R180" s="320"/>
      <c r="S180" s="42"/>
      <c r="T180" s="405"/>
      <c r="U180" s="405"/>
      <c r="V180" s="405"/>
      <c r="W180" s="405"/>
      <c r="X180" s="405"/>
      <c r="Y180" s="405"/>
      <c r="Z180" s="405"/>
      <c r="AA180" s="405"/>
      <c r="AB180" s="405"/>
      <c r="AC180" s="405"/>
      <c r="AD180" s="405"/>
      <c r="AE180" s="405"/>
      <c r="AF180" s="405"/>
      <c r="AG180" s="405"/>
      <c r="AH180" s="405"/>
      <c r="AI180" s="405"/>
      <c r="AJ180" s="411"/>
      <c r="AK180" s="42"/>
      <c r="AL180" s="311"/>
      <c r="AM180" s="311"/>
      <c r="AN180" s="311"/>
      <c r="AO180" s="311"/>
      <c r="AP180" s="43"/>
      <c r="AQ180" s="111"/>
      <c r="AR180" s="309"/>
      <c r="AS180" s="309"/>
      <c r="AT180" s="309"/>
      <c r="AU180" s="309"/>
      <c r="AV180" s="309"/>
      <c r="AW180" s="309"/>
      <c r="AX180" s="309"/>
      <c r="AY180" s="309"/>
      <c r="AZ180" s="309"/>
      <c r="BA180" s="309"/>
      <c r="BB180" s="309"/>
      <c r="BC180" s="309"/>
      <c r="BD180" s="309"/>
      <c r="BE180" s="309"/>
      <c r="BF180" s="309"/>
      <c r="BG180" s="309"/>
      <c r="BH180" s="124"/>
      <c r="BI180" s="41"/>
      <c r="BK180" s="412"/>
      <c r="BL180" s="413"/>
      <c r="BM180" s="414"/>
      <c r="BN180" s="412"/>
      <c r="BO180" s="413"/>
      <c r="BP180" s="414"/>
      <c r="BQ180" s="412"/>
      <c r="BR180" s="413"/>
      <c r="BS180" s="414"/>
      <c r="BT180" s="412"/>
      <c r="BU180" s="413"/>
      <c r="BV180" s="414"/>
      <c r="BW180" s="412"/>
      <c r="BX180" s="413"/>
      <c r="BY180" s="414"/>
      <c r="BZ180" s="412"/>
      <c r="CA180" s="413"/>
      <c r="CB180" s="414"/>
      <c r="CC180" s="412"/>
      <c r="CD180" s="413"/>
      <c r="CE180" s="414"/>
      <c r="CF180" s="412"/>
      <c r="CG180" s="413"/>
      <c r="CH180" s="414"/>
      <c r="CI180" s="412"/>
      <c r="CJ180" s="413"/>
      <c r="CK180" s="414"/>
      <c r="CL180" s="412"/>
      <c r="CM180" s="413"/>
      <c r="CN180" s="414"/>
      <c r="CO180" s="412"/>
      <c r="CP180" s="413"/>
      <c r="CQ180" s="414"/>
      <c r="CR180" s="412"/>
      <c r="CS180" s="413"/>
      <c r="CT180" s="414"/>
      <c r="CU180" s="412"/>
      <c r="CV180" s="413"/>
      <c r="CW180" s="414"/>
      <c r="CX180" s="412"/>
      <c r="CY180" s="413"/>
      <c r="CZ180" s="414"/>
      <c r="DA180" s="412"/>
      <c r="DB180" s="413"/>
      <c r="DC180" s="414"/>
      <c r="DD180" s="412"/>
      <c r="DE180" s="413"/>
      <c r="DF180" s="414"/>
      <c r="DH180" s="311"/>
      <c r="DI180" s="311"/>
      <c r="DJ180" s="311"/>
      <c r="DK180" s="311"/>
      <c r="DL180" s="321"/>
      <c r="DM180" s="321"/>
      <c r="DN180" s="321"/>
      <c r="DO180" s="321"/>
      <c r="DP180" s="321"/>
      <c r="DQ180" s="321"/>
      <c r="DR180" s="321"/>
      <c r="DS180" s="321"/>
    </row>
    <row r="181" spans="1:123" ht="7.4" customHeight="1" x14ac:dyDescent="0.5">
      <c r="A181" s="42"/>
      <c r="B181" s="42"/>
      <c r="C181" s="333"/>
      <c r="D181" s="333"/>
      <c r="E181" s="41"/>
      <c r="F181" s="42"/>
      <c r="G181" s="56"/>
      <c r="H181" s="56"/>
      <c r="I181" s="56"/>
      <c r="J181" s="56"/>
      <c r="K181" s="56"/>
      <c r="L181" s="56"/>
      <c r="M181" s="56"/>
      <c r="N181" s="56"/>
      <c r="O181" s="56"/>
      <c r="P181" s="56"/>
      <c r="Q181" s="56"/>
      <c r="R181" s="126"/>
      <c r="S181" s="42"/>
      <c r="T181" s="116" t="str">
        <f>VLOOKUP(G179,PL!$B$9:$BH$1265,33,FALSE)</f>
        <v>Stainless Steel, M8</v>
      </c>
      <c r="AJ181" s="41"/>
      <c r="AK181" s="42"/>
      <c r="AL181" s="311"/>
      <c r="AM181" s="311"/>
      <c r="AN181" s="311"/>
      <c r="AO181" s="311"/>
      <c r="AP181" s="43"/>
      <c r="AQ181" s="42"/>
      <c r="AR181" s="119"/>
      <c r="AS181" s="119"/>
      <c r="AT181" s="119"/>
      <c r="AU181" s="119"/>
      <c r="AV181" s="119"/>
      <c r="AW181" s="119"/>
      <c r="AX181" s="105"/>
      <c r="AZ181" s="119"/>
      <c r="BA181" s="119"/>
      <c r="BB181" s="119"/>
      <c r="BC181" s="119"/>
      <c r="BD181" s="119"/>
      <c r="BE181" s="119"/>
      <c r="BF181" s="119"/>
      <c r="BG181" s="119"/>
      <c r="BH181" s="124"/>
      <c r="BI181" s="41"/>
      <c r="BK181" s="194"/>
      <c r="BL181" s="123"/>
      <c r="BM181" s="195"/>
      <c r="BN181" s="194"/>
      <c r="BO181" s="123"/>
      <c r="BP181" s="195"/>
      <c r="BQ181" s="194"/>
      <c r="BR181" s="123"/>
      <c r="BS181" s="195"/>
      <c r="BT181" s="194"/>
      <c r="BU181" s="123"/>
      <c r="BV181" s="195"/>
      <c r="BW181" s="194"/>
      <c r="BX181" s="123"/>
      <c r="BY181" s="195"/>
      <c r="BZ181" s="194"/>
      <c r="CA181" s="123"/>
      <c r="CB181" s="195"/>
      <c r="CC181" s="194"/>
      <c r="CD181" s="123"/>
      <c r="CE181" s="195"/>
      <c r="CF181" s="194"/>
      <c r="CG181" s="123"/>
      <c r="CH181" s="195"/>
      <c r="CI181" s="194"/>
      <c r="CJ181" s="123"/>
      <c r="CK181" s="195"/>
      <c r="CL181" s="194"/>
      <c r="CM181" s="123"/>
      <c r="CN181" s="195"/>
      <c r="CO181" s="194"/>
      <c r="CP181" s="123"/>
      <c r="CQ181" s="195"/>
      <c r="CR181" s="194"/>
      <c r="CS181" s="123"/>
      <c r="CT181" s="195"/>
      <c r="CU181" s="194"/>
      <c r="CV181" s="123"/>
      <c r="CW181" s="195"/>
      <c r="CX181" s="194"/>
      <c r="CY181" s="123"/>
      <c r="CZ181" s="195"/>
      <c r="DA181" s="194"/>
      <c r="DB181" s="123"/>
      <c r="DC181" s="195"/>
      <c r="DD181" s="194"/>
      <c r="DE181" s="123"/>
      <c r="DF181" s="195"/>
      <c r="DH181" s="311"/>
      <c r="DI181" s="311"/>
      <c r="DJ181" s="311"/>
      <c r="DK181" s="311"/>
      <c r="DL181" s="321"/>
      <c r="DM181" s="321"/>
      <c r="DN181" s="321"/>
      <c r="DO181" s="321"/>
      <c r="DP181" s="321"/>
      <c r="DQ181" s="321"/>
      <c r="DR181" s="321"/>
      <c r="DS181" s="321"/>
    </row>
    <row r="182" spans="1:123" ht="7.4" customHeight="1" x14ac:dyDescent="0.5">
      <c r="A182" s="42"/>
      <c r="B182" s="42"/>
      <c r="C182" s="333"/>
      <c r="D182" s="333"/>
      <c r="E182" s="41"/>
      <c r="F182" s="42"/>
      <c r="G182" s="56"/>
      <c r="H182" s="56"/>
      <c r="I182" s="56"/>
      <c r="J182" s="56"/>
      <c r="K182" s="56"/>
      <c r="L182" s="56"/>
      <c r="M182" s="56"/>
      <c r="N182" s="56"/>
      <c r="O182" s="56"/>
      <c r="P182" s="56"/>
      <c r="Q182" s="56"/>
      <c r="R182" s="126"/>
      <c r="S182" s="42"/>
      <c r="AJ182" s="41"/>
      <c r="AK182" s="42"/>
      <c r="AL182" s="311"/>
      <c r="AM182" s="311"/>
      <c r="AN182" s="311"/>
      <c r="AO182" s="311"/>
      <c r="AP182" s="43"/>
      <c r="AQ182" s="42"/>
      <c r="AR182" s="119"/>
      <c r="AS182" s="119"/>
      <c r="AT182" s="119"/>
      <c r="AU182" s="119"/>
      <c r="AV182" s="119"/>
      <c r="AW182" s="119"/>
      <c r="AX182" s="105"/>
      <c r="AZ182" s="119"/>
      <c r="BA182" s="119"/>
      <c r="BB182" s="119"/>
      <c r="BC182" s="119"/>
      <c r="BD182" s="119"/>
      <c r="BE182" s="119"/>
      <c r="BF182" s="119"/>
      <c r="BG182" s="119"/>
      <c r="BH182" s="124"/>
      <c r="BI182" s="41"/>
      <c r="BK182" s="194"/>
      <c r="BL182" s="123"/>
      <c r="BM182" s="195"/>
      <c r="BN182" s="194"/>
      <c r="BO182" s="123"/>
      <c r="BP182" s="195"/>
      <c r="BQ182" s="194"/>
      <c r="BR182" s="123"/>
      <c r="BS182" s="195"/>
      <c r="BT182" s="194"/>
      <c r="BU182" s="123"/>
      <c r="BV182" s="195"/>
      <c r="BW182" s="194"/>
      <c r="BX182" s="123"/>
      <c r="BY182" s="195"/>
      <c r="BZ182" s="194"/>
      <c r="CA182" s="123"/>
      <c r="CB182" s="195"/>
      <c r="CC182" s="194"/>
      <c r="CD182" s="123"/>
      <c r="CE182" s="195"/>
      <c r="CF182" s="194"/>
      <c r="CG182" s="123"/>
      <c r="CH182" s="195"/>
      <c r="CI182" s="194"/>
      <c r="CJ182" s="123"/>
      <c r="CK182" s="195"/>
      <c r="CL182" s="194"/>
      <c r="CM182" s="123"/>
      <c r="CN182" s="195"/>
      <c r="CO182" s="194"/>
      <c r="CP182" s="123"/>
      <c r="CQ182" s="195"/>
      <c r="CR182" s="194"/>
      <c r="CS182" s="123"/>
      <c r="CT182" s="195"/>
      <c r="CU182" s="194"/>
      <c r="CV182" s="123"/>
      <c r="CW182" s="195"/>
      <c r="CX182" s="194"/>
      <c r="CY182" s="123"/>
      <c r="CZ182" s="195"/>
      <c r="DA182" s="194"/>
      <c r="DB182" s="123"/>
      <c r="DC182" s="195"/>
      <c r="DD182" s="194"/>
      <c r="DE182" s="123"/>
      <c r="DF182" s="195"/>
      <c r="DH182" s="311"/>
      <c r="DI182" s="311"/>
      <c r="DJ182" s="311"/>
      <c r="DK182" s="311"/>
      <c r="DL182" s="321"/>
      <c r="DM182" s="321"/>
      <c r="DN182" s="321"/>
      <c r="DO182" s="321"/>
      <c r="DP182" s="321"/>
      <c r="DQ182" s="321"/>
      <c r="DR182" s="321"/>
      <c r="DS182" s="321"/>
    </row>
    <row r="183" spans="1:123" ht="7.4" customHeight="1" x14ac:dyDescent="0.5">
      <c r="A183" s="42"/>
      <c r="B183" s="42"/>
      <c r="C183" s="311">
        <f>C179+1</f>
        <v>17</v>
      </c>
      <c r="D183" s="311"/>
      <c r="E183" s="41"/>
      <c r="F183" s="42"/>
      <c r="G183" s="319" t="str">
        <f>IF(AL183=0,"N/A","AXE_NSQ_8_SS")</f>
        <v>N/A</v>
      </c>
      <c r="H183" s="319"/>
      <c r="I183" s="319"/>
      <c r="J183" s="319"/>
      <c r="K183" s="319"/>
      <c r="L183" s="319"/>
      <c r="M183" s="319"/>
      <c r="N183" s="319"/>
      <c r="O183" s="319"/>
      <c r="P183" s="319"/>
      <c r="Q183" s="319"/>
      <c r="R183" s="320"/>
      <c r="S183" s="42"/>
      <c r="T183" s="405" t="str">
        <f>VLOOKUP(G183,PL!$B$9:$BH$1265,14,FALSE)</f>
        <v>No Item</v>
      </c>
      <c r="U183" s="405"/>
      <c r="V183" s="405"/>
      <c r="W183" s="405"/>
      <c r="X183" s="405"/>
      <c r="Y183" s="405"/>
      <c r="Z183" s="405"/>
      <c r="AA183" s="405"/>
      <c r="AB183" s="405"/>
      <c r="AC183" s="405"/>
      <c r="AD183" s="405"/>
      <c r="AE183" s="405"/>
      <c r="AF183" s="405"/>
      <c r="AG183" s="405"/>
      <c r="AH183" s="405"/>
      <c r="AI183" s="405"/>
      <c r="AJ183" s="411"/>
      <c r="AK183" s="42"/>
      <c r="AL183" s="311">
        <f>ROUND(SUM(BK183:DF183)*(1+$BF$80),0)</f>
        <v>0</v>
      </c>
      <c r="AM183" s="311"/>
      <c r="AN183" s="311"/>
      <c r="AO183" s="311"/>
      <c r="AP183" s="43"/>
      <c r="AQ183" s="111"/>
      <c r="AR183" s="308" t="str">
        <f>VLOOKUP(G183,PL!$B$9:$BH$818,52,FALSE)</f>
        <v>-</v>
      </c>
      <c r="AS183" s="309"/>
      <c r="AT183" s="309"/>
      <c r="AU183" s="309"/>
      <c r="AV183" s="309"/>
      <c r="AW183" s="309"/>
      <c r="AX183" s="309"/>
      <c r="AY183" s="309"/>
      <c r="AZ183" s="309"/>
      <c r="BA183" s="309"/>
      <c r="BB183" s="309"/>
      <c r="BC183" s="309"/>
      <c r="BD183" s="309"/>
      <c r="BE183" s="309"/>
      <c r="BF183" s="309"/>
      <c r="BG183" s="309"/>
      <c r="BH183" s="124"/>
      <c r="BI183" s="41"/>
      <c r="BK183" s="412">
        <f>BK163+BK171-IF(MID($G$147,8,2)="PF",BK147,0)</f>
        <v>0</v>
      </c>
      <c r="BL183" s="413"/>
      <c r="BM183" s="414"/>
      <c r="BN183" s="412">
        <f>BN163+BN171-IF(MID($G$147,8,2)="PF",BN147,0)</f>
        <v>0</v>
      </c>
      <c r="BO183" s="413"/>
      <c r="BP183" s="414"/>
      <c r="BQ183" s="412">
        <f t="shared" ref="BQ183" si="113">BQ163+BQ171-IF(MID($G$147,8,2)="PF",BQ147,0)</f>
        <v>0</v>
      </c>
      <c r="BR183" s="413"/>
      <c r="BS183" s="414"/>
      <c r="BT183" s="412">
        <f t="shared" ref="BT183" si="114">BT163+BT171-IF(MID($G$147,8,2)="PF",BT147,0)</f>
        <v>0</v>
      </c>
      <c r="BU183" s="413"/>
      <c r="BV183" s="414"/>
      <c r="BW183" s="412">
        <f t="shared" ref="BW183" si="115">BW163+BW171-IF(MID($G$147,8,2)="PF",BW147,0)</f>
        <v>0</v>
      </c>
      <c r="BX183" s="413"/>
      <c r="BY183" s="414"/>
      <c r="BZ183" s="412">
        <f t="shared" ref="BZ183" si="116">BZ163+BZ171-IF(MID($G$147,8,2)="PF",BZ147,0)</f>
        <v>0</v>
      </c>
      <c r="CA183" s="413"/>
      <c r="CB183" s="414"/>
      <c r="CC183" s="412">
        <f t="shared" ref="CC183" si="117">CC163+CC171-IF(MID($G$147,8,2)="PF",CC147,0)</f>
        <v>0</v>
      </c>
      <c r="CD183" s="413"/>
      <c r="CE183" s="414"/>
      <c r="CF183" s="412">
        <f t="shared" ref="CF183" si="118">CF163+CF171-IF(MID($G$147,8,2)="PF",CF147,0)</f>
        <v>0</v>
      </c>
      <c r="CG183" s="413"/>
      <c r="CH183" s="414"/>
      <c r="CI183" s="412">
        <f t="shared" ref="CI183" si="119">CI163+CI171-IF(MID($G$147,8,2)="PF",CI147,0)</f>
        <v>0</v>
      </c>
      <c r="CJ183" s="413"/>
      <c r="CK183" s="414"/>
      <c r="CL183" s="412">
        <f t="shared" ref="CL183" si="120">CL163+CL171-IF(MID($G$147,8,2)="PF",CL147,0)</f>
        <v>0</v>
      </c>
      <c r="CM183" s="413"/>
      <c r="CN183" s="414"/>
      <c r="CO183" s="412">
        <f t="shared" ref="CO183" si="121">CO163+CO171-IF(MID($G$147,8,2)="PF",CO147,0)</f>
        <v>0</v>
      </c>
      <c r="CP183" s="413"/>
      <c r="CQ183" s="414"/>
      <c r="CR183" s="412">
        <f t="shared" ref="CR183" si="122">CR163+CR171-IF(MID($G$147,8,2)="PF",CR147,0)</f>
        <v>0</v>
      </c>
      <c r="CS183" s="413"/>
      <c r="CT183" s="414"/>
      <c r="CU183" s="412">
        <f t="shared" ref="CU183" si="123">CU163+CU171-IF(MID($G$147,8,2)="PF",CU147,0)</f>
        <v>0</v>
      </c>
      <c r="CV183" s="413"/>
      <c r="CW183" s="414"/>
      <c r="CX183" s="412">
        <f t="shared" ref="CX183" si="124">CX163+CX171-IF(MID($G$147,8,2)="PF",CX147,0)</f>
        <v>0</v>
      </c>
      <c r="CY183" s="413"/>
      <c r="CZ183" s="414"/>
      <c r="DA183" s="412">
        <f t="shared" ref="DA183" si="125">DA163+DA171-IF(MID($G$147,8,2)="PF",DA147,0)</f>
        <v>0</v>
      </c>
      <c r="DB183" s="413"/>
      <c r="DC183" s="414"/>
      <c r="DD183" s="412">
        <f t="shared" ref="DD183" si="126">DD163+DD171-IF(MID($G$147,8,2)="PF",DD147,0)</f>
        <v>0</v>
      </c>
      <c r="DE183" s="413"/>
      <c r="DF183" s="414"/>
      <c r="DH183" s="311"/>
      <c r="DI183" s="311"/>
      <c r="DJ183" s="311"/>
      <c r="DK183" s="311"/>
      <c r="DL183" s="321"/>
      <c r="DM183" s="321"/>
      <c r="DN183" s="321"/>
      <c r="DO183" s="321"/>
      <c r="DP183" s="321"/>
      <c r="DQ183" s="321"/>
      <c r="DR183" s="321"/>
      <c r="DS183" s="321"/>
    </row>
    <row r="184" spans="1:123" ht="7.4" customHeight="1" x14ac:dyDescent="0.5">
      <c r="A184" s="42"/>
      <c r="B184" s="42"/>
      <c r="C184" s="311"/>
      <c r="D184" s="311"/>
      <c r="E184" s="41"/>
      <c r="F184" s="42"/>
      <c r="G184" s="319"/>
      <c r="H184" s="319"/>
      <c r="I184" s="319"/>
      <c r="J184" s="319"/>
      <c r="K184" s="319"/>
      <c r="L184" s="319"/>
      <c r="M184" s="319"/>
      <c r="N184" s="319"/>
      <c r="O184" s="319"/>
      <c r="P184" s="319"/>
      <c r="Q184" s="319"/>
      <c r="R184" s="320"/>
      <c r="S184" s="42"/>
      <c r="T184" s="405"/>
      <c r="U184" s="405"/>
      <c r="V184" s="405"/>
      <c r="W184" s="405"/>
      <c r="X184" s="405"/>
      <c r="Y184" s="405"/>
      <c r="Z184" s="405"/>
      <c r="AA184" s="405"/>
      <c r="AB184" s="405"/>
      <c r="AC184" s="405"/>
      <c r="AD184" s="405"/>
      <c r="AE184" s="405"/>
      <c r="AF184" s="405"/>
      <c r="AG184" s="405"/>
      <c r="AH184" s="405"/>
      <c r="AI184" s="405"/>
      <c r="AJ184" s="411"/>
      <c r="AK184" s="42"/>
      <c r="AL184" s="311"/>
      <c r="AM184" s="311"/>
      <c r="AN184" s="311"/>
      <c r="AO184" s="311"/>
      <c r="AP184" s="43"/>
      <c r="AQ184" s="111"/>
      <c r="AR184" s="309"/>
      <c r="AS184" s="309"/>
      <c r="AT184" s="309"/>
      <c r="AU184" s="309"/>
      <c r="AV184" s="309"/>
      <c r="AW184" s="309"/>
      <c r="AX184" s="309"/>
      <c r="AY184" s="309"/>
      <c r="AZ184" s="309"/>
      <c r="BA184" s="309"/>
      <c r="BB184" s="309"/>
      <c r="BC184" s="309"/>
      <c r="BD184" s="309"/>
      <c r="BE184" s="309"/>
      <c r="BF184" s="309"/>
      <c r="BG184" s="309"/>
      <c r="BH184" s="124"/>
      <c r="BI184" s="41"/>
      <c r="BK184" s="412"/>
      <c r="BL184" s="413"/>
      <c r="BM184" s="414"/>
      <c r="BN184" s="412"/>
      <c r="BO184" s="413"/>
      <c r="BP184" s="414"/>
      <c r="BQ184" s="412"/>
      <c r="BR184" s="413"/>
      <c r="BS184" s="414"/>
      <c r="BT184" s="412"/>
      <c r="BU184" s="413"/>
      <c r="BV184" s="414"/>
      <c r="BW184" s="412"/>
      <c r="BX184" s="413"/>
      <c r="BY184" s="414"/>
      <c r="BZ184" s="412"/>
      <c r="CA184" s="413"/>
      <c r="CB184" s="414"/>
      <c r="CC184" s="412"/>
      <c r="CD184" s="413"/>
      <c r="CE184" s="414"/>
      <c r="CF184" s="412"/>
      <c r="CG184" s="413"/>
      <c r="CH184" s="414"/>
      <c r="CI184" s="412"/>
      <c r="CJ184" s="413"/>
      <c r="CK184" s="414"/>
      <c r="CL184" s="412"/>
      <c r="CM184" s="413"/>
      <c r="CN184" s="414"/>
      <c r="CO184" s="412"/>
      <c r="CP184" s="413"/>
      <c r="CQ184" s="414"/>
      <c r="CR184" s="412"/>
      <c r="CS184" s="413"/>
      <c r="CT184" s="414"/>
      <c r="CU184" s="412"/>
      <c r="CV184" s="413"/>
      <c r="CW184" s="414"/>
      <c r="CX184" s="412"/>
      <c r="CY184" s="413"/>
      <c r="CZ184" s="414"/>
      <c r="DA184" s="412"/>
      <c r="DB184" s="413"/>
      <c r="DC184" s="414"/>
      <c r="DD184" s="412"/>
      <c r="DE184" s="413"/>
      <c r="DF184" s="414"/>
      <c r="DH184" s="311"/>
      <c r="DI184" s="311"/>
      <c r="DJ184" s="311"/>
      <c r="DK184" s="311"/>
      <c r="DL184" s="321"/>
      <c r="DM184" s="321"/>
      <c r="DN184" s="321"/>
      <c r="DO184" s="321"/>
      <c r="DP184" s="321"/>
      <c r="DQ184" s="321"/>
      <c r="DR184" s="321"/>
      <c r="DS184" s="321"/>
    </row>
    <row r="185" spans="1:123" ht="7.4" customHeight="1" x14ac:dyDescent="0.5">
      <c r="A185" s="42"/>
      <c r="B185" s="42"/>
      <c r="C185" s="333"/>
      <c r="D185" s="333"/>
      <c r="E185" s="41"/>
      <c r="F185" s="42"/>
      <c r="G185" s="56"/>
      <c r="H185" s="56"/>
      <c r="I185" s="56"/>
      <c r="J185" s="56"/>
      <c r="K185" s="56"/>
      <c r="L185" s="56"/>
      <c r="M185" s="56"/>
      <c r="N185" s="56"/>
      <c r="O185" s="56"/>
      <c r="P185" s="56"/>
      <c r="Q185" s="56"/>
      <c r="R185" s="126"/>
      <c r="S185" s="42"/>
      <c r="T185" s="116" t="str">
        <f>VLOOKUP(G183,PL!$B$9:$BH$1265,33,FALSE)</f>
        <v>.</v>
      </c>
      <c r="AJ185" s="41"/>
      <c r="AK185" s="42"/>
      <c r="AL185" s="311"/>
      <c r="AM185" s="311"/>
      <c r="AN185" s="311"/>
      <c r="AO185" s="311"/>
      <c r="AP185" s="43"/>
      <c r="AQ185" s="42"/>
      <c r="AR185" s="119"/>
      <c r="AS185" s="119"/>
      <c r="AT185" s="119"/>
      <c r="AU185" s="119"/>
      <c r="AV185" s="119"/>
      <c r="AW185" s="119"/>
      <c r="AX185" s="105"/>
      <c r="AZ185" s="119"/>
      <c r="BA185" s="119"/>
      <c r="BB185" s="119"/>
      <c r="BC185" s="119"/>
      <c r="BD185" s="119"/>
      <c r="BE185" s="119"/>
      <c r="BF185" s="119"/>
      <c r="BG185" s="119"/>
      <c r="BH185" s="124"/>
      <c r="BI185" s="41"/>
      <c r="BK185" s="194"/>
      <c r="BL185" s="123"/>
      <c r="BM185" s="195"/>
      <c r="BN185" s="194"/>
      <c r="BO185" s="123"/>
      <c r="BP185" s="195"/>
      <c r="BQ185" s="194"/>
      <c r="BR185" s="123"/>
      <c r="BS185" s="195"/>
      <c r="BT185" s="194"/>
      <c r="BU185" s="123"/>
      <c r="BV185" s="195"/>
      <c r="BW185" s="194"/>
      <c r="BX185" s="123"/>
      <c r="BY185" s="195"/>
      <c r="BZ185" s="194"/>
      <c r="CA185" s="123"/>
      <c r="CB185" s="195"/>
      <c r="CC185" s="194"/>
      <c r="CD185" s="123"/>
      <c r="CE185" s="195"/>
      <c r="CF185" s="194"/>
      <c r="CG185" s="123"/>
      <c r="CH185" s="195"/>
      <c r="CI185" s="194"/>
      <c r="CJ185" s="123"/>
      <c r="CK185" s="195"/>
      <c r="CL185" s="194"/>
      <c r="CM185" s="123"/>
      <c r="CN185" s="195"/>
      <c r="CO185" s="194"/>
      <c r="CP185" s="123"/>
      <c r="CQ185" s="195"/>
      <c r="CR185" s="194"/>
      <c r="CS185" s="123"/>
      <c r="CT185" s="195"/>
      <c r="CU185" s="194"/>
      <c r="CV185" s="123"/>
      <c r="CW185" s="195"/>
      <c r="CX185" s="194"/>
      <c r="CY185" s="123"/>
      <c r="CZ185" s="195"/>
      <c r="DA185" s="194"/>
      <c r="DB185" s="123"/>
      <c r="DC185" s="195"/>
      <c r="DD185" s="194"/>
      <c r="DE185" s="123"/>
      <c r="DF185" s="195"/>
      <c r="DH185" s="311"/>
      <c r="DI185" s="311"/>
      <c r="DJ185" s="311"/>
      <c r="DK185" s="311"/>
      <c r="DL185" s="321"/>
      <c r="DM185" s="321"/>
      <c r="DN185" s="321"/>
      <c r="DO185" s="321"/>
      <c r="DP185" s="321"/>
      <c r="DQ185" s="321"/>
      <c r="DR185" s="321"/>
      <c r="DS185" s="321"/>
    </row>
    <row r="186" spans="1:123" ht="7.4" customHeight="1" x14ac:dyDescent="0.5">
      <c r="A186" s="42"/>
      <c r="B186" s="42"/>
      <c r="C186" s="333"/>
      <c r="D186" s="333"/>
      <c r="E186" s="41"/>
      <c r="F186" s="42"/>
      <c r="G186" s="56"/>
      <c r="H186" s="56"/>
      <c r="I186" s="56"/>
      <c r="J186" s="56"/>
      <c r="K186" s="56"/>
      <c r="L186" s="56"/>
      <c r="M186" s="56"/>
      <c r="N186" s="56"/>
      <c r="O186" s="56"/>
      <c r="P186" s="56"/>
      <c r="Q186" s="56"/>
      <c r="R186" s="126"/>
      <c r="S186" s="42"/>
      <c r="AJ186" s="41"/>
      <c r="AK186" s="42"/>
      <c r="AL186" s="311"/>
      <c r="AM186" s="311"/>
      <c r="AN186" s="311"/>
      <c r="AO186" s="311"/>
      <c r="AP186" s="43"/>
      <c r="AQ186" s="42"/>
      <c r="AR186" s="119"/>
      <c r="AS186" s="119"/>
      <c r="AT186" s="119"/>
      <c r="AU186" s="119"/>
      <c r="AV186" s="119"/>
      <c r="AW186" s="119"/>
      <c r="AX186" s="105"/>
      <c r="AZ186" s="119"/>
      <c r="BA186" s="119"/>
      <c r="BB186" s="119"/>
      <c r="BC186" s="119"/>
      <c r="BD186" s="119"/>
      <c r="BE186" s="119"/>
      <c r="BF186" s="119"/>
      <c r="BG186" s="119"/>
      <c r="BH186" s="124"/>
      <c r="BI186" s="41"/>
      <c r="BK186" s="194"/>
      <c r="BL186" s="123"/>
      <c r="BM186" s="195"/>
      <c r="BN186" s="194"/>
      <c r="BO186" s="123"/>
      <c r="BP186" s="195"/>
      <c r="BQ186" s="194"/>
      <c r="BR186" s="123"/>
      <c r="BS186" s="195"/>
      <c r="BT186" s="194"/>
      <c r="BU186" s="123"/>
      <c r="BV186" s="195"/>
      <c r="BW186" s="194"/>
      <c r="BX186" s="123"/>
      <c r="BY186" s="195"/>
      <c r="BZ186" s="194"/>
      <c r="CA186" s="123"/>
      <c r="CB186" s="195"/>
      <c r="CC186" s="194"/>
      <c r="CD186" s="123"/>
      <c r="CE186" s="195"/>
      <c r="CF186" s="194"/>
      <c r="CG186" s="123"/>
      <c r="CH186" s="195"/>
      <c r="CI186" s="194"/>
      <c r="CJ186" s="123"/>
      <c r="CK186" s="195"/>
      <c r="CL186" s="194"/>
      <c r="CM186" s="123"/>
      <c r="CN186" s="195"/>
      <c r="CO186" s="194"/>
      <c r="CP186" s="123"/>
      <c r="CQ186" s="195"/>
      <c r="CR186" s="194"/>
      <c r="CS186" s="123"/>
      <c r="CT186" s="195"/>
      <c r="CU186" s="194"/>
      <c r="CV186" s="123"/>
      <c r="CW186" s="195"/>
      <c r="CX186" s="194"/>
      <c r="CY186" s="123"/>
      <c r="CZ186" s="195"/>
      <c r="DA186" s="194"/>
      <c r="DB186" s="123"/>
      <c r="DC186" s="195"/>
      <c r="DD186" s="194"/>
      <c r="DE186" s="123"/>
      <c r="DF186" s="195"/>
      <c r="DH186" s="311"/>
      <c r="DI186" s="311"/>
      <c r="DJ186" s="311"/>
      <c r="DK186" s="311"/>
      <c r="DL186" s="321"/>
      <c r="DM186" s="321"/>
      <c r="DN186" s="321"/>
      <c r="DO186" s="321"/>
      <c r="DP186" s="321"/>
      <c r="DQ186" s="321"/>
      <c r="DR186" s="321"/>
      <c r="DS186" s="321"/>
    </row>
    <row r="187" spans="1:123" ht="7.4" customHeight="1" x14ac:dyDescent="0.5">
      <c r="A187" s="42"/>
      <c r="B187" s="42"/>
      <c r="C187" s="311">
        <f>C183+1</f>
        <v>18</v>
      </c>
      <c r="D187" s="311"/>
      <c r="E187" s="41"/>
      <c r="F187" s="42"/>
      <c r="G187" s="319" t="str">
        <f>IF(AL187=0,"N/A","AXE_NST_8_PP")</f>
        <v>N/A</v>
      </c>
      <c r="H187" s="319"/>
      <c r="I187" s="319"/>
      <c r="J187" s="319"/>
      <c r="K187" s="319"/>
      <c r="L187" s="319"/>
      <c r="M187" s="319"/>
      <c r="N187" s="319"/>
      <c r="O187" s="319"/>
      <c r="P187" s="319"/>
      <c r="Q187" s="319"/>
      <c r="R187" s="320"/>
      <c r="S187" s="42"/>
      <c r="T187" s="405" t="str">
        <f>VLOOKUP(G187,PL!$B$9:$BH$1265,14,FALSE)</f>
        <v>No Item</v>
      </c>
      <c r="U187" s="405"/>
      <c r="V187" s="405"/>
      <c r="W187" s="405"/>
      <c r="X187" s="405"/>
      <c r="Y187" s="405"/>
      <c r="Z187" s="405"/>
      <c r="AA187" s="405"/>
      <c r="AB187" s="405"/>
      <c r="AC187" s="405"/>
      <c r="AD187" s="405"/>
      <c r="AE187" s="405"/>
      <c r="AF187" s="405"/>
      <c r="AG187" s="405"/>
      <c r="AH187" s="405"/>
      <c r="AI187" s="405"/>
      <c r="AJ187" s="411"/>
      <c r="AK187" s="42"/>
      <c r="AL187" s="311">
        <f>ROUND(SUM(BK187:DF187)*(1+$BF$80),0)</f>
        <v>0</v>
      </c>
      <c r="AM187" s="311"/>
      <c r="AN187" s="311"/>
      <c r="AO187" s="311"/>
      <c r="AP187" s="43"/>
      <c r="AQ187" s="111"/>
      <c r="AR187" s="308" t="str">
        <f>VLOOKUP(G187,PL!$B$9:$BH$818,52,FALSE)</f>
        <v>-</v>
      </c>
      <c r="AS187" s="309"/>
      <c r="AT187" s="309"/>
      <c r="AU187" s="309"/>
      <c r="AV187" s="309"/>
      <c r="AW187" s="309"/>
      <c r="AX187" s="309"/>
      <c r="AY187" s="309"/>
      <c r="AZ187" s="309"/>
      <c r="BA187" s="309"/>
      <c r="BB187" s="309"/>
      <c r="BC187" s="309"/>
      <c r="BD187" s="309"/>
      <c r="BE187" s="309"/>
      <c r="BF187" s="309"/>
      <c r="BG187" s="309"/>
      <c r="BH187" s="124"/>
      <c r="BI187" s="41"/>
      <c r="BK187" s="412">
        <f>BK183</f>
        <v>0</v>
      </c>
      <c r="BL187" s="413"/>
      <c r="BM187" s="414"/>
      <c r="BN187" s="412">
        <f t="shared" ref="BN187" si="127">BN183</f>
        <v>0</v>
      </c>
      <c r="BO187" s="413"/>
      <c r="BP187" s="414"/>
      <c r="BQ187" s="412">
        <f t="shared" ref="BQ187" si="128">BQ183</f>
        <v>0</v>
      </c>
      <c r="BR187" s="413"/>
      <c r="BS187" s="414"/>
      <c r="BT187" s="412">
        <f t="shared" ref="BT187" si="129">BT183</f>
        <v>0</v>
      </c>
      <c r="BU187" s="413"/>
      <c r="BV187" s="414"/>
      <c r="BW187" s="412">
        <f t="shared" ref="BW187" si="130">BW183</f>
        <v>0</v>
      </c>
      <c r="BX187" s="413"/>
      <c r="BY187" s="414"/>
      <c r="BZ187" s="412">
        <f t="shared" ref="BZ187" si="131">BZ183</f>
        <v>0</v>
      </c>
      <c r="CA187" s="413"/>
      <c r="CB187" s="414"/>
      <c r="CC187" s="412">
        <f t="shared" ref="CC187" si="132">CC183</f>
        <v>0</v>
      </c>
      <c r="CD187" s="413"/>
      <c r="CE187" s="414"/>
      <c r="CF187" s="412">
        <f t="shared" ref="CF187" si="133">CF183</f>
        <v>0</v>
      </c>
      <c r="CG187" s="413"/>
      <c r="CH187" s="414"/>
      <c r="CI187" s="412">
        <f t="shared" ref="CI187" si="134">CI183</f>
        <v>0</v>
      </c>
      <c r="CJ187" s="413"/>
      <c r="CK187" s="414"/>
      <c r="CL187" s="412">
        <f t="shared" ref="CL187" si="135">CL183</f>
        <v>0</v>
      </c>
      <c r="CM187" s="413"/>
      <c r="CN187" s="414"/>
      <c r="CO187" s="412">
        <f t="shared" ref="CO187" si="136">CO183</f>
        <v>0</v>
      </c>
      <c r="CP187" s="413"/>
      <c r="CQ187" s="414"/>
      <c r="CR187" s="412">
        <f t="shared" ref="CR187" si="137">CR183</f>
        <v>0</v>
      </c>
      <c r="CS187" s="413"/>
      <c r="CT187" s="414"/>
      <c r="CU187" s="412">
        <f t="shared" ref="CU187" si="138">CU183</f>
        <v>0</v>
      </c>
      <c r="CV187" s="413"/>
      <c r="CW187" s="414"/>
      <c r="CX187" s="412">
        <f t="shared" ref="CX187" si="139">CX183</f>
        <v>0</v>
      </c>
      <c r="CY187" s="413"/>
      <c r="CZ187" s="414"/>
      <c r="DA187" s="412">
        <f t="shared" ref="DA187" si="140">DA183</f>
        <v>0</v>
      </c>
      <c r="DB187" s="413"/>
      <c r="DC187" s="414"/>
      <c r="DD187" s="412">
        <f t="shared" ref="DD187" si="141">DD183</f>
        <v>0</v>
      </c>
      <c r="DE187" s="413"/>
      <c r="DF187" s="414"/>
      <c r="DH187" s="311"/>
      <c r="DI187" s="311"/>
      <c r="DJ187" s="311"/>
      <c r="DK187" s="311"/>
      <c r="DL187" s="321"/>
      <c r="DM187" s="321"/>
      <c r="DN187" s="321"/>
      <c r="DO187" s="321"/>
      <c r="DP187" s="321"/>
      <c r="DQ187" s="321"/>
      <c r="DR187" s="321"/>
      <c r="DS187" s="321"/>
    </row>
    <row r="188" spans="1:123" ht="7.4" customHeight="1" x14ac:dyDescent="0.5">
      <c r="A188" s="42"/>
      <c r="B188" s="42"/>
      <c r="C188" s="311"/>
      <c r="D188" s="311"/>
      <c r="E188" s="41"/>
      <c r="F188" s="42"/>
      <c r="G188" s="319"/>
      <c r="H188" s="319"/>
      <c r="I188" s="319"/>
      <c r="J188" s="319"/>
      <c r="K188" s="319"/>
      <c r="L188" s="319"/>
      <c r="M188" s="319"/>
      <c r="N188" s="319"/>
      <c r="O188" s="319"/>
      <c r="P188" s="319"/>
      <c r="Q188" s="319"/>
      <c r="R188" s="320"/>
      <c r="S188" s="42"/>
      <c r="T188" s="405"/>
      <c r="U188" s="405"/>
      <c r="V188" s="405"/>
      <c r="W188" s="405"/>
      <c r="X188" s="405"/>
      <c r="Y188" s="405"/>
      <c r="Z188" s="405"/>
      <c r="AA188" s="405"/>
      <c r="AB188" s="405"/>
      <c r="AC188" s="405"/>
      <c r="AD188" s="405"/>
      <c r="AE188" s="405"/>
      <c r="AF188" s="405"/>
      <c r="AG188" s="405"/>
      <c r="AH188" s="405"/>
      <c r="AI188" s="405"/>
      <c r="AJ188" s="411"/>
      <c r="AK188" s="42"/>
      <c r="AL188" s="311"/>
      <c r="AM188" s="311"/>
      <c r="AN188" s="311"/>
      <c r="AO188" s="311"/>
      <c r="AP188" s="43"/>
      <c r="AQ188" s="111"/>
      <c r="AR188" s="309"/>
      <c r="AS188" s="309"/>
      <c r="AT188" s="309"/>
      <c r="AU188" s="309"/>
      <c r="AV188" s="309"/>
      <c r="AW188" s="309"/>
      <c r="AX188" s="309"/>
      <c r="AY188" s="309"/>
      <c r="AZ188" s="309"/>
      <c r="BA188" s="309"/>
      <c r="BB188" s="309"/>
      <c r="BC188" s="309"/>
      <c r="BD188" s="309"/>
      <c r="BE188" s="309"/>
      <c r="BF188" s="309"/>
      <c r="BG188" s="309"/>
      <c r="BH188" s="124"/>
      <c r="BI188" s="41"/>
      <c r="BK188" s="412"/>
      <c r="BL188" s="413"/>
      <c r="BM188" s="414"/>
      <c r="BN188" s="412"/>
      <c r="BO188" s="413"/>
      <c r="BP188" s="414"/>
      <c r="BQ188" s="412"/>
      <c r="BR188" s="413"/>
      <c r="BS188" s="414"/>
      <c r="BT188" s="412"/>
      <c r="BU188" s="413"/>
      <c r="BV188" s="414"/>
      <c r="BW188" s="412"/>
      <c r="BX188" s="413"/>
      <c r="BY188" s="414"/>
      <c r="BZ188" s="412"/>
      <c r="CA188" s="413"/>
      <c r="CB188" s="414"/>
      <c r="CC188" s="412"/>
      <c r="CD188" s="413"/>
      <c r="CE188" s="414"/>
      <c r="CF188" s="412"/>
      <c r="CG188" s="413"/>
      <c r="CH188" s="414"/>
      <c r="CI188" s="412"/>
      <c r="CJ188" s="413"/>
      <c r="CK188" s="414"/>
      <c r="CL188" s="412"/>
      <c r="CM188" s="413"/>
      <c r="CN188" s="414"/>
      <c r="CO188" s="412"/>
      <c r="CP188" s="413"/>
      <c r="CQ188" s="414"/>
      <c r="CR188" s="412"/>
      <c r="CS188" s="413"/>
      <c r="CT188" s="414"/>
      <c r="CU188" s="412"/>
      <c r="CV188" s="413"/>
      <c r="CW188" s="414"/>
      <c r="CX188" s="412"/>
      <c r="CY188" s="413"/>
      <c r="CZ188" s="414"/>
      <c r="DA188" s="412"/>
      <c r="DB188" s="413"/>
      <c r="DC188" s="414"/>
      <c r="DD188" s="412"/>
      <c r="DE188" s="413"/>
      <c r="DF188" s="414"/>
      <c r="DH188" s="311"/>
      <c r="DI188" s="311"/>
      <c r="DJ188" s="311"/>
      <c r="DK188" s="311"/>
      <c r="DL188" s="321"/>
      <c r="DM188" s="321"/>
      <c r="DN188" s="321"/>
      <c r="DO188" s="321"/>
      <c r="DP188" s="321"/>
      <c r="DQ188" s="321"/>
      <c r="DR188" s="321"/>
      <c r="DS188" s="321"/>
    </row>
    <row r="189" spans="1:123" ht="7.4" customHeight="1" x14ac:dyDescent="0.5">
      <c r="A189" s="42"/>
      <c r="B189" s="42"/>
      <c r="C189" s="333"/>
      <c r="D189" s="333"/>
      <c r="E189" s="41"/>
      <c r="F189" s="42"/>
      <c r="G189" s="56"/>
      <c r="H189" s="56"/>
      <c r="I189" s="56"/>
      <c r="J189" s="56"/>
      <c r="K189" s="56"/>
      <c r="L189" s="56"/>
      <c r="M189" s="56"/>
      <c r="N189" s="56"/>
      <c r="O189" s="56"/>
      <c r="P189" s="56"/>
      <c r="Q189" s="56"/>
      <c r="R189" s="126"/>
      <c r="S189" s="42"/>
      <c r="T189" s="116" t="str">
        <f>VLOOKUP(G187,PL!$B$9:$BH$1265,33,FALSE)</f>
        <v>.</v>
      </c>
      <c r="AJ189" s="41"/>
      <c r="AK189" s="42"/>
      <c r="AL189" s="311"/>
      <c r="AM189" s="311"/>
      <c r="AN189" s="311"/>
      <c r="AO189" s="311"/>
      <c r="AP189" s="43"/>
      <c r="AQ189" s="42"/>
      <c r="AR189" s="119"/>
      <c r="AS189" s="119"/>
      <c r="AT189" s="119"/>
      <c r="AU189" s="119"/>
      <c r="AV189" s="119"/>
      <c r="AW189" s="119"/>
      <c r="AX189" s="105"/>
      <c r="AZ189" s="119"/>
      <c r="BA189" s="119"/>
      <c r="BB189" s="119"/>
      <c r="BC189" s="119"/>
      <c r="BD189" s="119"/>
      <c r="BE189" s="119"/>
      <c r="BF189" s="119"/>
      <c r="BG189" s="119"/>
      <c r="BH189" s="124"/>
      <c r="BI189" s="41"/>
      <c r="BK189" s="194"/>
      <c r="BL189" s="123"/>
      <c r="BM189" s="195"/>
      <c r="BN189" s="194"/>
      <c r="BO189" s="123"/>
      <c r="BP189" s="195"/>
      <c r="BQ189" s="194"/>
      <c r="BR189" s="123"/>
      <c r="BS189" s="195"/>
      <c r="BT189" s="194"/>
      <c r="BU189" s="123"/>
      <c r="BV189" s="195"/>
      <c r="BW189" s="194"/>
      <c r="BX189" s="123"/>
      <c r="BY189" s="195"/>
      <c r="BZ189" s="194"/>
      <c r="CA189" s="123"/>
      <c r="CB189" s="195"/>
      <c r="CC189" s="194"/>
      <c r="CD189" s="123"/>
      <c r="CE189" s="195"/>
      <c r="CF189" s="194"/>
      <c r="CG189" s="123"/>
      <c r="CH189" s="195"/>
      <c r="CI189" s="194"/>
      <c r="CJ189" s="123"/>
      <c r="CK189" s="195"/>
      <c r="CL189" s="194"/>
      <c r="CM189" s="123"/>
      <c r="CN189" s="195"/>
      <c r="CO189" s="194"/>
      <c r="CP189" s="123"/>
      <c r="CQ189" s="195"/>
      <c r="CR189" s="194"/>
      <c r="CS189" s="123"/>
      <c r="CT189" s="195"/>
      <c r="CU189" s="194"/>
      <c r="CV189" s="123"/>
      <c r="CW189" s="195"/>
      <c r="CX189" s="194"/>
      <c r="CY189" s="123"/>
      <c r="CZ189" s="195"/>
      <c r="DA189" s="194"/>
      <c r="DB189" s="123"/>
      <c r="DC189" s="195"/>
      <c r="DD189" s="194"/>
      <c r="DE189" s="123"/>
      <c r="DF189" s="195"/>
      <c r="DH189" s="311"/>
      <c r="DI189" s="311"/>
      <c r="DJ189" s="311"/>
      <c r="DK189" s="311"/>
      <c r="DL189" s="321"/>
      <c r="DM189" s="321"/>
      <c r="DN189" s="321"/>
      <c r="DO189" s="321"/>
      <c r="DP189" s="321"/>
      <c r="DQ189" s="321"/>
      <c r="DR189" s="321"/>
      <c r="DS189" s="321"/>
    </row>
    <row r="190" spans="1:123" ht="7.4" customHeight="1" x14ac:dyDescent="0.5">
      <c r="A190" s="42"/>
      <c r="B190" s="42"/>
      <c r="C190" s="55"/>
      <c r="D190" s="55"/>
      <c r="E190" s="41"/>
      <c r="F190" s="42"/>
      <c r="G190" s="56"/>
      <c r="H190" s="56"/>
      <c r="I190" s="56"/>
      <c r="J190" s="56"/>
      <c r="K190" s="56"/>
      <c r="L190" s="56"/>
      <c r="M190" s="56"/>
      <c r="N190" s="56"/>
      <c r="O190" s="56"/>
      <c r="P190" s="56"/>
      <c r="Q190" s="56"/>
      <c r="R190" s="126"/>
      <c r="S190" s="42"/>
      <c r="AJ190" s="41"/>
      <c r="AK190" s="42"/>
      <c r="AL190" s="311"/>
      <c r="AM190" s="311"/>
      <c r="AN190" s="311"/>
      <c r="AO190" s="311"/>
      <c r="AP190" s="43"/>
      <c r="AQ190" s="42"/>
      <c r="AR190" s="119"/>
      <c r="AS190" s="119"/>
      <c r="AT190" s="119"/>
      <c r="AU190" s="119"/>
      <c r="AV190" s="119"/>
      <c r="AW190" s="119"/>
      <c r="AX190" s="105"/>
      <c r="AZ190" s="119"/>
      <c r="BA190" s="119"/>
      <c r="BB190" s="119"/>
      <c r="BC190" s="119"/>
      <c r="BD190" s="119"/>
      <c r="BE190" s="119"/>
      <c r="BF190" s="119"/>
      <c r="BG190" s="119"/>
      <c r="BH190" s="124"/>
      <c r="BI190" s="41"/>
      <c r="BK190" s="194"/>
      <c r="BL190" s="123"/>
      <c r="BM190" s="195"/>
      <c r="BN190" s="194"/>
      <c r="BO190" s="123"/>
      <c r="BP190" s="195"/>
      <c r="BQ190" s="194"/>
      <c r="BR190" s="123"/>
      <c r="BS190" s="195"/>
      <c r="BT190" s="194"/>
      <c r="BU190" s="123"/>
      <c r="BV190" s="195"/>
      <c r="BW190" s="194"/>
      <c r="BX190" s="123"/>
      <c r="BY190" s="195"/>
      <c r="BZ190" s="194"/>
      <c r="CA190" s="123"/>
      <c r="CB190" s="195"/>
      <c r="CC190" s="194"/>
      <c r="CD190" s="123"/>
      <c r="CE190" s="195"/>
      <c r="CF190" s="194"/>
      <c r="CG190" s="123"/>
      <c r="CH190" s="195"/>
      <c r="CI190" s="194"/>
      <c r="CJ190" s="123"/>
      <c r="CK190" s="195"/>
      <c r="CL190" s="194"/>
      <c r="CM190" s="123"/>
      <c r="CN190" s="195"/>
      <c r="CO190" s="194"/>
      <c r="CP190" s="123"/>
      <c r="CQ190" s="195"/>
      <c r="CR190" s="194"/>
      <c r="CS190" s="123"/>
      <c r="CT190" s="195"/>
      <c r="CU190" s="194"/>
      <c r="CV190" s="123"/>
      <c r="CW190" s="195"/>
      <c r="CX190" s="194"/>
      <c r="CY190" s="123"/>
      <c r="CZ190" s="195"/>
      <c r="DA190" s="194"/>
      <c r="DB190" s="123"/>
      <c r="DC190" s="195"/>
      <c r="DD190" s="194"/>
      <c r="DE190" s="123"/>
      <c r="DF190" s="195"/>
      <c r="DH190" s="311"/>
      <c r="DI190" s="311"/>
      <c r="DJ190" s="311"/>
      <c r="DK190" s="311"/>
      <c r="DL190" s="321"/>
      <c r="DM190" s="321"/>
      <c r="DN190" s="321"/>
      <c r="DO190" s="321"/>
      <c r="DP190" s="321"/>
      <c r="DQ190" s="321"/>
      <c r="DR190" s="321"/>
      <c r="DS190" s="321"/>
    </row>
    <row r="191" spans="1:123" ht="7.4" customHeight="1" x14ac:dyDescent="0.5">
      <c r="A191" s="42"/>
      <c r="B191" s="42"/>
      <c r="C191" s="311">
        <f>C187+1</f>
        <v>19</v>
      </c>
      <c r="D191" s="311"/>
      <c r="E191" s="41"/>
      <c r="F191" s="42"/>
      <c r="G191" s="319" t="str">
        <f>IF(AL191=0,"N/A","AXE_ST_6.3_22_SC")</f>
        <v>AXE_ST_6.3_22_SC</v>
      </c>
      <c r="H191" s="319"/>
      <c r="I191" s="319"/>
      <c r="J191" s="319"/>
      <c r="K191" s="319"/>
      <c r="L191" s="319"/>
      <c r="M191" s="319"/>
      <c r="N191" s="319"/>
      <c r="O191" s="319"/>
      <c r="P191" s="319"/>
      <c r="Q191" s="319"/>
      <c r="R191" s="320"/>
      <c r="S191" s="42"/>
      <c r="T191" s="405" t="str">
        <f>VLOOKUP(G191,PL!$B$9:$BH$1265,14,FALSE)</f>
        <v>Self Drilling Tek Screw</v>
      </c>
      <c r="U191" s="405"/>
      <c r="V191" s="405"/>
      <c r="W191" s="405"/>
      <c r="X191" s="405"/>
      <c r="Y191" s="405"/>
      <c r="Z191" s="405"/>
      <c r="AA191" s="405"/>
      <c r="AB191" s="405"/>
      <c r="AC191" s="405"/>
      <c r="AD191" s="405"/>
      <c r="AE191" s="405"/>
      <c r="AF191" s="405"/>
      <c r="AG191" s="405"/>
      <c r="AH191" s="405"/>
      <c r="AI191" s="405"/>
      <c r="AJ191" s="411"/>
      <c r="AK191" s="42"/>
      <c r="AL191" s="311">
        <f>ROUND(SUM(BK191:DF191)*(1+$BF$80),0)</f>
        <v>1830</v>
      </c>
      <c r="AM191" s="311"/>
      <c r="AN191" s="311"/>
      <c r="AO191" s="311"/>
      <c r="AP191" s="43"/>
      <c r="AQ191" s="111"/>
      <c r="AR191" s="308" t="str">
        <f>VLOOKUP(G191,PL!$B$9:$BH$818,52,FALSE)</f>
        <v>SOL-5952</v>
      </c>
      <c r="AS191" s="309"/>
      <c r="AT191" s="309"/>
      <c r="AU191" s="309"/>
      <c r="AV191" s="309"/>
      <c r="AW191" s="309"/>
      <c r="AX191" s="309"/>
      <c r="AY191" s="309"/>
      <c r="AZ191" s="309"/>
      <c r="BA191" s="309"/>
      <c r="BB191" s="309"/>
      <c r="BC191" s="309"/>
      <c r="BD191" s="309"/>
      <c r="BE191" s="309"/>
      <c r="BF191" s="309"/>
      <c r="BG191" s="309"/>
      <c r="BH191" s="124"/>
      <c r="BI191" s="41"/>
      <c r="BK191" s="412">
        <f>IF(OR(MID($G$147,8,2)="IB",MID($G$147,8,2)="RS",MID($G$147,8,2)="CO"),BK147*4,IF(MID($G$147,8,2)="RF",BK147*2,0))+BK127*2</f>
        <v>1760</v>
      </c>
      <c r="BL191" s="413"/>
      <c r="BM191" s="414"/>
      <c r="BN191" s="412">
        <f>IF(OR(MID($G$147,8,2)="IB",MID($G$147,8,2)="RS",MID($G$147,8,2)="CO"),BN147*4,IF(MID($G$147,8,2)="RF",BN147*2,0))+BN127*2</f>
        <v>0</v>
      </c>
      <c r="BO191" s="413"/>
      <c r="BP191" s="414"/>
      <c r="BQ191" s="412">
        <f>IF(OR(MID($G$147,8,2)="IB",MID($G$147,8,2)="RS",MID($G$147,8,2)="CO"),BQ147*4,IF(MID($G$147,8,2)="RF",BQ147*2,0))+BQ127*2</f>
        <v>0</v>
      </c>
      <c r="BR191" s="413"/>
      <c r="BS191" s="414"/>
      <c r="BT191" s="412">
        <f>IF(OR(MID($G$147,8,2)="IB",MID($G$147,8,2)="RS",MID($G$147,8,2)="CO"),BT147*4,IF(MID($G$147,8,2)="RF",BT147*2,0))+BT127*2</f>
        <v>0</v>
      </c>
      <c r="BU191" s="413"/>
      <c r="BV191" s="414"/>
      <c r="BW191" s="412">
        <f>IF(OR(MID($G$147,8,2)="IB",MID($G$147,8,2)="RS",MID($G$147,8,2)="CO"),BW147*4,IF(MID($G$147,8,2)="RF",BW147*2,0))+BW127*2</f>
        <v>0</v>
      </c>
      <c r="BX191" s="413"/>
      <c r="BY191" s="414"/>
      <c r="BZ191" s="412">
        <f>IF(OR(MID($G$147,8,2)="IB",MID($G$147,8,2)="RS",MID($G$147,8,2)="CO"),BZ147*4,IF(MID($G$147,8,2)="RF",BZ147*2,0))+BZ127*2</f>
        <v>0</v>
      </c>
      <c r="CA191" s="413"/>
      <c r="CB191" s="414"/>
      <c r="CC191" s="412">
        <f>IF(OR(MID($G$147,8,2)="IB",MID($G$147,8,2)="RS",MID($G$147,8,2)="CO"),CC147*4,IF(MID($G$147,8,2)="RF",CC147*2,0))+CC127*2</f>
        <v>0</v>
      </c>
      <c r="CD191" s="413"/>
      <c r="CE191" s="414"/>
      <c r="CF191" s="412">
        <f>IF(OR(MID($G$147,8,2)="IB",MID($G$147,8,2)="RS",MID($G$147,8,2)="CO"),CF147*4,IF(MID($G$147,8,2)="RF",CF147*2,0))+CF127*2</f>
        <v>0</v>
      </c>
      <c r="CG191" s="413"/>
      <c r="CH191" s="414"/>
      <c r="CI191" s="412">
        <f>IF(OR(MID($G$147,8,2)="IB",MID($G$147,8,2)="RS",MID($G$147,8,2)="CO"),CI147*4,IF(MID($G$147,8,2)="RF",CI147*2,0))+CI127*2</f>
        <v>0</v>
      </c>
      <c r="CJ191" s="413"/>
      <c r="CK191" s="414"/>
      <c r="CL191" s="412">
        <f>IF(OR(MID($G$147,8,2)="IB",MID($G$147,8,2)="RS",MID($G$147,8,2)="CO"),CL147*4,IF(MID($G$147,8,2)="RF",CL147*2,0))+CL127*2</f>
        <v>0</v>
      </c>
      <c r="CM191" s="413"/>
      <c r="CN191" s="414"/>
      <c r="CO191" s="412">
        <f>IF(OR(MID($G$147,8,2)="IB",MID($G$147,8,2)="RS",MID($G$147,8,2)="CO"),CO147*4,IF(MID($G$147,8,2)="RF",CO147*2,0))+CO127*2</f>
        <v>0</v>
      </c>
      <c r="CP191" s="413"/>
      <c r="CQ191" s="414"/>
      <c r="CR191" s="412">
        <f>IF(OR(MID($G$147,8,2)="IB",MID($G$147,8,2)="RS",MID($G$147,8,2)="CO"),CR147*4,IF(MID($G$147,8,2)="RF",CR147*2,0))+CR127*2</f>
        <v>0</v>
      </c>
      <c r="CS191" s="413"/>
      <c r="CT191" s="414"/>
      <c r="CU191" s="412">
        <f>IF(OR(MID($G$147,8,2)="IB",MID($G$147,8,2)="RS",MID($G$147,8,2)="CO"),CU147*4,IF(MID($G$147,8,2)="RF",CU147*2,0))+CU127*2</f>
        <v>0</v>
      </c>
      <c r="CV191" s="413"/>
      <c r="CW191" s="414"/>
      <c r="CX191" s="412">
        <f>IF(OR(MID($G$147,8,2)="IB",MID($G$147,8,2)="RS",MID($G$147,8,2)="CO"),CX147*4,IF(MID($G$147,8,2)="RF",CX147*2,0))+CX127*2</f>
        <v>0</v>
      </c>
      <c r="CY191" s="413"/>
      <c r="CZ191" s="414"/>
      <c r="DA191" s="412">
        <f>IF(OR(MID($G$147,8,2)="IB",MID($G$147,8,2)="RS",MID($G$147,8,2)="CO"),DA147*4,IF(MID($G$147,8,2)="RF",DA147*2,0))+DA127*2</f>
        <v>0</v>
      </c>
      <c r="DB191" s="413"/>
      <c r="DC191" s="414"/>
      <c r="DD191" s="412">
        <f>IF(OR(MID($G$147,8,2)="IB",MID($G$147,8,2)="RS",MID($G$147,8,2)="CO"),DD147*4,IF(MID($G$147,8,2)="RF",DD147*2,0))+DD127*2</f>
        <v>0</v>
      </c>
      <c r="DE191" s="413"/>
      <c r="DF191" s="414"/>
      <c r="DH191" s="311"/>
      <c r="DI191" s="311"/>
      <c r="DJ191" s="311"/>
      <c r="DK191" s="311"/>
      <c r="DL191" s="321"/>
      <c r="DM191" s="321"/>
      <c r="DN191" s="321"/>
      <c r="DO191" s="321"/>
      <c r="DP191" s="321"/>
      <c r="DQ191" s="321"/>
      <c r="DR191" s="321"/>
      <c r="DS191" s="321"/>
    </row>
    <row r="192" spans="1:123" ht="7.4" customHeight="1" x14ac:dyDescent="0.5">
      <c r="A192" s="42"/>
      <c r="B192" s="42"/>
      <c r="C192" s="311"/>
      <c r="D192" s="311"/>
      <c r="E192" s="41"/>
      <c r="F192" s="42"/>
      <c r="G192" s="319"/>
      <c r="H192" s="319"/>
      <c r="I192" s="319"/>
      <c r="J192" s="319"/>
      <c r="K192" s="319"/>
      <c r="L192" s="319"/>
      <c r="M192" s="319"/>
      <c r="N192" s="319"/>
      <c r="O192" s="319"/>
      <c r="P192" s="319"/>
      <c r="Q192" s="319"/>
      <c r="R192" s="320"/>
      <c r="S192" s="42"/>
      <c r="T192" s="405"/>
      <c r="U192" s="405"/>
      <c r="V192" s="405"/>
      <c r="W192" s="405"/>
      <c r="X192" s="405"/>
      <c r="Y192" s="405"/>
      <c r="Z192" s="405"/>
      <c r="AA192" s="405"/>
      <c r="AB192" s="405"/>
      <c r="AC192" s="405"/>
      <c r="AD192" s="405"/>
      <c r="AE192" s="405"/>
      <c r="AF192" s="405"/>
      <c r="AG192" s="405"/>
      <c r="AH192" s="405"/>
      <c r="AI192" s="405"/>
      <c r="AJ192" s="411"/>
      <c r="AK192" s="42"/>
      <c r="AL192" s="311"/>
      <c r="AM192" s="311"/>
      <c r="AN192" s="311"/>
      <c r="AO192" s="311"/>
      <c r="AP192" s="43"/>
      <c r="AQ192" s="111"/>
      <c r="AR192" s="309"/>
      <c r="AS192" s="309"/>
      <c r="AT192" s="309"/>
      <c r="AU192" s="309"/>
      <c r="AV192" s="309"/>
      <c r="AW192" s="309"/>
      <c r="AX192" s="309"/>
      <c r="AY192" s="309"/>
      <c r="AZ192" s="309"/>
      <c r="BA192" s="309"/>
      <c r="BB192" s="309"/>
      <c r="BC192" s="309"/>
      <c r="BD192" s="309"/>
      <c r="BE192" s="309"/>
      <c r="BF192" s="309"/>
      <c r="BG192" s="309"/>
      <c r="BH192" s="124"/>
      <c r="BI192" s="41"/>
      <c r="BK192" s="412"/>
      <c r="BL192" s="413"/>
      <c r="BM192" s="414"/>
      <c r="BN192" s="412"/>
      <c r="BO192" s="413"/>
      <c r="BP192" s="414"/>
      <c r="BQ192" s="412"/>
      <c r="BR192" s="413"/>
      <c r="BS192" s="414"/>
      <c r="BT192" s="412"/>
      <c r="BU192" s="413"/>
      <c r="BV192" s="414"/>
      <c r="BW192" s="412"/>
      <c r="BX192" s="413"/>
      <c r="BY192" s="414"/>
      <c r="BZ192" s="412"/>
      <c r="CA192" s="413"/>
      <c r="CB192" s="414"/>
      <c r="CC192" s="412"/>
      <c r="CD192" s="413"/>
      <c r="CE192" s="414"/>
      <c r="CF192" s="412"/>
      <c r="CG192" s="413"/>
      <c r="CH192" s="414"/>
      <c r="CI192" s="412"/>
      <c r="CJ192" s="413"/>
      <c r="CK192" s="414"/>
      <c r="CL192" s="412"/>
      <c r="CM192" s="413"/>
      <c r="CN192" s="414"/>
      <c r="CO192" s="412"/>
      <c r="CP192" s="413"/>
      <c r="CQ192" s="414"/>
      <c r="CR192" s="412"/>
      <c r="CS192" s="413"/>
      <c r="CT192" s="414"/>
      <c r="CU192" s="412"/>
      <c r="CV192" s="413"/>
      <c r="CW192" s="414"/>
      <c r="CX192" s="412"/>
      <c r="CY192" s="413"/>
      <c r="CZ192" s="414"/>
      <c r="DA192" s="412"/>
      <c r="DB192" s="413"/>
      <c r="DC192" s="414"/>
      <c r="DD192" s="412"/>
      <c r="DE192" s="413"/>
      <c r="DF192" s="414"/>
      <c r="DH192" s="311"/>
      <c r="DI192" s="311"/>
      <c r="DJ192" s="311"/>
      <c r="DK192" s="311"/>
      <c r="DL192" s="321"/>
      <c r="DM192" s="321"/>
      <c r="DN192" s="321"/>
      <c r="DO192" s="321"/>
      <c r="DP192" s="321"/>
      <c r="DQ192" s="321"/>
      <c r="DR192" s="321"/>
      <c r="DS192" s="321"/>
    </row>
    <row r="193" spans="1:123" ht="7.4" customHeight="1" x14ac:dyDescent="0.5">
      <c r="A193" s="42"/>
      <c r="B193" s="42"/>
      <c r="C193" s="55"/>
      <c r="D193" s="55"/>
      <c r="E193" s="41"/>
      <c r="F193" s="42"/>
      <c r="G193" s="56"/>
      <c r="H193" s="56"/>
      <c r="I193" s="56"/>
      <c r="J193" s="56"/>
      <c r="K193" s="56"/>
      <c r="L193" s="56"/>
      <c r="M193" s="56"/>
      <c r="N193" s="56"/>
      <c r="O193" s="56"/>
      <c r="P193" s="56"/>
      <c r="Q193" s="56"/>
      <c r="R193" s="126"/>
      <c r="S193" s="42"/>
      <c r="T193" s="116" t="str">
        <f>VLOOKUP(G191,PL!$B$9:$BH$1265,33,FALSE)</f>
        <v>Class4 Coated Steel, M6.3x22</v>
      </c>
      <c r="AJ193" s="41"/>
      <c r="AK193" s="42"/>
      <c r="AL193" s="311"/>
      <c r="AM193" s="311"/>
      <c r="AN193" s="311"/>
      <c r="AO193" s="311"/>
      <c r="AP193" s="43"/>
      <c r="AQ193" s="42"/>
      <c r="AR193" s="119"/>
      <c r="AS193" s="119"/>
      <c r="AT193" s="119"/>
      <c r="AU193" s="119"/>
      <c r="AV193" s="119"/>
      <c r="AW193" s="119"/>
      <c r="AX193" s="105"/>
      <c r="AZ193" s="119"/>
      <c r="BA193" s="119"/>
      <c r="BB193" s="119"/>
      <c r="BC193" s="119"/>
      <c r="BD193" s="119"/>
      <c r="BE193" s="119"/>
      <c r="BF193" s="119"/>
      <c r="BG193" s="119"/>
      <c r="BH193" s="124"/>
      <c r="BI193" s="41"/>
      <c r="BK193" s="194"/>
      <c r="BL193" s="123"/>
      <c r="BM193" s="195"/>
      <c r="BN193" s="194"/>
      <c r="BO193" s="123"/>
      <c r="BP193" s="195"/>
      <c r="BQ193" s="194"/>
      <c r="BR193" s="123"/>
      <c r="BS193" s="195"/>
      <c r="BT193" s="194"/>
      <c r="BU193" s="123"/>
      <c r="BV193" s="195"/>
      <c r="BW193" s="194"/>
      <c r="BX193" s="123"/>
      <c r="BY193" s="195"/>
      <c r="BZ193" s="194"/>
      <c r="CA193" s="123"/>
      <c r="CB193" s="195"/>
      <c r="CC193" s="194"/>
      <c r="CD193" s="123"/>
      <c r="CE193" s="195"/>
      <c r="CF193" s="194"/>
      <c r="CG193" s="123"/>
      <c r="CH193" s="195"/>
      <c r="CI193" s="194"/>
      <c r="CJ193" s="123"/>
      <c r="CK193" s="195"/>
      <c r="CL193" s="194"/>
      <c r="CM193" s="123"/>
      <c r="CN193" s="195"/>
      <c r="CO193" s="194"/>
      <c r="CP193" s="123"/>
      <c r="CQ193" s="195"/>
      <c r="CR193" s="194"/>
      <c r="CS193" s="123"/>
      <c r="CT193" s="195"/>
      <c r="CU193" s="194"/>
      <c r="CV193" s="123"/>
      <c r="CW193" s="195"/>
      <c r="CX193" s="194"/>
      <c r="CY193" s="123"/>
      <c r="CZ193" s="195"/>
      <c r="DA193" s="194"/>
      <c r="DB193" s="123"/>
      <c r="DC193" s="195"/>
      <c r="DD193" s="194"/>
      <c r="DE193" s="123"/>
      <c r="DF193" s="195"/>
      <c r="DH193" s="311"/>
      <c r="DI193" s="311"/>
      <c r="DJ193" s="311"/>
      <c r="DK193" s="311"/>
      <c r="DL193" s="321"/>
      <c r="DM193" s="321"/>
      <c r="DN193" s="321"/>
      <c r="DO193" s="321"/>
      <c r="DP193" s="321"/>
      <c r="DQ193" s="321"/>
      <c r="DR193" s="321"/>
      <c r="DS193" s="321"/>
    </row>
    <row r="194" spans="1:123" ht="7.4" customHeight="1" x14ac:dyDescent="0.5">
      <c r="A194" s="42"/>
      <c r="B194" s="42"/>
      <c r="C194" s="55"/>
      <c r="D194" s="55"/>
      <c r="E194" s="41"/>
      <c r="F194" s="42"/>
      <c r="G194" s="56"/>
      <c r="H194" s="56"/>
      <c r="I194" s="56"/>
      <c r="J194" s="56"/>
      <c r="K194" s="56"/>
      <c r="L194" s="56"/>
      <c r="M194" s="56"/>
      <c r="N194" s="56"/>
      <c r="O194" s="56"/>
      <c r="P194" s="56"/>
      <c r="Q194" s="56"/>
      <c r="R194" s="126"/>
      <c r="S194" s="42"/>
      <c r="AJ194" s="41"/>
      <c r="AK194" s="42"/>
      <c r="AL194" s="311"/>
      <c r="AM194" s="311"/>
      <c r="AN194" s="311"/>
      <c r="AO194" s="311"/>
      <c r="AP194" s="43"/>
      <c r="AQ194" s="42"/>
      <c r="AR194" s="119"/>
      <c r="AS194" s="119"/>
      <c r="AT194" s="119"/>
      <c r="AU194" s="119"/>
      <c r="AV194" s="119"/>
      <c r="AW194" s="119"/>
      <c r="AX194" s="105"/>
      <c r="AZ194" s="119"/>
      <c r="BA194" s="119"/>
      <c r="BB194" s="119"/>
      <c r="BC194" s="119"/>
      <c r="BD194" s="119"/>
      <c r="BE194" s="119"/>
      <c r="BF194" s="119"/>
      <c r="BG194" s="119"/>
      <c r="BH194" s="124"/>
      <c r="BI194" s="41"/>
      <c r="BK194" s="194"/>
      <c r="BL194" s="123"/>
      <c r="BM194" s="195"/>
      <c r="BN194" s="194"/>
      <c r="BO194" s="123"/>
      <c r="BP194" s="195"/>
      <c r="BQ194" s="194"/>
      <c r="BR194" s="123"/>
      <c r="BS194" s="195"/>
      <c r="BT194" s="194"/>
      <c r="BU194" s="123"/>
      <c r="BV194" s="195"/>
      <c r="BW194" s="194"/>
      <c r="BX194" s="123"/>
      <c r="BY194" s="195"/>
      <c r="BZ194" s="194"/>
      <c r="CA194" s="123"/>
      <c r="CB194" s="195"/>
      <c r="CC194" s="194"/>
      <c r="CD194" s="123"/>
      <c r="CE194" s="195"/>
      <c r="CF194" s="194"/>
      <c r="CG194" s="123"/>
      <c r="CH194" s="195"/>
      <c r="CI194" s="194"/>
      <c r="CJ194" s="123"/>
      <c r="CK194" s="195"/>
      <c r="CL194" s="194"/>
      <c r="CM194" s="123"/>
      <c r="CN194" s="195"/>
      <c r="CO194" s="194"/>
      <c r="CP194" s="123"/>
      <c r="CQ194" s="195"/>
      <c r="CR194" s="194"/>
      <c r="CS194" s="123"/>
      <c r="CT194" s="195"/>
      <c r="CU194" s="194"/>
      <c r="CV194" s="123"/>
      <c r="CW194" s="195"/>
      <c r="CX194" s="194"/>
      <c r="CY194" s="123"/>
      <c r="CZ194" s="195"/>
      <c r="DA194" s="194"/>
      <c r="DB194" s="123"/>
      <c r="DC194" s="195"/>
      <c r="DD194" s="194"/>
      <c r="DE194" s="123"/>
      <c r="DF194" s="195"/>
      <c r="DH194" s="311"/>
      <c r="DI194" s="311"/>
      <c r="DJ194" s="311"/>
      <c r="DK194" s="311"/>
      <c r="DL194" s="321"/>
      <c r="DM194" s="321"/>
      <c r="DN194" s="321"/>
      <c r="DO194" s="321"/>
      <c r="DP194" s="321"/>
      <c r="DQ194" s="321"/>
      <c r="DR194" s="321"/>
      <c r="DS194" s="321"/>
    </row>
    <row r="195" spans="1:123" ht="7.4" customHeight="1" x14ac:dyDescent="0.5">
      <c r="A195" s="42"/>
      <c r="B195" s="42"/>
      <c r="C195" s="311">
        <f>C191+1</f>
        <v>20</v>
      </c>
      <c r="D195" s="311"/>
      <c r="E195" s="41"/>
      <c r="F195" s="42"/>
      <c r="G195" s="319" t="str">
        <f>IF(AL195=0,"N/A","AXE_ST_5.5_85_SC")</f>
        <v>N/A</v>
      </c>
      <c r="H195" s="319"/>
      <c r="I195" s="319"/>
      <c r="J195" s="319"/>
      <c r="K195" s="319"/>
      <c r="L195" s="319"/>
      <c r="M195" s="319"/>
      <c r="N195" s="319"/>
      <c r="O195" s="319"/>
      <c r="P195" s="319"/>
      <c r="Q195" s="319"/>
      <c r="R195" s="320"/>
      <c r="S195" s="42"/>
      <c r="T195" s="405" t="str">
        <f>VLOOKUP(G195,PL!$B$9:$BH$1265,14,FALSE)</f>
        <v>No Item</v>
      </c>
      <c r="U195" s="405"/>
      <c r="V195" s="405"/>
      <c r="W195" s="405"/>
      <c r="X195" s="405"/>
      <c r="Y195" s="405"/>
      <c r="Z195" s="405"/>
      <c r="AA195" s="405"/>
      <c r="AB195" s="405"/>
      <c r="AC195" s="405"/>
      <c r="AD195" s="405"/>
      <c r="AE195" s="405"/>
      <c r="AF195" s="405"/>
      <c r="AG195" s="405"/>
      <c r="AH195" s="405"/>
      <c r="AI195" s="405"/>
      <c r="AJ195" s="411"/>
      <c r="AK195" s="42"/>
      <c r="AL195" s="311">
        <f>ROUND(SUM(BK195:DF195)*(1+$BF$80),0)</f>
        <v>0</v>
      </c>
      <c r="AM195" s="311"/>
      <c r="AN195" s="311"/>
      <c r="AO195" s="311"/>
      <c r="AP195" s="43"/>
      <c r="AQ195" s="111"/>
      <c r="AR195" s="308" t="str">
        <f>VLOOKUP(G195,PL!$B$9:$BH$818,52,FALSE)</f>
        <v>-</v>
      </c>
      <c r="AS195" s="309"/>
      <c r="AT195" s="309"/>
      <c r="AU195" s="309"/>
      <c r="AV195" s="309"/>
      <c r="AW195" s="309"/>
      <c r="AX195" s="309"/>
      <c r="AY195" s="309"/>
      <c r="AZ195" s="309"/>
      <c r="BA195" s="309"/>
      <c r="BB195" s="309"/>
      <c r="BC195" s="309"/>
      <c r="BD195" s="309"/>
      <c r="BE195" s="309"/>
      <c r="BF195" s="309"/>
      <c r="BG195" s="309"/>
      <c r="BH195" s="124"/>
      <c r="BI195" s="41"/>
      <c r="BK195" s="412">
        <f>IF(MID($G$147,8,1)="L",IF($AO$35="Flat Surface",0,BK147),0)</f>
        <v>0</v>
      </c>
      <c r="BL195" s="413"/>
      <c r="BM195" s="414"/>
      <c r="BN195" s="412">
        <f>IF(MID($G$147,8,1)="L",IF($AO$35="Flat Surface",0,BN147),0)</f>
        <v>0</v>
      </c>
      <c r="BO195" s="413"/>
      <c r="BP195" s="414"/>
      <c r="BQ195" s="412">
        <f>IF(MID($G$147,8,1)="L",IF($AO$35="Flat Surface",0,BQ147),0)</f>
        <v>0</v>
      </c>
      <c r="BR195" s="413"/>
      <c r="BS195" s="414"/>
      <c r="BT195" s="412">
        <f>IF(MID($G$147,8,1)="L",IF($AO$35="Flat Surface",0,BT147),0)</f>
        <v>0</v>
      </c>
      <c r="BU195" s="413"/>
      <c r="BV195" s="414"/>
      <c r="BW195" s="412">
        <f>IF(MID($G$147,8,1)="L",IF($AO$35="Flat Surface",0,BW147),0)</f>
        <v>0</v>
      </c>
      <c r="BX195" s="413"/>
      <c r="BY195" s="414"/>
      <c r="BZ195" s="412">
        <f>IF(MID($G$147,8,1)="L",IF($AO$35="Flat Surface",0,BZ147),0)</f>
        <v>0</v>
      </c>
      <c r="CA195" s="413"/>
      <c r="CB195" s="414"/>
      <c r="CC195" s="412">
        <f>IF(MID($G$147,8,1)="L",IF($AO$35="Flat Surface",0,CC147),0)</f>
        <v>0</v>
      </c>
      <c r="CD195" s="413"/>
      <c r="CE195" s="414"/>
      <c r="CF195" s="412">
        <f>IF(MID($G$147,8,1)="L",IF($AO$35="Flat Surface",0,CF147),0)</f>
        <v>0</v>
      </c>
      <c r="CG195" s="413"/>
      <c r="CH195" s="414"/>
      <c r="CI195" s="412">
        <f>IF(MID($G$147,8,1)="L",IF($AO$35="Flat Surface",0,CI147),0)</f>
        <v>0</v>
      </c>
      <c r="CJ195" s="413"/>
      <c r="CK195" s="414"/>
      <c r="CL195" s="412">
        <f>IF(MID($G$147,8,1)="L",IF($AO$35="Flat Surface",0,CL147),0)</f>
        <v>0</v>
      </c>
      <c r="CM195" s="413"/>
      <c r="CN195" s="414"/>
      <c r="CO195" s="412">
        <f>IF(MID($G$147,8,1)="L",IF($AO$35="Flat Surface",0,CO147),0)</f>
        <v>0</v>
      </c>
      <c r="CP195" s="413"/>
      <c r="CQ195" s="414"/>
      <c r="CR195" s="412">
        <f>IF(MID($G$147,8,1)="L",IF($AO$35="Flat Surface",0,CR147),0)</f>
        <v>0</v>
      </c>
      <c r="CS195" s="413"/>
      <c r="CT195" s="414"/>
      <c r="CU195" s="412">
        <f>IF(MID($G$147,8,1)="L",IF($AO$35="Flat Surface",0,CU147),0)</f>
        <v>0</v>
      </c>
      <c r="CV195" s="413"/>
      <c r="CW195" s="414"/>
      <c r="CX195" s="412">
        <f>IF(MID($G$147,8,1)="L",IF($AO$35="Flat Surface",0,CX147),0)</f>
        <v>0</v>
      </c>
      <c r="CY195" s="413"/>
      <c r="CZ195" s="414"/>
      <c r="DA195" s="412">
        <f>IF(MID($G$147,8,1)="L",IF($AO$35="Flat Surface",0,DA147),0)</f>
        <v>0</v>
      </c>
      <c r="DB195" s="413"/>
      <c r="DC195" s="414"/>
      <c r="DD195" s="412">
        <f>IF(MID($G$147,8,1)="L",IF($AO$35="Flat Surface",0,DD147),0)</f>
        <v>0</v>
      </c>
      <c r="DE195" s="413"/>
      <c r="DF195" s="414"/>
      <c r="DH195" s="311"/>
      <c r="DI195" s="311"/>
      <c r="DJ195" s="311"/>
      <c r="DK195" s="311"/>
      <c r="DL195" s="321"/>
      <c r="DM195" s="321"/>
      <c r="DN195" s="321"/>
      <c r="DO195" s="321"/>
      <c r="DP195" s="321"/>
      <c r="DQ195" s="321"/>
      <c r="DR195" s="321"/>
      <c r="DS195" s="321"/>
    </row>
    <row r="196" spans="1:123" ht="7.4" customHeight="1" x14ac:dyDescent="0.5">
      <c r="A196" s="42"/>
      <c r="B196" s="42"/>
      <c r="C196" s="311"/>
      <c r="D196" s="311"/>
      <c r="E196" s="41"/>
      <c r="F196" s="42"/>
      <c r="G196" s="319"/>
      <c r="H196" s="319"/>
      <c r="I196" s="319"/>
      <c r="J196" s="319"/>
      <c r="K196" s="319"/>
      <c r="L196" s="319"/>
      <c r="M196" s="319"/>
      <c r="N196" s="319"/>
      <c r="O196" s="319"/>
      <c r="P196" s="319"/>
      <c r="Q196" s="319"/>
      <c r="R196" s="320"/>
      <c r="S196" s="42"/>
      <c r="T196" s="405"/>
      <c r="U196" s="405"/>
      <c r="V196" s="405"/>
      <c r="W196" s="405"/>
      <c r="X196" s="405"/>
      <c r="Y196" s="405"/>
      <c r="Z196" s="405"/>
      <c r="AA196" s="405"/>
      <c r="AB196" s="405"/>
      <c r="AC196" s="405"/>
      <c r="AD196" s="405"/>
      <c r="AE196" s="405"/>
      <c r="AF196" s="405"/>
      <c r="AG196" s="405"/>
      <c r="AH196" s="405"/>
      <c r="AI196" s="405"/>
      <c r="AJ196" s="411"/>
      <c r="AK196" s="42"/>
      <c r="AL196" s="311"/>
      <c r="AM196" s="311"/>
      <c r="AN196" s="311"/>
      <c r="AO196" s="311"/>
      <c r="AP196" s="43"/>
      <c r="AQ196" s="111"/>
      <c r="AR196" s="309"/>
      <c r="AS196" s="309"/>
      <c r="AT196" s="309"/>
      <c r="AU196" s="309"/>
      <c r="AV196" s="309"/>
      <c r="AW196" s="309"/>
      <c r="AX196" s="309"/>
      <c r="AY196" s="309"/>
      <c r="AZ196" s="309"/>
      <c r="BA196" s="309"/>
      <c r="BB196" s="309"/>
      <c r="BC196" s="309"/>
      <c r="BD196" s="309"/>
      <c r="BE196" s="309"/>
      <c r="BF196" s="309"/>
      <c r="BG196" s="309"/>
      <c r="BH196" s="124"/>
      <c r="BI196" s="41"/>
      <c r="BK196" s="412"/>
      <c r="BL196" s="413"/>
      <c r="BM196" s="414"/>
      <c r="BN196" s="412"/>
      <c r="BO196" s="413"/>
      <c r="BP196" s="414"/>
      <c r="BQ196" s="412"/>
      <c r="BR196" s="413"/>
      <c r="BS196" s="414"/>
      <c r="BT196" s="412"/>
      <c r="BU196" s="413"/>
      <c r="BV196" s="414"/>
      <c r="BW196" s="412"/>
      <c r="BX196" s="413"/>
      <c r="BY196" s="414"/>
      <c r="BZ196" s="412"/>
      <c r="CA196" s="413"/>
      <c r="CB196" s="414"/>
      <c r="CC196" s="412"/>
      <c r="CD196" s="413"/>
      <c r="CE196" s="414"/>
      <c r="CF196" s="412"/>
      <c r="CG196" s="413"/>
      <c r="CH196" s="414"/>
      <c r="CI196" s="412"/>
      <c r="CJ196" s="413"/>
      <c r="CK196" s="414"/>
      <c r="CL196" s="412"/>
      <c r="CM196" s="413"/>
      <c r="CN196" s="414"/>
      <c r="CO196" s="412"/>
      <c r="CP196" s="413"/>
      <c r="CQ196" s="414"/>
      <c r="CR196" s="412"/>
      <c r="CS196" s="413"/>
      <c r="CT196" s="414"/>
      <c r="CU196" s="412"/>
      <c r="CV196" s="413"/>
      <c r="CW196" s="414"/>
      <c r="CX196" s="412"/>
      <c r="CY196" s="413"/>
      <c r="CZ196" s="414"/>
      <c r="DA196" s="412"/>
      <c r="DB196" s="413"/>
      <c r="DC196" s="414"/>
      <c r="DD196" s="412"/>
      <c r="DE196" s="413"/>
      <c r="DF196" s="414"/>
      <c r="DH196" s="311"/>
      <c r="DI196" s="311"/>
      <c r="DJ196" s="311"/>
      <c r="DK196" s="311"/>
      <c r="DL196" s="321"/>
      <c r="DM196" s="321"/>
      <c r="DN196" s="321"/>
      <c r="DO196" s="321"/>
      <c r="DP196" s="321"/>
      <c r="DQ196" s="321"/>
      <c r="DR196" s="321"/>
      <c r="DS196" s="321"/>
    </row>
    <row r="197" spans="1:123" ht="7.4" customHeight="1" x14ac:dyDescent="0.5">
      <c r="A197" s="42"/>
      <c r="B197" s="42"/>
      <c r="C197" s="55"/>
      <c r="D197" s="55"/>
      <c r="E197" s="41"/>
      <c r="F197" s="42"/>
      <c r="G197" s="56"/>
      <c r="H197" s="56"/>
      <c r="I197" s="56"/>
      <c r="J197" s="56"/>
      <c r="K197" s="56"/>
      <c r="L197" s="56"/>
      <c r="M197" s="56"/>
      <c r="N197" s="56"/>
      <c r="O197" s="56"/>
      <c r="P197" s="56"/>
      <c r="Q197" s="56"/>
      <c r="R197" s="126"/>
      <c r="S197" s="42"/>
      <c r="T197" s="116" t="str">
        <f>VLOOKUP(G195,PL!$B$9:$BH$1265,33,FALSE)</f>
        <v>.</v>
      </c>
      <c r="AJ197" s="41"/>
      <c r="AK197" s="42"/>
      <c r="AL197" s="311"/>
      <c r="AM197" s="311"/>
      <c r="AN197" s="311"/>
      <c r="AO197" s="311"/>
      <c r="AP197" s="43"/>
      <c r="AQ197" s="42"/>
      <c r="AR197" s="119"/>
      <c r="AS197" s="119"/>
      <c r="AT197" s="119"/>
      <c r="AU197" s="119"/>
      <c r="AV197" s="119"/>
      <c r="AW197" s="119"/>
      <c r="AX197" s="105"/>
      <c r="AZ197" s="119"/>
      <c r="BA197" s="119"/>
      <c r="BB197" s="119"/>
      <c r="BC197" s="119"/>
      <c r="BD197" s="119"/>
      <c r="BE197" s="119"/>
      <c r="BF197" s="119"/>
      <c r="BG197" s="119"/>
      <c r="BH197" s="124"/>
      <c r="BI197" s="41"/>
      <c r="BK197" s="194"/>
      <c r="BL197" s="123"/>
      <c r="BM197" s="195"/>
      <c r="BN197" s="194"/>
      <c r="BO197" s="123"/>
      <c r="BP197" s="195"/>
      <c r="BQ197" s="194"/>
      <c r="BR197" s="123"/>
      <c r="BS197" s="195"/>
      <c r="BT197" s="194"/>
      <c r="BU197" s="123"/>
      <c r="BV197" s="195"/>
      <c r="BW197" s="194"/>
      <c r="BX197" s="123"/>
      <c r="BY197" s="195"/>
      <c r="BZ197" s="194"/>
      <c r="CA197" s="123"/>
      <c r="CB197" s="195"/>
      <c r="CC197" s="194"/>
      <c r="CD197" s="123"/>
      <c r="CE197" s="195"/>
      <c r="CF197" s="194"/>
      <c r="CG197" s="123"/>
      <c r="CH197" s="195"/>
      <c r="CI197" s="194"/>
      <c r="CJ197" s="123"/>
      <c r="CK197" s="195"/>
      <c r="CL197" s="194"/>
      <c r="CM197" s="123"/>
      <c r="CN197" s="195"/>
      <c r="CO197" s="194"/>
      <c r="CP197" s="123"/>
      <c r="CQ197" s="195"/>
      <c r="CR197" s="194"/>
      <c r="CS197" s="123"/>
      <c r="CT197" s="195"/>
      <c r="CU197" s="194"/>
      <c r="CV197" s="123"/>
      <c r="CW197" s="195"/>
      <c r="CX197" s="194"/>
      <c r="CY197" s="123"/>
      <c r="CZ197" s="195"/>
      <c r="DA197" s="194"/>
      <c r="DB197" s="123"/>
      <c r="DC197" s="195"/>
      <c r="DD197" s="194"/>
      <c r="DE197" s="123"/>
      <c r="DF197" s="195"/>
      <c r="DH197" s="311"/>
      <c r="DI197" s="311"/>
      <c r="DJ197" s="311"/>
      <c r="DK197" s="311"/>
      <c r="DL197" s="321"/>
      <c r="DM197" s="321"/>
      <c r="DN197" s="321"/>
      <c r="DO197" s="321"/>
      <c r="DP197" s="321"/>
      <c r="DQ197" s="321"/>
      <c r="DR197" s="321"/>
      <c r="DS197" s="321"/>
    </row>
    <row r="198" spans="1:123" ht="7.4" customHeight="1" x14ac:dyDescent="0.5">
      <c r="A198" s="42"/>
      <c r="B198" s="42"/>
      <c r="C198" s="55"/>
      <c r="D198" s="55"/>
      <c r="E198" s="41"/>
      <c r="F198" s="42"/>
      <c r="G198" s="56"/>
      <c r="H198" s="56"/>
      <c r="I198" s="56"/>
      <c r="J198" s="56"/>
      <c r="K198" s="56"/>
      <c r="L198" s="56"/>
      <c r="M198" s="56"/>
      <c r="N198" s="56"/>
      <c r="O198" s="56"/>
      <c r="P198" s="56"/>
      <c r="Q198" s="56"/>
      <c r="R198" s="126"/>
      <c r="S198" s="42"/>
      <c r="AJ198" s="41"/>
      <c r="AK198" s="42"/>
      <c r="AL198" s="311"/>
      <c r="AM198" s="311"/>
      <c r="AN198" s="311"/>
      <c r="AO198" s="311"/>
      <c r="AP198" s="43"/>
      <c r="AQ198" s="42"/>
      <c r="AR198" s="119"/>
      <c r="AS198" s="119"/>
      <c r="AT198" s="119"/>
      <c r="AU198" s="119"/>
      <c r="AV198" s="119"/>
      <c r="AW198" s="119"/>
      <c r="AX198" s="105"/>
      <c r="AZ198" s="119"/>
      <c r="BA198" s="119"/>
      <c r="BB198" s="119"/>
      <c r="BC198" s="119"/>
      <c r="BD198" s="119"/>
      <c r="BE198" s="119"/>
      <c r="BF198" s="119"/>
      <c r="BG198" s="119"/>
      <c r="BH198" s="124"/>
      <c r="BI198" s="41"/>
      <c r="BK198" s="194"/>
      <c r="BL198" s="123"/>
      <c r="BM198" s="195"/>
      <c r="BN198" s="194"/>
      <c r="BO198" s="123"/>
      <c r="BP198" s="195"/>
      <c r="BQ198" s="194"/>
      <c r="BR198" s="123"/>
      <c r="BS198" s="195"/>
      <c r="BT198" s="194"/>
      <c r="BU198" s="123"/>
      <c r="BV198" s="195"/>
      <c r="BW198" s="194"/>
      <c r="BX198" s="123"/>
      <c r="BY198" s="195"/>
      <c r="BZ198" s="194"/>
      <c r="CA198" s="123"/>
      <c r="CB198" s="195"/>
      <c r="CC198" s="194"/>
      <c r="CD198" s="123"/>
      <c r="CE198" s="195"/>
      <c r="CF198" s="194"/>
      <c r="CG198" s="123"/>
      <c r="CH198" s="195"/>
      <c r="CI198" s="194"/>
      <c r="CJ198" s="123"/>
      <c r="CK198" s="195"/>
      <c r="CL198" s="194"/>
      <c r="CM198" s="123"/>
      <c r="CN198" s="195"/>
      <c r="CO198" s="194"/>
      <c r="CP198" s="123"/>
      <c r="CQ198" s="195"/>
      <c r="CR198" s="194"/>
      <c r="CS198" s="123"/>
      <c r="CT198" s="195"/>
      <c r="CU198" s="194"/>
      <c r="CV198" s="123"/>
      <c r="CW198" s="195"/>
      <c r="CX198" s="194"/>
      <c r="CY198" s="123"/>
      <c r="CZ198" s="195"/>
      <c r="DA198" s="194"/>
      <c r="DB198" s="123"/>
      <c r="DC198" s="195"/>
      <c r="DD198" s="194"/>
      <c r="DE198" s="123"/>
      <c r="DF198" s="195"/>
      <c r="DH198" s="311"/>
      <c r="DI198" s="311"/>
      <c r="DJ198" s="311"/>
      <c r="DK198" s="311"/>
      <c r="DL198" s="321"/>
      <c r="DM198" s="321"/>
      <c r="DN198" s="321"/>
      <c r="DO198" s="321"/>
      <c r="DP198" s="321"/>
      <c r="DQ198" s="321"/>
      <c r="DR198" s="321"/>
      <c r="DS198" s="321"/>
    </row>
    <row r="199" spans="1:123" ht="7.4" customHeight="1" x14ac:dyDescent="0.5">
      <c r="A199" s="42"/>
      <c r="B199" s="42"/>
      <c r="C199" s="311">
        <f>C195+1</f>
        <v>21</v>
      </c>
      <c r="D199" s="311"/>
      <c r="E199" s="41"/>
      <c r="F199" s="42"/>
      <c r="G199" s="322" t="str">
        <f>IF(AL199=0,"N/A","Anti_Seize_S")</f>
        <v>N/A</v>
      </c>
      <c r="H199" s="322"/>
      <c r="I199" s="322"/>
      <c r="J199" s="322"/>
      <c r="K199" s="322"/>
      <c r="L199" s="322"/>
      <c r="M199" s="322"/>
      <c r="N199" s="322"/>
      <c r="O199" s="322"/>
      <c r="P199" s="322"/>
      <c r="Q199" s="322"/>
      <c r="R199" s="323"/>
      <c r="S199" s="42"/>
      <c r="T199" s="316" t="str">
        <f>VLOOKUP(G199,PL!$B$9:$BH$1265,14,FALSE)</f>
        <v>No Item</v>
      </c>
      <c r="U199" s="316"/>
      <c r="V199" s="316"/>
      <c r="W199" s="316"/>
      <c r="X199" s="316"/>
      <c r="Y199" s="316"/>
      <c r="Z199" s="316"/>
      <c r="AA199" s="316"/>
      <c r="AB199" s="316"/>
      <c r="AC199" s="316"/>
      <c r="AD199" s="316"/>
      <c r="AE199" s="316"/>
      <c r="AF199" s="316"/>
      <c r="AG199" s="316"/>
      <c r="AH199" s="316"/>
      <c r="AI199" s="316"/>
      <c r="AJ199" s="317"/>
      <c r="AK199" s="42"/>
      <c r="AL199" s="311">
        <f>SUM(BK199:DF199)</f>
        <v>0</v>
      </c>
      <c r="AM199" s="311"/>
      <c r="AN199" s="311"/>
      <c r="AO199" s="311"/>
      <c r="AP199" s="43"/>
      <c r="AQ199" s="111"/>
      <c r="AR199" s="308" t="str">
        <f>VLOOKUP(G199,PL!$B$9:$BH$818,52,FALSE)</f>
        <v>-</v>
      </c>
      <c r="AS199" s="309"/>
      <c r="AT199" s="309"/>
      <c r="AU199" s="309"/>
      <c r="AV199" s="309"/>
      <c r="AW199" s="309"/>
      <c r="AX199" s="309"/>
      <c r="AY199" s="309"/>
      <c r="AZ199" s="309"/>
      <c r="BA199" s="309"/>
      <c r="BB199" s="309"/>
      <c r="BC199" s="309"/>
      <c r="BD199" s="309"/>
      <c r="BE199" s="309"/>
      <c r="BF199" s="309"/>
      <c r="BG199" s="309"/>
      <c r="BH199" s="124"/>
      <c r="BI199" s="41"/>
      <c r="BK199" s="412">
        <f>IF($AI$78="Not Included",ROUNDUP((SUM(BK139:DF139)+SUM(BK143:DF143))/1000,0),0)</f>
        <v>0</v>
      </c>
      <c r="BL199" s="413"/>
      <c r="BM199" s="414"/>
      <c r="BN199" s="194"/>
      <c r="BO199" s="123"/>
      <c r="BP199" s="195"/>
      <c r="BQ199" s="194"/>
      <c r="BR199" s="123"/>
      <c r="BS199" s="195"/>
      <c r="BT199" s="194"/>
      <c r="BU199" s="123"/>
      <c r="BV199" s="195"/>
      <c r="BW199" s="194"/>
      <c r="BX199" s="123"/>
      <c r="BY199" s="195"/>
      <c r="BZ199" s="194"/>
      <c r="CA199" s="123"/>
      <c r="CB199" s="195"/>
      <c r="CC199" s="194"/>
      <c r="CD199" s="123"/>
      <c r="CE199" s="195"/>
      <c r="CF199" s="194"/>
      <c r="CG199" s="123"/>
      <c r="CH199" s="195"/>
      <c r="CI199" s="194"/>
      <c r="CJ199" s="123"/>
      <c r="CK199" s="195"/>
      <c r="CL199" s="194"/>
      <c r="CM199" s="123"/>
      <c r="CN199" s="195"/>
      <c r="CO199" s="194"/>
      <c r="CP199" s="123"/>
      <c r="CQ199" s="195"/>
      <c r="CR199" s="194"/>
      <c r="CS199" s="123"/>
      <c r="CT199" s="195"/>
      <c r="CU199" s="194"/>
      <c r="CV199" s="123"/>
      <c r="CW199" s="195"/>
      <c r="CX199" s="194"/>
      <c r="CY199" s="123"/>
      <c r="CZ199" s="195"/>
      <c r="DA199" s="194"/>
      <c r="DB199" s="123"/>
      <c r="DC199" s="195"/>
      <c r="DD199" s="194"/>
      <c r="DE199" s="123"/>
      <c r="DF199" s="195"/>
      <c r="DL199" s="105"/>
      <c r="DM199" s="105"/>
      <c r="DN199" s="105"/>
      <c r="DO199" s="105"/>
      <c r="DP199" s="105"/>
      <c r="DQ199" s="105"/>
      <c r="DR199" s="105"/>
      <c r="DS199" s="105"/>
    </row>
    <row r="200" spans="1:123" ht="7.4" customHeight="1" x14ac:dyDescent="0.5">
      <c r="A200" s="42"/>
      <c r="B200" s="42"/>
      <c r="C200" s="311"/>
      <c r="D200" s="311"/>
      <c r="E200" s="41"/>
      <c r="F200" s="42"/>
      <c r="G200" s="322"/>
      <c r="H200" s="322"/>
      <c r="I200" s="322"/>
      <c r="J200" s="322"/>
      <c r="K200" s="322"/>
      <c r="L200" s="322"/>
      <c r="M200" s="322"/>
      <c r="N200" s="322"/>
      <c r="O200" s="322"/>
      <c r="P200" s="322"/>
      <c r="Q200" s="322"/>
      <c r="R200" s="323"/>
      <c r="S200" s="42"/>
      <c r="T200" s="316"/>
      <c r="U200" s="316"/>
      <c r="V200" s="316"/>
      <c r="W200" s="316"/>
      <c r="X200" s="316"/>
      <c r="Y200" s="316"/>
      <c r="Z200" s="316"/>
      <c r="AA200" s="316"/>
      <c r="AB200" s="316"/>
      <c r="AC200" s="316"/>
      <c r="AD200" s="316"/>
      <c r="AE200" s="316"/>
      <c r="AF200" s="316"/>
      <c r="AG200" s="316"/>
      <c r="AH200" s="316"/>
      <c r="AI200" s="316"/>
      <c r="AJ200" s="317"/>
      <c r="AK200" s="42"/>
      <c r="AL200" s="311"/>
      <c r="AM200" s="311"/>
      <c r="AN200" s="311"/>
      <c r="AO200" s="311"/>
      <c r="AP200" s="43"/>
      <c r="AQ200" s="111"/>
      <c r="AR200" s="309"/>
      <c r="AS200" s="309"/>
      <c r="AT200" s="309"/>
      <c r="AU200" s="309"/>
      <c r="AV200" s="309"/>
      <c r="AW200" s="309"/>
      <c r="AX200" s="309"/>
      <c r="AY200" s="309"/>
      <c r="AZ200" s="309"/>
      <c r="BA200" s="309"/>
      <c r="BB200" s="309"/>
      <c r="BC200" s="309"/>
      <c r="BD200" s="309"/>
      <c r="BE200" s="309"/>
      <c r="BF200" s="309"/>
      <c r="BG200" s="309"/>
      <c r="BH200" s="124"/>
      <c r="BI200" s="41"/>
      <c r="BK200" s="412"/>
      <c r="BL200" s="413"/>
      <c r="BM200" s="414"/>
      <c r="BN200" s="194"/>
      <c r="BO200" s="123"/>
      <c r="BP200" s="195"/>
      <c r="BQ200" s="194"/>
      <c r="BR200" s="123"/>
      <c r="BS200" s="195"/>
      <c r="BT200" s="194"/>
      <c r="BU200" s="123"/>
      <c r="BV200" s="195"/>
      <c r="BW200" s="194"/>
      <c r="BX200" s="123"/>
      <c r="BY200" s="195"/>
      <c r="BZ200" s="194"/>
      <c r="CA200" s="123"/>
      <c r="CB200" s="195"/>
      <c r="CC200" s="194"/>
      <c r="CD200" s="123"/>
      <c r="CE200" s="195"/>
      <c r="CF200" s="194"/>
      <c r="CG200" s="123"/>
      <c r="CH200" s="195"/>
      <c r="CI200" s="194"/>
      <c r="CJ200" s="123"/>
      <c r="CK200" s="195"/>
      <c r="CL200" s="194"/>
      <c r="CM200" s="123"/>
      <c r="CN200" s="195"/>
      <c r="CO200" s="194"/>
      <c r="CP200" s="123"/>
      <c r="CQ200" s="195"/>
      <c r="CR200" s="194"/>
      <c r="CS200" s="123"/>
      <c r="CT200" s="195"/>
      <c r="CU200" s="194"/>
      <c r="CV200" s="123"/>
      <c r="CW200" s="195"/>
      <c r="CX200" s="194"/>
      <c r="CY200" s="123"/>
      <c r="CZ200" s="195"/>
      <c r="DA200" s="194"/>
      <c r="DB200" s="123"/>
      <c r="DC200" s="195"/>
      <c r="DD200" s="194"/>
      <c r="DE200" s="123"/>
      <c r="DF200" s="195"/>
      <c r="DL200" s="105"/>
      <c r="DM200" s="105"/>
      <c r="DN200" s="105"/>
      <c r="DO200" s="105"/>
      <c r="DP200" s="105"/>
      <c r="DQ200" s="105"/>
      <c r="DR200" s="105"/>
      <c r="DS200" s="105"/>
    </row>
    <row r="201" spans="1:123" ht="7.4" customHeight="1" x14ac:dyDescent="0.5">
      <c r="A201" s="42"/>
      <c r="B201" s="42"/>
      <c r="C201" s="75"/>
      <c r="D201" s="75"/>
      <c r="E201" s="41"/>
      <c r="F201" s="42"/>
      <c r="G201" s="56"/>
      <c r="H201" s="56"/>
      <c r="I201" s="56"/>
      <c r="J201" s="56"/>
      <c r="K201" s="56"/>
      <c r="L201" s="56"/>
      <c r="M201" s="56"/>
      <c r="N201" s="56"/>
      <c r="O201" s="56"/>
      <c r="P201" s="56"/>
      <c r="Q201" s="56"/>
      <c r="R201" s="126"/>
      <c r="S201" s="42"/>
      <c r="T201" s="116" t="str">
        <f>VLOOKUP(G199,PL!$B$9:$BH$1265,33,FALSE)</f>
        <v>.</v>
      </c>
      <c r="U201" s="49"/>
      <c r="V201" s="49"/>
      <c r="W201" s="49"/>
      <c r="X201" s="49"/>
      <c r="Y201" s="49"/>
      <c r="Z201" s="49"/>
      <c r="AA201" s="49"/>
      <c r="AB201" s="49"/>
      <c r="AC201" s="49"/>
      <c r="AD201" s="49"/>
      <c r="AE201" s="49"/>
      <c r="AF201" s="49"/>
      <c r="AG201" s="49"/>
      <c r="AH201" s="49"/>
      <c r="AI201" s="49"/>
      <c r="AJ201" s="110"/>
      <c r="AK201" s="42"/>
      <c r="AL201" s="127"/>
      <c r="AM201" s="127"/>
      <c r="AN201" s="127"/>
      <c r="AO201" s="127"/>
      <c r="AP201" s="43"/>
      <c r="AQ201" s="111"/>
      <c r="AR201" s="112"/>
      <c r="AS201" s="112"/>
      <c r="AT201" s="112"/>
      <c r="AU201" s="112"/>
      <c r="AV201" s="112"/>
      <c r="AW201" s="112"/>
      <c r="AX201" s="112"/>
      <c r="AY201" s="112"/>
      <c r="AZ201" s="112"/>
      <c r="BA201" s="112"/>
      <c r="BB201" s="112"/>
      <c r="BC201" s="112"/>
      <c r="BD201" s="112"/>
      <c r="BE201" s="112"/>
      <c r="BF201" s="112"/>
      <c r="BG201" s="112"/>
      <c r="BH201" s="124"/>
      <c r="BI201" s="41"/>
      <c r="BK201" s="194"/>
      <c r="BL201" s="123"/>
      <c r="BM201" s="195"/>
      <c r="BN201" s="194"/>
      <c r="BO201" s="123"/>
      <c r="BP201" s="195"/>
      <c r="BQ201" s="194"/>
      <c r="BR201" s="123"/>
      <c r="BS201" s="195"/>
      <c r="BT201" s="194"/>
      <c r="BU201" s="123"/>
      <c r="BV201" s="195"/>
      <c r="BW201" s="194"/>
      <c r="BX201" s="123"/>
      <c r="BY201" s="195"/>
      <c r="BZ201" s="194"/>
      <c r="CA201" s="123"/>
      <c r="CB201" s="195"/>
      <c r="CC201" s="194"/>
      <c r="CD201" s="123"/>
      <c r="CE201" s="195"/>
      <c r="CF201" s="194"/>
      <c r="CG201" s="123"/>
      <c r="CH201" s="195"/>
      <c r="CI201" s="194"/>
      <c r="CJ201" s="123"/>
      <c r="CK201" s="195"/>
      <c r="CL201" s="194"/>
      <c r="CM201" s="123"/>
      <c r="CN201" s="195"/>
      <c r="CO201" s="194"/>
      <c r="CP201" s="123"/>
      <c r="CQ201" s="195"/>
      <c r="CR201" s="194"/>
      <c r="CS201" s="123"/>
      <c r="CT201" s="195"/>
      <c r="CU201" s="194"/>
      <c r="CV201" s="123"/>
      <c r="CW201" s="195"/>
      <c r="CX201" s="194"/>
      <c r="CY201" s="123"/>
      <c r="CZ201" s="195"/>
      <c r="DA201" s="194"/>
      <c r="DB201" s="123"/>
      <c r="DC201" s="195"/>
      <c r="DD201" s="194"/>
      <c r="DE201" s="123"/>
      <c r="DF201" s="195"/>
      <c r="DL201" s="105"/>
      <c r="DM201" s="105"/>
      <c r="DN201" s="105"/>
      <c r="DO201" s="105"/>
      <c r="DP201" s="105"/>
      <c r="DQ201" s="105"/>
      <c r="DR201" s="105"/>
      <c r="DS201" s="105"/>
    </row>
    <row r="202" spans="1:123" ht="7.4" customHeight="1" x14ac:dyDescent="0.5">
      <c r="A202" s="42"/>
      <c r="B202" s="42"/>
      <c r="C202" s="55"/>
      <c r="D202" s="55"/>
      <c r="E202" s="41"/>
      <c r="F202" s="42"/>
      <c r="G202" s="56"/>
      <c r="H202" s="56"/>
      <c r="I202" s="56"/>
      <c r="J202" s="56"/>
      <c r="K202" s="56"/>
      <c r="L202" s="56"/>
      <c r="M202" s="56"/>
      <c r="N202" s="56"/>
      <c r="O202" s="56"/>
      <c r="P202" s="56"/>
      <c r="Q202" s="56"/>
      <c r="R202" s="126"/>
      <c r="S202" s="42"/>
      <c r="AJ202" s="41"/>
      <c r="AK202" s="42"/>
      <c r="AL202" s="75"/>
      <c r="AM202" s="75"/>
      <c r="AN202" s="75"/>
      <c r="AO202" s="75"/>
      <c r="AP202" s="43"/>
      <c r="AQ202" s="42"/>
      <c r="AR202" s="119"/>
      <c r="AS202" s="119"/>
      <c r="AT202" s="119"/>
      <c r="AU202" s="119"/>
      <c r="AV202" s="119"/>
      <c r="AW202" s="119"/>
      <c r="AX202" s="105"/>
      <c r="AZ202" s="119"/>
      <c r="BA202" s="119"/>
      <c r="BB202" s="119"/>
      <c r="BC202" s="119"/>
      <c r="BD202" s="119"/>
      <c r="BE202" s="119"/>
      <c r="BF202" s="119"/>
      <c r="BG202" s="119"/>
      <c r="BH202" s="124"/>
      <c r="BI202" s="41"/>
      <c r="BK202" s="194"/>
      <c r="BL202" s="123"/>
      <c r="BM202" s="195"/>
      <c r="BN202" s="194"/>
      <c r="BO202" s="123"/>
      <c r="BP202" s="195"/>
      <c r="BQ202" s="194"/>
      <c r="BR202" s="123"/>
      <c r="BS202" s="195"/>
      <c r="BT202" s="194"/>
      <c r="BU202" s="123"/>
      <c r="BV202" s="195"/>
      <c r="BW202" s="194"/>
      <c r="BX202" s="123"/>
      <c r="BY202" s="195"/>
      <c r="BZ202" s="194"/>
      <c r="CA202" s="123"/>
      <c r="CB202" s="195"/>
      <c r="CC202" s="194"/>
      <c r="CD202" s="123"/>
      <c r="CE202" s="195"/>
      <c r="CF202" s="194"/>
      <c r="CG202" s="123"/>
      <c r="CH202" s="195"/>
      <c r="CI202" s="194"/>
      <c r="CJ202" s="123"/>
      <c r="CK202" s="195"/>
      <c r="CL202" s="194"/>
      <c r="CM202" s="123"/>
      <c r="CN202" s="195"/>
      <c r="CO202" s="194"/>
      <c r="CP202" s="123"/>
      <c r="CQ202" s="195"/>
      <c r="CR202" s="194"/>
      <c r="CS202" s="123"/>
      <c r="CT202" s="195"/>
      <c r="CU202" s="194"/>
      <c r="CV202" s="123"/>
      <c r="CW202" s="195"/>
      <c r="CX202" s="194"/>
      <c r="CY202" s="123"/>
      <c r="CZ202" s="195"/>
      <c r="DA202" s="194"/>
      <c r="DB202" s="123"/>
      <c r="DC202" s="195"/>
      <c r="DD202" s="194"/>
      <c r="DE202" s="123"/>
      <c r="DF202" s="195"/>
      <c r="DL202" s="105"/>
      <c r="DM202" s="105"/>
      <c r="DN202" s="105"/>
      <c r="DO202" s="105"/>
      <c r="DP202" s="105"/>
      <c r="DQ202" s="105"/>
      <c r="DR202" s="105"/>
      <c r="DS202" s="105"/>
    </row>
    <row r="203" spans="1:123" ht="7.4" customHeight="1" x14ac:dyDescent="0.5">
      <c r="A203" s="42"/>
      <c r="B203" s="42"/>
      <c r="C203" s="311">
        <f>C195+1</f>
        <v>21</v>
      </c>
      <c r="D203" s="311"/>
      <c r="E203" s="41"/>
      <c r="F203" s="42"/>
      <c r="G203" s="314" t="s">
        <v>55</v>
      </c>
      <c r="H203" s="314"/>
      <c r="I203" s="314"/>
      <c r="J203" s="314"/>
      <c r="K203" s="314"/>
      <c r="L203" s="314"/>
      <c r="M203" s="314"/>
      <c r="N203" s="314"/>
      <c r="O203" s="314"/>
      <c r="P203" s="314"/>
      <c r="Q203" s="314"/>
      <c r="R203" s="315"/>
      <c r="S203" s="42"/>
      <c r="T203" s="316" t="str">
        <f>IF(AL203=1,"Transport estimate","Transport excluded")</f>
        <v>Transport excluded</v>
      </c>
      <c r="U203" s="316"/>
      <c r="V203" s="316"/>
      <c r="W203" s="316"/>
      <c r="X203" s="316"/>
      <c r="Y203" s="316"/>
      <c r="Z203" s="316"/>
      <c r="AA203" s="316"/>
      <c r="AB203" s="316"/>
      <c r="AC203" s="316"/>
      <c r="AD203" s="316"/>
      <c r="AE203" s="316"/>
      <c r="AF203" s="316"/>
      <c r="AG203" s="316"/>
      <c r="AH203" s="316"/>
      <c r="AI203" s="316"/>
      <c r="AJ203" s="317"/>
      <c r="AK203" s="42"/>
      <c r="AL203" s="318">
        <v>0</v>
      </c>
      <c r="AM203" s="318"/>
      <c r="AN203" s="318"/>
      <c r="AO203" s="318"/>
      <c r="AP203" s="43"/>
      <c r="AQ203" s="111"/>
      <c r="AR203" s="308" t="str">
        <f>VLOOKUP(G203,PL!$B$9:$BH$818,52,FALSE)</f>
        <v>-</v>
      </c>
      <c r="AS203" s="309"/>
      <c r="AT203" s="309"/>
      <c r="AU203" s="309"/>
      <c r="AV203" s="309"/>
      <c r="AW203" s="309"/>
      <c r="AX203" s="309"/>
      <c r="AY203" s="309"/>
      <c r="AZ203" s="309"/>
      <c r="BA203" s="309"/>
      <c r="BB203" s="309"/>
      <c r="BC203" s="309"/>
      <c r="BD203" s="309"/>
      <c r="BE203" s="309"/>
      <c r="BF203" s="309"/>
      <c r="BG203" s="309"/>
      <c r="BH203" s="124"/>
      <c r="BI203" s="41"/>
      <c r="BK203" s="194"/>
      <c r="BL203" s="123"/>
      <c r="BM203" s="195"/>
      <c r="BN203" s="194"/>
      <c r="BO203" s="123"/>
      <c r="BP203" s="195"/>
      <c r="BQ203" s="194"/>
      <c r="BR203" s="123"/>
      <c r="BS203" s="195"/>
      <c r="BT203" s="194"/>
      <c r="BU203" s="123"/>
      <c r="BV203" s="195"/>
      <c r="BW203" s="194"/>
      <c r="BX203" s="123"/>
      <c r="BY203" s="195"/>
      <c r="BZ203" s="194"/>
      <c r="CA203" s="123"/>
      <c r="CB203" s="195"/>
      <c r="CC203" s="194"/>
      <c r="CD203" s="123"/>
      <c r="CE203" s="195"/>
      <c r="CF203" s="194"/>
      <c r="CG203" s="123"/>
      <c r="CH203" s="195"/>
      <c r="CI203" s="194"/>
      <c r="CJ203" s="123"/>
      <c r="CK203" s="195"/>
      <c r="CL203" s="194"/>
      <c r="CM203" s="123"/>
      <c r="CN203" s="195"/>
      <c r="CO203" s="194"/>
      <c r="CP203" s="123"/>
      <c r="CQ203" s="195"/>
      <c r="CR203" s="194"/>
      <c r="CS203" s="123"/>
      <c r="CT203" s="195"/>
      <c r="CU203" s="194"/>
      <c r="CV203" s="123"/>
      <c r="CW203" s="195"/>
      <c r="CX203" s="194"/>
      <c r="CY203" s="123"/>
      <c r="CZ203" s="195"/>
      <c r="DA203" s="194"/>
      <c r="DB203" s="123"/>
      <c r="DC203" s="195"/>
      <c r="DD203" s="194"/>
      <c r="DE203" s="123"/>
      <c r="DF203" s="195"/>
      <c r="DH203" s="311"/>
      <c r="DI203" s="311"/>
      <c r="DJ203" s="311"/>
      <c r="DK203" s="311"/>
      <c r="DL203" s="321"/>
      <c r="DM203" s="321"/>
      <c r="DN203" s="321"/>
      <c r="DO203" s="321"/>
      <c r="DP203" s="321"/>
      <c r="DQ203" s="321"/>
      <c r="DR203" s="321"/>
      <c r="DS203" s="321"/>
    </row>
    <row r="204" spans="1:123" ht="7.4" customHeight="1" x14ac:dyDescent="0.5">
      <c r="A204" s="42"/>
      <c r="B204" s="42"/>
      <c r="C204" s="311"/>
      <c r="D204" s="311"/>
      <c r="E204" s="41"/>
      <c r="F204" s="42"/>
      <c r="G204" s="314"/>
      <c r="H204" s="314"/>
      <c r="I204" s="314"/>
      <c r="J204" s="314"/>
      <c r="K204" s="314"/>
      <c r="L204" s="314"/>
      <c r="M204" s="314"/>
      <c r="N204" s="314"/>
      <c r="O204" s="314"/>
      <c r="P204" s="314"/>
      <c r="Q204" s="314"/>
      <c r="R204" s="315"/>
      <c r="S204" s="42"/>
      <c r="T204" s="316"/>
      <c r="U204" s="316"/>
      <c r="V204" s="316"/>
      <c r="W204" s="316"/>
      <c r="X204" s="316"/>
      <c r="Y204" s="316"/>
      <c r="Z204" s="316"/>
      <c r="AA204" s="316"/>
      <c r="AB204" s="316"/>
      <c r="AC204" s="316"/>
      <c r="AD204" s="316"/>
      <c r="AE204" s="316"/>
      <c r="AF204" s="316"/>
      <c r="AG204" s="316"/>
      <c r="AH204" s="316"/>
      <c r="AI204" s="316"/>
      <c r="AJ204" s="317"/>
      <c r="AK204" s="42"/>
      <c r="AL204" s="318"/>
      <c r="AM204" s="318"/>
      <c r="AN204" s="318"/>
      <c r="AO204" s="318"/>
      <c r="AP204" s="43"/>
      <c r="AQ204" s="111"/>
      <c r="AR204" s="309"/>
      <c r="AS204" s="309"/>
      <c r="AT204" s="309"/>
      <c r="AU204" s="309"/>
      <c r="AV204" s="309"/>
      <c r="AW204" s="309"/>
      <c r="AX204" s="309"/>
      <c r="AY204" s="309"/>
      <c r="AZ204" s="309"/>
      <c r="BA204" s="309"/>
      <c r="BB204" s="309"/>
      <c r="BC204" s="309"/>
      <c r="BD204" s="309"/>
      <c r="BE204" s="309"/>
      <c r="BF204" s="309"/>
      <c r="BG204" s="309"/>
      <c r="BH204" s="124"/>
      <c r="BI204" s="41"/>
      <c r="BK204" s="194"/>
      <c r="BL204" s="123"/>
      <c r="BM204" s="195"/>
      <c r="BN204" s="194"/>
      <c r="BO204" s="123"/>
      <c r="BP204" s="195"/>
      <c r="BQ204" s="194"/>
      <c r="BR204" s="123"/>
      <c r="BS204" s="195"/>
      <c r="BT204" s="194"/>
      <c r="BU204" s="123"/>
      <c r="BV204" s="195"/>
      <c r="BW204" s="194"/>
      <c r="BX204" s="123"/>
      <c r="BY204" s="195"/>
      <c r="BZ204" s="194"/>
      <c r="CA204" s="123"/>
      <c r="CB204" s="195"/>
      <c r="CC204" s="194"/>
      <c r="CD204" s="123"/>
      <c r="CE204" s="195"/>
      <c r="CF204" s="194"/>
      <c r="CG204" s="123"/>
      <c r="CH204" s="195"/>
      <c r="CI204" s="194"/>
      <c r="CJ204" s="123"/>
      <c r="CK204" s="195"/>
      <c r="CL204" s="194"/>
      <c r="CM204" s="123"/>
      <c r="CN204" s="195"/>
      <c r="CO204" s="194"/>
      <c r="CP204" s="123"/>
      <c r="CQ204" s="195"/>
      <c r="CR204" s="194"/>
      <c r="CS204" s="123"/>
      <c r="CT204" s="195"/>
      <c r="CU204" s="194"/>
      <c r="CV204" s="123"/>
      <c r="CW204" s="195"/>
      <c r="CX204" s="194"/>
      <c r="CY204" s="123"/>
      <c r="CZ204" s="195"/>
      <c r="DA204" s="194"/>
      <c r="DB204" s="123"/>
      <c r="DC204" s="195"/>
      <c r="DD204" s="194"/>
      <c r="DE204" s="123"/>
      <c r="DF204" s="195"/>
      <c r="DL204" s="321"/>
      <c r="DM204" s="321"/>
      <c r="DN204" s="321"/>
      <c r="DO204" s="321"/>
      <c r="DP204" s="321"/>
      <c r="DQ204" s="321"/>
      <c r="DR204" s="321"/>
      <c r="DS204" s="321"/>
    </row>
    <row r="205" spans="1:123" ht="7.4" customHeight="1" x14ac:dyDescent="0.5">
      <c r="A205" s="42"/>
      <c r="B205" s="42"/>
      <c r="C205" s="75"/>
      <c r="D205" s="75"/>
      <c r="E205" s="41"/>
      <c r="F205" s="42"/>
      <c r="G205" s="56"/>
      <c r="H205" s="56"/>
      <c r="I205" s="56"/>
      <c r="J205" s="56"/>
      <c r="K205" s="56"/>
      <c r="L205" s="56"/>
      <c r="M205" s="56"/>
      <c r="N205" s="56"/>
      <c r="O205" s="56"/>
      <c r="P205" s="56"/>
      <c r="Q205" s="56"/>
      <c r="R205" s="126"/>
      <c r="S205" s="42"/>
      <c r="T205" s="49"/>
      <c r="U205" s="49"/>
      <c r="V205" s="49"/>
      <c r="W205" s="49"/>
      <c r="X205" s="49"/>
      <c r="Y205" s="49"/>
      <c r="Z205" s="49"/>
      <c r="AA205" s="49"/>
      <c r="AB205" s="49"/>
      <c r="AC205" s="49"/>
      <c r="AD205" s="49"/>
      <c r="AE205" s="49"/>
      <c r="AF205" s="49"/>
      <c r="AG205" s="49"/>
      <c r="AH205" s="49"/>
      <c r="AI205" s="49"/>
      <c r="AJ205" s="110"/>
      <c r="AK205" s="42"/>
      <c r="AL205" s="127"/>
      <c r="AM205" s="127"/>
      <c r="AN205" s="127"/>
      <c r="AO205" s="127"/>
      <c r="AP205" s="43"/>
      <c r="AQ205" s="128"/>
      <c r="AR205" s="129"/>
      <c r="AS205" s="129"/>
      <c r="AT205" s="129"/>
      <c r="AU205" s="129"/>
      <c r="AV205" s="129"/>
      <c r="AW205" s="129"/>
      <c r="AX205" s="105"/>
      <c r="AY205" s="130"/>
      <c r="AZ205" s="131"/>
      <c r="BA205" s="131"/>
      <c r="BB205" s="131"/>
      <c r="BC205" s="131"/>
      <c r="BD205" s="131"/>
      <c r="BE205" s="131"/>
      <c r="BF205" s="131"/>
      <c r="BG205" s="131"/>
      <c r="BH205" s="124"/>
      <c r="BI205" s="41"/>
      <c r="BK205" s="194"/>
      <c r="BL205" s="123"/>
      <c r="BM205" s="195"/>
      <c r="BN205" s="194"/>
      <c r="BO205" s="123"/>
      <c r="BP205" s="195"/>
      <c r="BQ205" s="194"/>
      <c r="BR205" s="123"/>
      <c r="BS205" s="195"/>
      <c r="BT205" s="194"/>
      <c r="BU205" s="123"/>
      <c r="BV205" s="195"/>
      <c r="BW205" s="194"/>
      <c r="BX205" s="123"/>
      <c r="BY205" s="195"/>
      <c r="BZ205" s="194"/>
      <c r="CA205" s="123"/>
      <c r="CB205" s="195"/>
      <c r="CC205" s="194"/>
      <c r="CD205" s="123"/>
      <c r="CE205" s="195"/>
      <c r="CF205" s="194"/>
      <c r="CG205" s="123"/>
      <c r="CH205" s="195"/>
      <c r="CI205" s="194"/>
      <c r="CJ205" s="123"/>
      <c r="CK205" s="195"/>
      <c r="CL205" s="194"/>
      <c r="CM205" s="123"/>
      <c r="CN205" s="195"/>
      <c r="CO205" s="194"/>
      <c r="CP205" s="123"/>
      <c r="CQ205" s="195"/>
      <c r="CR205" s="194"/>
      <c r="CS205" s="123"/>
      <c r="CT205" s="195"/>
      <c r="CU205" s="194"/>
      <c r="CV205" s="123"/>
      <c r="CW205" s="195"/>
      <c r="CX205" s="194"/>
      <c r="CY205" s="123"/>
      <c r="CZ205" s="195"/>
      <c r="DA205" s="194"/>
      <c r="DB205" s="123"/>
      <c r="DC205" s="195"/>
      <c r="DD205" s="194"/>
      <c r="DE205" s="123"/>
      <c r="DF205" s="195"/>
      <c r="DL205" s="105"/>
      <c r="DM205" s="105"/>
      <c r="DN205" s="105"/>
      <c r="DO205" s="105"/>
      <c r="DP205" s="105"/>
      <c r="DQ205" s="105"/>
      <c r="DR205" s="105"/>
      <c r="DS205" s="105"/>
    </row>
    <row r="206" spans="1:123" ht="7.4" customHeight="1" x14ac:dyDescent="0.5">
      <c r="A206" s="42"/>
      <c r="B206" s="50"/>
      <c r="C206" s="51"/>
      <c r="D206" s="51"/>
      <c r="E206" s="52"/>
      <c r="F206" s="50"/>
      <c r="G206" s="132"/>
      <c r="H206" s="132"/>
      <c r="I206" s="132"/>
      <c r="J206" s="132"/>
      <c r="K206" s="132"/>
      <c r="L206" s="132"/>
      <c r="M206" s="132"/>
      <c r="N206" s="132"/>
      <c r="O206" s="132"/>
      <c r="P206" s="132"/>
      <c r="Q206" s="132"/>
      <c r="R206" s="204"/>
      <c r="S206" s="50"/>
      <c r="T206" s="51"/>
      <c r="U206" s="51"/>
      <c r="V206" s="51"/>
      <c r="W206" s="51"/>
      <c r="X206" s="51"/>
      <c r="Y206" s="51"/>
      <c r="Z206" s="51"/>
      <c r="AA206" s="51"/>
      <c r="AB206" s="51"/>
      <c r="AC206" s="51"/>
      <c r="AD206" s="51"/>
      <c r="AE206" s="51"/>
      <c r="AF206" s="51"/>
      <c r="AG206" s="51"/>
      <c r="AH206" s="51"/>
      <c r="AI206" s="51"/>
      <c r="AJ206" s="52"/>
      <c r="AK206" s="50"/>
      <c r="AL206" s="355"/>
      <c r="AM206" s="355"/>
      <c r="AN206" s="355"/>
      <c r="AO206" s="355"/>
      <c r="AP206" s="84"/>
      <c r="AQ206" s="50"/>
      <c r="AR206" s="135"/>
      <c r="AS206" s="135"/>
      <c r="AT206" s="135"/>
      <c r="AU206" s="135"/>
      <c r="AV206" s="135"/>
      <c r="AW206" s="135"/>
      <c r="AX206" s="135"/>
      <c r="AY206" s="51"/>
      <c r="AZ206" s="135"/>
      <c r="BA206" s="135"/>
      <c r="BB206" s="135"/>
      <c r="BC206" s="135"/>
      <c r="BD206" s="135"/>
      <c r="BE206" s="135"/>
      <c r="BF206" s="135"/>
      <c r="BG206" s="135"/>
      <c r="BH206" s="158"/>
      <c r="BI206" s="41"/>
      <c r="BK206" s="205"/>
      <c r="BL206" s="206"/>
      <c r="BM206" s="207"/>
      <c r="BN206" s="205"/>
      <c r="BO206" s="206"/>
      <c r="BP206" s="207"/>
      <c r="BQ206" s="205"/>
      <c r="BR206" s="206"/>
      <c r="BS206" s="207"/>
      <c r="BT206" s="205"/>
      <c r="BU206" s="206"/>
      <c r="BV206" s="207"/>
      <c r="BW206" s="205"/>
      <c r="BX206" s="206"/>
      <c r="BY206" s="207"/>
      <c r="BZ206" s="205"/>
      <c r="CA206" s="206"/>
      <c r="CB206" s="207"/>
      <c r="CC206" s="205"/>
      <c r="CD206" s="206"/>
      <c r="CE206" s="207"/>
      <c r="CF206" s="205"/>
      <c r="CG206" s="206"/>
      <c r="CH206" s="207"/>
      <c r="CI206" s="205"/>
      <c r="CJ206" s="206"/>
      <c r="CK206" s="207"/>
      <c r="CL206" s="205"/>
      <c r="CM206" s="206"/>
      <c r="CN206" s="207"/>
      <c r="CO206" s="205"/>
      <c r="CP206" s="206"/>
      <c r="CQ206" s="207"/>
      <c r="CR206" s="205"/>
      <c r="CS206" s="206"/>
      <c r="CT206" s="207"/>
      <c r="CU206" s="205"/>
      <c r="CV206" s="206"/>
      <c r="CW206" s="207"/>
      <c r="CX206" s="205"/>
      <c r="CY206" s="206"/>
      <c r="CZ206" s="207"/>
      <c r="DA206" s="205"/>
      <c r="DB206" s="206"/>
      <c r="DC206" s="207"/>
      <c r="DD206" s="205"/>
      <c r="DE206" s="206"/>
      <c r="DF206" s="207"/>
      <c r="DH206" s="311"/>
      <c r="DI206" s="311"/>
      <c r="DJ206" s="311"/>
      <c r="DK206" s="311"/>
      <c r="DL206" s="321"/>
      <c r="DM206" s="321"/>
      <c r="DN206" s="321"/>
      <c r="DO206" s="321"/>
      <c r="DP206" s="321"/>
      <c r="DQ206" s="321"/>
      <c r="DR206" s="321"/>
      <c r="DS206" s="321"/>
    </row>
    <row r="207" spans="1:123" ht="7.4" customHeight="1" x14ac:dyDescent="0.5">
      <c r="A207" s="50"/>
      <c r="B207" s="51"/>
      <c r="C207" s="51"/>
      <c r="D207" s="51"/>
      <c r="E207" s="51"/>
      <c r="F207" s="51"/>
      <c r="G207" s="51"/>
      <c r="H207" s="51"/>
      <c r="I207" s="51"/>
      <c r="J207" s="51"/>
      <c r="K207" s="51"/>
      <c r="L207" s="51"/>
      <c r="M207" s="51"/>
      <c r="N207" s="51"/>
      <c r="O207" s="51"/>
      <c r="P207" s="51"/>
      <c r="Q207" s="51"/>
      <c r="R207" s="51"/>
      <c r="S207" s="51"/>
      <c r="T207" s="51"/>
      <c r="U207" s="51"/>
      <c r="V207" s="51"/>
      <c r="W207" s="208"/>
      <c r="X207" s="208"/>
      <c r="Y207" s="208"/>
      <c r="Z207" s="208"/>
      <c r="AA207" s="208"/>
      <c r="AB207" s="51"/>
      <c r="AC207" s="51"/>
      <c r="AD207" s="208"/>
      <c r="AE207" s="208"/>
      <c r="AF207" s="208"/>
      <c r="AG207" s="208"/>
      <c r="AH207" s="208"/>
      <c r="AI207" s="51"/>
      <c r="AJ207" s="51"/>
      <c r="AK207" s="51"/>
      <c r="AL207" s="51"/>
      <c r="AM207" s="51"/>
      <c r="AN207" s="51"/>
      <c r="AO207" s="51"/>
      <c r="AP207" s="51"/>
      <c r="AQ207" s="51"/>
      <c r="AR207" s="51"/>
      <c r="AS207" s="51"/>
      <c r="AT207" s="51"/>
      <c r="AU207" s="51"/>
      <c r="AV207" s="51"/>
      <c r="AW207" s="51"/>
      <c r="AX207" s="51"/>
      <c r="AY207" s="51"/>
      <c r="AZ207" s="51"/>
      <c r="BA207" s="51"/>
      <c r="BB207" s="51"/>
      <c r="BC207" s="51"/>
      <c r="BD207" s="51"/>
      <c r="BE207" s="51"/>
      <c r="BF207" s="51"/>
      <c r="BG207" s="51"/>
      <c r="BH207" s="51"/>
      <c r="BI207" s="52"/>
    </row>
    <row r="208" spans="1:123" ht="7.4" customHeight="1" x14ac:dyDescent="0.5">
      <c r="A208" s="222"/>
      <c r="B208" s="222"/>
      <c r="C208" s="222"/>
      <c r="D208" s="222"/>
      <c r="E208" s="222"/>
      <c r="F208" s="222"/>
      <c r="G208" s="222"/>
      <c r="H208" s="222"/>
      <c r="I208" s="222"/>
      <c r="J208" s="222"/>
      <c r="K208" s="222"/>
      <c r="L208" s="222"/>
      <c r="M208" s="222"/>
      <c r="N208" s="222"/>
      <c r="O208" s="222"/>
      <c r="P208" s="222"/>
      <c r="Q208" s="222"/>
      <c r="R208" s="222"/>
      <c r="S208" s="222"/>
      <c r="T208" s="222"/>
      <c r="U208" s="222"/>
      <c r="V208" s="222"/>
      <c r="W208" s="222"/>
      <c r="X208" s="222"/>
      <c r="Y208" s="222"/>
      <c r="Z208" s="222"/>
      <c r="AA208" s="222"/>
      <c r="AB208" s="222"/>
      <c r="AC208" s="222"/>
      <c r="AD208" s="222"/>
      <c r="AE208" s="222"/>
      <c r="AF208" s="222"/>
      <c r="AG208" s="222"/>
      <c r="AH208" s="222"/>
      <c r="AI208" s="222"/>
      <c r="AJ208" s="222"/>
      <c r="AK208" s="222"/>
      <c r="AL208" s="222"/>
      <c r="AM208" s="222"/>
      <c r="AN208" s="222"/>
      <c r="AO208" s="222"/>
      <c r="AP208" s="222"/>
      <c r="AQ208" s="222"/>
      <c r="AR208" s="222"/>
      <c r="AS208" s="222"/>
      <c r="AT208" s="222"/>
      <c r="AU208" s="222"/>
      <c r="AV208" s="222"/>
      <c r="AW208" s="222"/>
      <c r="AX208" s="222"/>
      <c r="AY208" s="222"/>
      <c r="AZ208" s="222"/>
      <c r="BA208" s="222"/>
      <c r="BB208" s="222"/>
      <c r="BC208" s="222"/>
      <c r="BD208" s="222"/>
      <c r="BE208" s="222"/>
      <c r="BF208" s="222"/>
      <c r="BG208" s="222"/>
      <c r="BH208" s="222"/>
      <c r="BI208" s="222"/>
    </row>
    <row r="209" spans="1:61" ht="7.4" customHeight="1" x14ac:dyDescent="0.5">
      <c r="A209" s="505" t="s">
        <v>56</v>
      </c>
      <c r="B209" s="505"/>
      <c r="C209" s="505"/>
      <c r="D209" s="505"/>
      <c r="E209" s="505"/>
      <c r="F209" s="505"/>
      <c r="G209" s="505"/>
      <c r="H209" s="505"/>
      <c r="I209" s="505"/>
      <c r="J209" s="505"/>
      <c r="K209" s="505"/>
      <c r="L209" s="505"/>
      <c r="M209" s="505"/>
      <c r="N209" s="505"/>
      <c r="O209" s="505"/>
      <c r="P209" s="505"/>
      <c r="Q209" s="505"/>
      <c r="R209" s="505"/>
      <c r="S209" s="505"/>
      <c r="T209" s="505"/>
      <c r="U209" s="505"/>
      <c r="V209" s="505"/>
      <c r="W209" s="505"/>
      <c r="X209" s="505"/>
      <c r="Y209" s="505"/>
      <c r="Z209" s="505"/>
      <c r="AA209" s="505"/>
      <c r="AB209" s="505"/>
      <c r="AC209" s="505"/>
      <c r="AD209" s="505"/>
      <c r="AE209" s="505"/>
      <c r="AF209" s="505"/>
      <c r="AG209" s="505"/>
      <c r="AH209" s="505"/>
      <c r="AI209" s="505"/>
      <c r="AJ209" s="505"/>
      <c r="AK209" s="505"/>
      <c r="AL209" s="505"/>
      <c r="AM209" s="505"/>
      <c r="AN209" s="505"/>
      <c r="AO209" s="505"/>
      <c r="AP209" s="505"/>
      <c r="AQ209" s="505"/>
      <c r="AR209" s="505"/>
      <c r="AS209" s="505"/>
      <c r="AT209" s="505"/>
      <c r="AU209" s="505"/>
      <c r="AV209" s="505"/>
      <c r="AW209" s="505"/>
      <c r="AX209" s="505"/>
      <c r="AY209" s="505"/>
      <c r="AZ209" s="505"/>
      <c r="BA209" s="505"/>
      <c r="BB209" s="505"/>
      <c r="BC209" s="505"/>
      <c r="BD209" s="505"/>
      <c r="BE209" s="505"/>
      <c r="BF209" s="505"/>
      <c r="BG209" s="505"/>
      <c r="BH209" s="505"/>
      <c r="BI209" s="505"/>
    </row>
    <row r="210" spans="1:61" ht="7.4" customHeight="1" x14ac:dyDescent="0.5">
      <c r="A210" s="505"/>
      <c r="B210" s="505"/>
      <c r="C210" s="505"/>
      <c r="D210" s="505"/>
      <c r="E210" s="505"/>
      <c r="F210" s="505"/>
      <c r="G210" s="505"/>
      <c r="H210" s="505"/>
      <c r="I210" s="505"/>
      <c r="J210" s="505"/>
      <c r="K210" s="505"/>
      <c r="L210" s="505"/>
      <c r="M210" s="505"/>
      <c r="N210" s="505"/>
      <c r="O210" s="505"/>
      <c r="P210" s="505"/>
      <c r="Q210" s="505"/>
      <c r="R210" s="505"/>
      <c r="S210" s="505"/>
      <c r="T210" s="505"/>
      <c r="U210" s="505"/>
      <c r="V210" s="505"/>
      <c r="W210" s="505"/>
      <c r="X210" s="505"/>
      <c r="Y210" s="505"/>
      <c r="Z210" s="505"/>
      <c r="AA210" s="505"/>
      <c r="AB210" s="505"/>
      <c r="AC210" s="505"/>
      <c r="AD210" s="505"/>
      <c r="AE210" s="505"/>
      <c r="AF210" s="505"/>
      <c r="AG210" s="505"/>
      <c r="AH210" s="505"/>
      <c r="AI210" s="505"/>
      <c r="AJ210" s="505"/>
      <c r="AK210" s="505"/>
      <c r="AL210" s="505"/>
      <c r="AM210" s="505"/>
      <c r="AN210" s="505"/>
      <c r="AO210" s="505"/>
      <c r="AP210" s="505"/>
      <c r="AQ210" s="505"/>
      <c r="AR210" s="505"/>
      <c r="AS210" s="505"/>
      <c r="AT210" s="505"/>
      <c r="AU210" s="505"/>
      <c r="AV210" s="505"/>
      <c r="AW210" s="505"/>
      <c r="AX210" s="505"/>
      <c r="AY210" s="505"/>
      <c r="AZ210" s="505"/>
      <c r="BA210" s="505"/>
      <c r="BB210" s="505"/>
      <c r="BC210" s="505"/>
      <c r="BD210" s="505"/>
      <c r="BE210" s="505"/>
      <c r="BF210" s="505"/>
      <c r="BG210" s="505"/>
      <c r="BH210" s="505"/>
      <c r="BI210" s="505"/>
    </row>
    <row r="211" spans="1:61" ht="7.4" customHeight="1" x14ac:dyDescent="0.5">
      <c r="A211" s="222"/>
      <c r="B211" s="222"/>
      <c r="C211" s="222"/>
      <c r="D211" s="222"/>
      <c r="E211" s="222"/>
      <c r="F211" s="222"/>
      <c r="G211" s="222"/>
      <c r="H211" s="222"/>
      <c r="I211" s="222"/>
      <c r="J211" s="222"/>
      <c r="K211" s="222"/>
      <c r="L211" s="222"/>
      <c r="M211" s="222"/>
      <c r="N211" s="222"/>
      <c r="O211" s="222"/>
      <c r="P211" s="222"/>
      <c r="Q211" s="222"/>
      <c r="R211" s="222"/>
      <c r="S211" s="222"/>
      <c r="T211" s="222"/>
      <c r="U211" s="222"/>
      <c r="V211" s="222"/>
      <c r="W211" s="222"/>
      <c r="X211" s="222"/>
      <c r="Y211" s="222"/>
      <c r="Z211" s="222"/>
      <c r="AA211" s="222"/>
      <c r="AB211" s="222"/>
      <c r="AC211" s="222"/>
      <c r="AD211" s="222"/>
      <c r="AE211" s="222"/>
      <c r="AF211" s="222"/>
      <c r="AG211" s="222"/>
      <c r="AH211" s="222"/>
      <c r="AI211" s="222"/>
      <c r="AJ211" s="222"/>
      <c r="AK211" s="222"/>
      <c r="AL211" s="222"/>
      <c r="AM211" s="222"/>
      <c r="AN211" s="222"/>
      <c r="AO211" s="222"/>
      <c r="AP211" s="222"/>
      <c r="AQ211" s="222"/>
      <c r="AR211" s="222"/>
      <c r="AS211" s="222"/>
      <c r="AT211" s="222"/>
      <c r="AU211" s="222"/>
      <c r="AV211" s="222"/>
      <c r="AW211" s="222"/>
      <c r="AX211" s="222"/>
      <c r="AY211" s="222"/>
      <c r="AZ211" s="222"/>
      <c r="BA211" s="222"/>
      <c r="BB211" s="222"/>
      <c r="BC211" s="222"/>
      <c r="BD211" s="222"/>
      <c r="BE211" s="222"/>
      <c r="BF211" s="222"/>
      <c r="BG211" s="222"/>
      <c r="BH211" s="222"/>
      <c r="BI211" s="222"/>
    </row>
    <row r="212" spans="1:61" ht="7.4" customHeight="1" x14ac:dyDescent="0.5">
      <c r="A212" s="506" t="s">
        <v>57</v>
      </c>
      <c r="B212" s="506"/>
      <c r="C212" s="506"/>
      <c r="D212" s="506"/>
      <c r="E212" s="506"/>
      <c r="F212" s="506"/>
      <c r="G212" s="506"/>
      <c r="H212" s="506"/>
      <c r="I212" s="506"/>
      <c r="J212" s="506"/>
      <c r="K212" s="506"/>
      <c r="L212" s="506"/>
      <c r="M212" s="506"/>
      <c r="N212" s="506"/>
      <c r="O212" s="506"/>
      <c r="P212" s="506"/>
      <c r="Q212" s="506"/>
      <c r="R212" s="506"/>
      <c r="S212" s="506"/>
      <c r="T212" s="506"/>
      <c r="U212" s="506"/>
      <c r="V212" s="506"/>
      <c r="W212" s="506"/>
      <c r="X212" s="506"/>
      <c r="Y212" s="506"/>
      <c r="Z212" s="506"/>
      <c r="AA212" s="506"/>
      <c r="AB212" s="506"/>
      <c r="AC212" s="506"/>
      <c r="AD212" s="506"/>
      <c r="AE212" s="506"/>
      <c r="AF212" s="506"/>
      <c r="AG212" s="506"/>
      <c r="AH212" s="506"/>
      <c r="AI212" s="506"/>
      <c r="AJ212" s="506"/>
      <c r="AK212" s="506"/>
      <c r="AL212" s="506"/>
      <c r="AM212" s="506"/>
      <c r="AN212" s="506"/>
      <c r="AO212" s="506"/>
      <c r="AP212" s="506"/>
      <c r="AQ212" s="506"/>
      <c r="AR212" s="506"/>
      <c r="AS212" s="506"/>
      <c r="AT212" s="506"/>
      <c r="AU212" s="506"/>
      <c r="AV212" s="506"/>
      <c r="AW212" s="506"/>
      <c r="AX212" s="506"/>
      <c r="AY212" s="506"/>
      <c r="AZ212" s="506"/>
      <c r="BA212" s="506"/>
      <c r="BB212" s="506"/>
      <c r="BC212" s="506"/>
      <c r="BD212" s="506"/>
      <c r="BE212" s="506"/>
      <c r="BF212" s="506"/>
      <c r="BG212" s="506"/>
      <c r="BH212" s="506"/>
      <c r="BI212" s="506"/>
    </row>
    <row r="213" spans="1:61" ht="7.4" customHeight="1" x14ac:dyDescent="0.5">
      <c r="A213" s="506"/>
      <c r="B213" s="506"/>
      <c r="C213" s="506"/>
      <c r="D213" s="506"/>
      <c r="E213" s="506"/>
      <c r="F213" s="506"/>
      <c r="G213" s="506"/>
      <c r="H213" s="506"/>
      <c r="I213" s="506"/>
      <c r="J213" s="506"/>
      <c r="K213" s="506"/>
      <c r="L213" s="506"/>
      <c r="M213" s="506"/>
      <c r="N213" s="506"/>
      <c r="O213" s="506"/>
      <c r="P213" s="506"/>
      <c r="Q213" s="506"/>
      <c r="R213" s="506"/>
      <c r="S213" s="506"/>
      <c r="T213" s="506"/>
      <c r="U213" s="506"/>
      <c r="V213" s="506"/>
      <c r="W213" s="506"/>
      <c r="X213" s="506"/>
      <c r="Y213" s="506"/>
      <c r="Z213" s="506"/>
      <c r="AA213" s="506"/>
      <c r="AB213" s="506"/>
      <c r="AC213" s="506"/>
      <c r="AD213" s="506"/>
      <c r="AE213" s="506"/>
      <c r="AF213" s="506"/>
      <c r="AG213" s="506"/>
      <c r="AH213" s="506"/>
      <c r="AI213" s="506"/>
      <c r="AJ213" s="506"/>
      <c r="AK213" s="506"/>
      <c r="AL213" s="506"/>
      <c r="AM213" s="506"/>
      <c r="AN213" s="506"/>
      <c r="AO213" s="506"/>
      <c r="AP213" s="506"/>
      <c r="AQ213" s="506"/>
      <c r="AR213" s="506"/>
      <c r="AS213" s="506"/>
      <c r="AT213" s="506"/>
      <c r="AU213" s="506"/>
      <c r="AV213" s="506"/>
      <c r="AW213" s="506"/>
      <c r="AX213" s="506"/>
      <c r="AY213" s="506"/>
      <c r="AZ213" s="506"/>
      <c r="BA213" s="506"/>
      <c r="BB213" s="506"/>
      <c r="BC213" s="506"/>
      <c r="BD213" s="506"/>
      <c r="BE213" s="506"/>
      <c r="BF213" s="506"/>
      <c r="BG213" s="506"/>
      <c r="BH213" s="506"/>
      <c r="BI213" s="506"/>
    </row>
    <row r="214" spans="1:61" ht="7.4" customHeight="1" x14ac:dyDescent="0.5">
      <c r="A214" s="228"/>
      <c r="B214" s="228"/>
      <c r="C214" s="228"/>
      <c r="D214" s="228"/>
      <c r="E214" s="228"/>
      <c r="F214" s="228"/>
      <c r="G214" s="228"/>
      <c r="H214" s="228"/>
      <c r="I214" s="228"/>
      <c r="J214" s="228"/>
      <c r="K214" s="228"/>
      <c r="L214" s="228"/>
      <c r="M214" s="228"/>
      <c r="N214" s="228"/>
      <c r="O214" s="228"/>
      <c r="P214" s="228"/>
      <c r="Q214" s="228"/>
      <c r="R214" s="228"/>
      <c r="S214" s="228"/>
      <c r="T214" s="228"/>
      <c r="U214" s="228"/>
      <c r="V214" s="228"/>
      <c r="W214" s="228"/>
      <c r="X214" s="228"/>
      <c r="Y214" s="228"/>
      <c r="Z214" s="228"/>
      <c r="AA214" s="228"/>
      <c r="AB214" s="228"/>
      <c r="AC214" s="228"/>
      <c r="AD214" s="228"/>
      <c r="AE214" s="228"/>
      <c r="AF214" s="228"/>
      <c r="AG214" s="228"/>
      <c r="AH214" s="228"/>
      <c r="AI214" s="228"/>
      <c r="AJ214" s="228"/>
      <c r="AK214" s="228"/>
      <c r="AL214" s="228"/>
      <c r="AM214" s="228"/>
      <c r="AN214" s="228"/>
      <c r="AO214" s="228"/>
      <c r="AP214" s="228"/>
      <c r="AQ214" s="228"/>
      <c r="AR214" s="228"/>
      <c r="AS214" s="228"/>
      <c r="AT214" s="228"/>
      <c r="AU214" s="228"/>
      <c r="AV214" s="228"/>
      <c r="AW214" s="228"/>
      <c r="AX214" s="228"/>
      <c r="AY214" s="228"/>
      <c r="AZ214" s="228"/>
      <c r="BA214" s="228"/>
      <c r="BB214" s="228"/>
      <c r="BC214" s="228"/>
      <c r="BD214" s="228"/>
      <c r="BE214" s="228"/>
      <c r="BF214" s="228"/>
      <c r="BG214" s="228"/>
      <c r="BH214" s="228"/>
      <c r="BI214" s="228"/>
    </row>
    <row r="215" spans="1:61" ht="7.4" customHeight="1" x14ac:dyDescent="0.5">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c r="X215" s="136"/>
      <c r="Y215" s="136"/>
      <c r="Z215" s="136"/>
      <c r="AA215" s="136"/>
      <c r="AB215" s="136"/>
      <c r="AC215" s="136"/>
      <c r="AD215" s="136"/>
      <c r="AE215" s="136"/>
      <c r="AF215" s="136"/>
      <c r="AG215" s="136"/>
      <c r="AH215" s="136"/>
      <c r="AI215" s="136"/>
      <c r="AJ215" s="136"/>
      <c r="AK215" s="136"/>
      <c r="AL215" s="136"/>
      <c r="AM215" s="136"/>
      <c r="AN215" s="136"/>
      <c r="AO215" s="136"/>
      <c r="AP215" s="136"/>
      <c r="AQ215" s="136"/>
      <c r="AR215" s="136"/>
      <c r="AS215" s="136"/>
      <c r="AT215" s="136"/>
      <c r="AU215" s="136"/>
      <c r="AV215" s="136"/>
      <c r="AW215" s="136"/>
      <c r="AX215" s="136"/>
      <c r="AY215" s="136"/>
      <c r="AZ215" s="136"/>
      <c r="BA215" s="136"/>
      <c r="BB215" s="136"/>
      <c r="BC215" s="136"/>
      <c r="BD215" s="136"/>
      <c r="BE215" s="136"/>
      <c r="BF215" s="136"/>
      <c r="BG215" s="136"/>
      <c r="BH215" s="136"/>
      <c r="BI215" s="136"/>
    </row>
    <row r="216" spans="1:61" ht="7.4" customHeight="1" x14ac:dyDescent="0.5">
      <c r="A216" s="223"/>
      <c r="B216" s="223"/>
      <c r="C216" s="223"/>
      <c r="D216" s="223"/>
      <c r="E216" s="223"/>
      <c r="F216" s="223"/>
      <c r="G216" s="223"/>
      <c r="H216" s="223"/>
      <c r="I216" s="223"/>
      <c r="J216" s="223"/>
      <c r="K216" s="223"/>
      <c r="L216" s="223"/>
      <c r="M216" s="223"/>
      <c r="N216" s="223"/>
      <c r="O216" s="223"/>
      <c r="P216" s="223"/>
      <c r="Q216" s="223"/>
      <c r="R216" s="223"/>
      <c r="S216" s="223"/>
      <c r="T216" s="223"/>
      <c r="U216" s="223"/>
      <c r="V216" s="223"/>
      <c r="W216" s="223"/>
      <c r="X216" s="223"/>
      <c r="Y216" s="223"/>
      <c r="Z216" s="223"/>
      <c r="AA216" s="223"/>
      <c r="AB216" s="223"/>
      <c r="AC216" s="223"/>
      <c r="AD216" s="223"/>
      <c r="AE216" s="223"/>
      <c r="AF216" s="223"/>
      <c r="AG216" s="223"/>
      <c r="AH216" s="223"/>
      <c r="AI216" s="223"/>
      <c r="AJ216" s="223"/>
      <c r="AK216" s="223"/>
      <c r="AL216" s="223"/>
      <c r="AM216" s="223"/>
      <c r="AN216" s="223"/>
      <c r="AO216" s="223"/>
      <c r="AP216" s="223"/>
      <c r="AQ216" s="223"/>
      <c r="AR216" s="223"/>
      <c r="AS216" s="223"/>
      <c r="AT216" s="223"/>
      <c r="AU216" s="223"/>
      <c r="AV216" s="223"/>
      <c r="AW216" s="223"/>
      <c r="AX216" s="223"/>
      <c r="AY216" s="223"/>
      <c r="AZ216" s="223"/>
      <c r="BA216" s="223"/>
      <c r="BB216" s="223"/>
      <c r="BC216" s="223"/>
      <c r="BD216" s="223"/>
      <c r="BE216" s="223"/>
      <c r="BF216" s="223"/>
      <c r="BG216" s="223"/>
      <c r="BH216" s="223"/>
      <c r="BI216" s="223"/>
    </row>
    <row r="217" spans="1:61" ht="7.4" customHeight="1" x14ac:dyDescent="0.5">
      <c r="A217" s="223"/>
      <c r="B217" s="223"/>
      <c r="C217" s="223"/>
      <c r="D217" s="223"/>
      <c r="E217" s="223"/>
      <c r="F217" s="223"/>
      <c r="G217" s="223"/>
      <c r="H217" s="223"/>
      <c r="I217" s="223"/>
      <c r="J217" s="223"/>
      <c r="K217" s="223"/>
      <c r="L217" s="223"/>
      <c r="M217" s="223"/>
      <c r="N217" s="223"/>
      <c r="O217" s="223"/>
      <c r="P217" s="223"/>
      <c r="Q217" s="223"/>
      <c r="R217" s="223"/>
      <c r="S217" s="223"/>
      <c r="T217" s="223"/>
      <c r="U217" s="223"/>
      <c r="V217" s="223"/>
      <c r="W217" s="223"/>
      <c r="X217" s="223"/>
      <c r="Y217" s="223"/>
      <c r="Z217" s="223"/>
      <c r="AA217" s="223"/>
      <c r="AB217" s="223"/>
      <c r="AC217" s="223"/>
      <c r="AD217" s="223"/>
      <c r="AE217" s="223"/>
      <c r="AF217" s="223"/>
      <c r="AG217" s="223"/>
      <c r="AH217" s="223"/>
      <c r="AI217" s="223"/>
      <c r="AJ217" s="223"/>
      <c r="AK217" s="223"/>
      <c r="AL217" s="223"/>
      <c r="AM217" s="223"/>
      <c r="AN217" s="223"/>
      <c r="AO217" s="223"/>
      <c r="AP217" s="223"/>
      <c r="AQ217" s="223"/>
      <c r="AR217" s="223"/>
      <c r="AS217" s="223"/>
      <c r="AT217" s="223"/>
      <c r="AU217" s="223"/>
      <c r="AV217" s="223"/>
      <c r="AW217" s="223"/>
      <c r="AX217" s="223"/>
      <c r="AY217" s="223"/>
      <c r="AZ217" s="223"/>
      <c r="BA217" s="223"/>
      <c r="BB217" s="223"/>
      <c r="BC217" s="223"/>
      <c r="BD217" s="223"/>
      <c r="BE217" s="223"/>
      <c r="BF217" s="223"/>
      <c r="BG217" s="223"/>
      <c r="BH217" s="223"/>
      <c r="BI217" s="223"/>
    </row>
    <row r="218" spans="1:61" ht="7.4" customHeight="1" x14ac:dyDescent="0.5">
      <c r="A218" s="223"/>
      <c r="B218" s="223"/>
      <c r="C218" s="223"/>
      <c r="D218" s="223"/>
      <c r="E218" s="223"/>
      <c r="F218" s="223"/>
      <c r="G218" s="223"/>
      <c r="H218" s="223"/>
      <c r="I218" s="223"/>
      <c r="J218" s="223"/>
      <c r="K218" s="223"/>
      <c r="L218" s="223"/>
      <c r="M218" s="223"/>
      <c r="N218" s="223"/>
      <c r="O218" s="223"/>
      <c r="P218" s="223"/>
      <c r="Q218" s="223"/>
      <c r="R218" s="223"/>
      <c r="S218" s="223"/>
      <c r="T218" s="223"/>
      <c r="U218" s="223"/>
      <c r="V218" s="223"/>
      <c r="W218" s="223"/>
      <c r="X218" s="223"/>
      <c r="Y218" s="223"/>
      <c r="Z218" s="223"/>
      <c r="AA218" s="223"/>
      <c r="AB218" s="223"/>
      <c r="AC218" s="223"/>
      <c r="AD218" s="223"/>
      <c r="AE218" s="223"/>
      <c r="AF218" s="223"/>
      <c r="AG218" s="223"/>
      <c r="AH218" s="223"/>
      <c r="AI218" s="223"/>
      <c r="AJ218" s="223"/>
      <c r="AK218" s="223"/>
      <c r="AL218" s="223"/>
      <c r="AM218" s="223"/>
      <c r="AN218" s="223"/>
      <c r="AO218" s="223"/>
      <c r="AP218" s="223"/>
      <c r="AQ218" s="223"/>
      <c r="AR218" s="223"/>
      <c r="AS218" s="223"/>
      <c r="AT218" s="223"/>
      <c r="AU218" s="223"/>
      <c r="AV218" s="223"/>
      <c r="AW218" s="223"/>
      <c r="AX218" s="223"/>
      <c r="AY218" s="223"/>
      <c r="AZ218" s="223"/>
      <c r="BA218" s="223"/>
      <c r="BB218" s="223"/>
      <c r="BC218" s="223"/>
      <c r="BD218" s="223"/>
      <c r="BE218" s="223"/>
      <c r="BF218" s="223"/>
      <c r="BG218" s="223"/>
      <c r="BH218" s="223"/>
      <c r="BI218" s="223"/>
    </row>
    <row r="219" spans="1:61" ht="7.4" customHeight="1" x14ac:dyDescent="0.5">
      <c r="A219" s="223"/>
      <c r="B219" s="223"/>
      <c r="C219" s="223"/>
      <c r="D219" s="223"/>
      <c r="E219" s="223"/>
      <c r="F219" s="223"/>
      <c r="G219" s="223"/>
      <c r="H219" s="223"/>
      <c r="I219" s="223"/>
      <c r="J219" s="223"/>
      <c r="K219" s="223"/>
      <c r="L219" s="223"/>
      <c r="M219" s="223"/>
      <c r="N219" s="223"/>
      <c r="O219" s="223"/>
      <c r="P219" s="223"/>
      <c r="Q219" s="223"/>
      <c r="R219" s="223"/>
      <c r="S219" s="223"/>
      <c r="T219" s="223"/>
      <c r="U219" s="223"/>
      <c r="V219" s="223"/>
      <c r="W219" s="223"/>
      <c r="X219" s="223"/>
      <c r="Y219" s="223"/>
      <c r="Z219" s="223"/>
      <c r="AA219" s="223"/>
      <c r="AB219" s="223"/>
      <c r="AC219" s="223"/>
      <c r="AD219" s="223"/>
      <c r="AE219" s="223"/>
      <c r="AF219" s="223"/>
      <c r="AG219" s="223"/>
      <c r="AH219" s="223"/>
      <c r="AI219" s="223"/>
      <c r="AJ219" s="223"/>
      <c r="AK219" s="223"/>
      <c r="AL219" s="223"/>
      <c r="AM219" s="223"/>
      <c r="AN219" s="223"/>
      <c r="AO219" s="223"/>
      <c r="AP219" s="223"/>
      <c r="AQ219" s="223"/>
      <c r="AR219" s="223"/>
      <c r="AS219" s="223"/>
      <c r="AT219" s="223"/>
      <c r="AU219" s="223"/>
      <c r="AV219" s="223"/>
      <c r="AW219" s="223"/>
      <c r="AX219" s="223"/>
      <c r="AY219" s="223"/>
      <c r="AZ219" s="223"/>
      <c r="BA219" s="223"/>
      <c r="BB219" s="223"/>
      <c r="BC219" s="223"/>
      <c r="BD219" s="223"/>
      <c r="BE219" s="223"/>
      <c r="BF219" s="223"/>
      <c r="BG219" s="223"/>
      <c r="BH219" s="223"/>
      <c r="BI219" s="223"/>
    </row>
    <row r="220" spans="1:61" ht="7.4" customHeight="1" x14ac:dyDescent="0.5">
      <c r="A220" s="223"/>
      <c r="B220" s="223"/>
      <c r="C220" s="223"/>
      <c r="D220" s="223"/>
      <c r="E220" s="223"/>
      <c r="F220" s="223"/>
      <c r="G220" s="223"/>
      <c r="H220" s="223"/>
      <c r="I220" s="223"/>
      <c r="J220" s="223"/>
      <c r="K220" s="223"/>
      <c r="L220" s="223"/>
      <c r="M220" s="223"/>
      <c r="N220" s="223"/>
      <c r="O220" s="223"/>
      <c r="P220" s="223"/>
      <c r="Q220" s="223"/>
      <c r="R220" s="223"/>
      <c r="S220" s="223"/>
      <c r="T220" s="223"/>
      <c r="U220" s="223"/>
      <c r="V220" s="223"/>
      <c r="W220" s="223"/>
      <c r="X220" s="223"/>
      <c r="Y220" s="223"/>
      <c r="Z220" s="223"/>
      <c r="AA220" s="223"/>
      <c r="AB220" s="223"/>
      <c r="AC220" s="223"/>
      <c r="AD220" s="223"/>
      <c r="AE220" s="223"/>
      <c r="AF220" s="223"/>
      <c r="AG220" s="223"/>
      <c r="AH220" s="223"/>
      <c r="AI220" s="223"/>
      <c r="AJ220" s="223"/>
      <c r="AK220" s="223"/>
      <c r="AL220" s="223"/>
      <c r="AM220" s="223"/>
      <c r="AN220" s="223"/>
      <c r="AO220" s="223"/>
      <c r="AP220" s="223"/>
      <c r="AQ220" s="223"/>
      <c r="AR220" s="223"/>
      <c r="AS220" s="223"/>
      <c r="AT220" s="223"/>
      <c r="AU220" s="223"/>
      <c r="AV220" s="223"/>
      <c r="AW220" s="223"/>
      <c r="AX220" s="223"/>
      <c r="AY220" s="223"/>
      <c r="AZ220" s="223"/>
      <c r="BA220" s="223"/>
      <c r="BB220" s="223"/>
      <c r="BC220" s="223"/>
      <c r="BD220" s="223"/>
      <c r="BE220" s="223"/>
      <c r="BF220" s="223"/>
      <c r="BG220" s="223"/>
      <c r="BH220" s="223"/>
      <c r="BI220" s="223"/>
    </row>
    <row r="221" spans="1:61" ht="7.4" customHeight="1" x14ac:dyDescent="0.5">
      <c r="A221" s="223"/>
      <c r="B221" s="223"/>
      <c r="C221" s="223"/>
      <c r="D221" s="223"/>
      <c r="E221" s="223"/>
      <c r="F221" s="223"/>
      <c r="G221" s="223"/>
      <c r="H221" s="223"/>
      <c r="I221" s="223"/>
      <c r="J221" s="223"/>
      <c r="K221" s="223"/>
      <c r="L221" s="223"/>
      <c r="M221" s="223"/>
      <c r="N221" s="223"/>
      <c r="O221" s="223"/>
      <c r="P221" s="223"/>
      <c r="Q221" s="223"/>
      <c r="R221" s="223"/>
      <c r="S221" s="223"/>
      <c r="T221" s="223"/>
      <c r="U221" s="223"/>
      <c r="V221" s="223"/>
      <c r="W221" s="223"/>
      <c r="X221" s="223"/>
      <c r="Y221" s="223"/>
      <c r="Z221" s="223"/>
      <c r="AA221" s="223"/>
      <c r="AB221" s="223"/>
      <c r="AC221" s="223"/>
      <c r="AD221" s="223"/>
      <c r="AE221" s="223"/>
      <c r="AF221" s="223"/>
      <c r="AG221" s="223"/>
      <c r="AH221" s="223"/>
      <c r="AI221" s="223"/>
      <c r="AJ221" s="223"/>
      <c r="AK221" s="223"/>
      <c r="AL221" s="223"/>
      <c r="AM221" s="223"/>
      <c r="AN221" s="223"/>
      <c r="AO221" s="223"/>
      <c r="AP221" s="223"/>
      <c r="AQ221" s="223"/>
      <c r="AR221" s="223"/>
      <c r="AS221" s="223"/>
      <c r="AT221" s="223"/>
      <c r="AU221" s="223"/>
      <c r="AV221" s="223"/>
      <c r="AW221" s="223"/>
      <c r="AX221" s="223"/>
      <c r="AY221" s="223"/>
      <c r="AZ221" s="223"/>
      <c r="BA221" s="223"/>
      <c r="BB221" s="223"/>
      <c r="BC221" s="223"/>
      <c r="BD221" s="223"/>
      <c r="BE221" s="223"/>
      <c r="BF221" s="223"/>
      <c r="BG221" s="223"/>
      <c r="BH221" s="223"/>
      <c r="BI221" s="223"/>
    </row>
    <row r="222" spans="1:61" ht="7.4" customHeight="1" x14ac:dyDescent="0.5">
      <c r="A222" s="223"/>
      <c r="B222" s="223"/>
      <c r="C222" s="223"/>
      <c r="D222" s="223"/>
      <c r="E222" s="223"/>
      <c r="F222" s="223"/>
      <c r="G222" s="223"/>
      <c r="H222" s="223"/>
      <c r="I222" s="223"/>
      <c r="J222" s="223"/>
      <c r="K222" s="223"/>
      <c r="L222" s="223"/>
      <c r="M222" s="223"/>
      <c r="N222" s="223"/>
      <c r="O222" s="223"/>
      <c r="P222" s="223"/>
      <c r="Q222" s="223"/>
      <c r="R222" s="223"/>
      <c r="S222" s="223"/>
      <c r="T222" s="223"/>
      <c r="U222" s="223"/>
      <c r="V222" s="223"/>
      <c r="W222" s="223"/>
      <c r="X222" s="223"/>
      <c r="Y222" s="223"/>
      <c r="Z222" s="223"/>
      <c r="AA222" s="223"/>
      <c r="AB222" s="223"/>
      <c r="AC222" s="223"/>
      <c r="AD222" s="223"/>
      <c r="AE222" s="223"/>
      <c r="AF222" s="223"/>
      <c r="AG222" s="223"/>
      <c r="AH222" s="223"/>
      <c r="AI222" s="223"/>
      <c r="AJ222" s="223"/>
      <c r="AK222" s="223"/>
      <c r="AL222" s="223"/>
      <c r="AM222" s="223"/>
      <c r="AN222" s="223"/>
      <c r="AO222" s="223"/>
      <c r="AP222" s="223"/>
      <c r="AQ222" s="223"/>
      <c r="AR222" s="223"/>
      <c r="AS222" s="223"/>
      <c r="AT222" s="223"/>
      <c r="AU222" s="223"/>
      <c r="AV222" s="223"/>
      <c r="AW222" s="223"/>
      <c r="AX222" s="223"/>
      <c r="AY222" s="223"/>
      <c r="AZ222" s="223"/>
      <c r="BA222" s="223"/>
      <c r="BB222" s="223"/>
      <c r="BC222" s="223"/>
      <c r="BD222" s="223"/>
      <c r="BE222" s="223"/>
      <c r="BF222" s="223"/>
      <c r="BG222" s="223"/>
      <c r="BH222" s="223"/>
      <c r="BI222" s="223"/>
    </row>
    <row r="223" spans="1:61" ht="7.4" customHeight="1" x14ac:dyDescent="0.5">
      <c r="A223" s="223"/>
      <c r="B223" s="223"/>
      <c r="C223" s="223"/>
      <c r="D223" s="223"/>
      <c r="E223" s="223"/>
      <c r="F223" s="223"/>
      <c r="G223" s="223"/>
      <c r="H223" s="223"/>
      <c r="I223" s="223"/>
      <c r="J223" s="223"/>
      <c r="K223" s="223"/>
      <c r="L223" s="223"/>
      <c r="M223" s="223"/>
      <c r="N223" s="223"/>
      <c r="O223" s="223"/>
      <c r="P223" s="223"/>
      <c r="Q223" s="223"/>
      <c r="R223" s="223"/>
      <c r="S223" s="223"/>
      <c r="T223" s="223"/>
      <c r="U223" s="223"/>
      <c r="V223" s="223"/>
      <c r="W223" s="223"/>
      <c r="X223" s="223"/>
      <c r="Y223" s="223"/>
      <c r="Z223" s="223"/>
      <c r="AA223" s="223"/>
      <c r="AB223" s="223"/>
      <c r="AC223" s="223"/>
      <c r="AD223" s="223"/>
      <c r="AE223" s="223"/>
      <c r="AF223" s="223"/>
      <c r="AG223" s="223"/>
      <c r="AH223" s="223"/>
      <c r="AI223" s="223"/>
      <c r="AJ223" s="223"/>
      <c r="AK223" s="223"/>
      <c r="AL223" s="223"/>
      <c r="AM223" s="223"/>
      <c r="AN223" s="223"/>
      <c r="AO223" s="223"/>
      <c r="AP223" s="223"/>
      <c r="AQ223" s="223"/>
      <c r="AR223" s="223"/>
      <c r="AS223" s="223"/>
      <c r="AT223" s="223"/>
      <c r="AU223" s="223"/>
      <c r="AV223" s="223"/>
      <c r="AW223" s="223"/>
      <c r="AX223" s="223"/>
      <c r="AY223" s="223"/>
      <c r="AZ223" s="223"/>
      <c r="BA223" s="223"/>
      <c r="BB223" s="223"/>
      <c r="BC223" s="223"/>
      <c r="BD223" s="223"/>
      <c r="BE223" s="223"/>
      <c r="BF223" s="223"/>
      <c r="BG223" s="223"/>
      <c r="BH223" s="223"/>
      <c r="BI223" s="223"/>
    </row>
    <row r="224" spans="1:61" ht="7.4" customHeight="1" x14ac:dyDescent="0.5">
      <c r="A224" s="223"/>
      <c r="B224" s="223"/>
      <c r="C224" s="223"/>
      <c r="D224" s="223"/>
      <c r="E224" s="223"/>
      <c r="F224" s="223"/>
      <c r="G224" s="223"/>
      <c r="H224" s="223"/>
      <c r="I224" s="223"/>
      <c r="J224" s="223"/>
      <c r="K224" s="223"/>
      <c r="L224" s="223"/>
      <c r="M224" s="223"/>
      <c r="N224" s="223"/>
      <c r="O224" s="223"/>
      <c r="P224" s="223"/>
      <c r="Q224" s="223"/>
      <c r="R224" s="223"/>
      <c r="S224" s="223"/>
      <c r="T224" s="223"/>
      <c r="U224" s="223"/>
      <c r="V224" s="223"/>
      <c r="W224" s="223"/>
      <c r="X224" s="223"/>
      <c r="Y224" s="223"/>
      <c r="Z224" s="223"/>
      <c r="AA224" s="223"/>
      <c r="AB224" s="223"/>
      <c r="AC224" s="223"/>
      <c r="AD224" s="223"/>
      <c r="AE224" s="223"/>
      <c r="AF224" s="223"/>
      <c r="AG224" s="223"/>
      <c r="AH224" s="223"/>
      <c r="AI224" s="223"/>
      <c r="AJ224" s="223"/>
      <c r="AK224" s="223"/>
      <c r="AL224" s="223"/>
      <c r="AM224" s="223"/>
      <c r="AN224" s="223"/>
      <c r="AO224" s="223"/>
      <c r="AP224" s="223"/>
      <c r="AQ224" s="223"/>
      <c r="AR224" s="223"/>
      <c r="AS224" s="223"/>
      <c r="AT224" s="223"/>
      <c r="AU224" s="223"/>
      <c r="AV224" s="223"/>
      <c r="AW224" s="223"/>
      <c r="AX224" s="223"/>
      <c r="AY224" s="223"/>
      <c r="AZ224" s="223"/>
      <c r="BA224" s="223"/>
      <c r="BB224" s="223"/>
      <c r="BC224" s="223"/>
      <c r="BD224" s="223"/>
      <c r="BE224" s="223"/>
      <c r="BF224" s="223"/>
      <c r="BG224" s="223"/>
      <c r="BH224" s="223"/>
      <c r="BI224" s="223"/>
    </row>
    <row r="225" spans="1:61" ht="7.4" customHeight="1" x14ac:dyDescent="0.5">
      <c r="A225" s="223"/>
      <c r="B225" s="223"/>
      <c r="C225" s="223"/>
      <c r="D225" s="223"/>
      <c r="E225" s="223"/>
      <c r="F225" s="223"/>
      <c r="G225" s="223"/>
      <c r="H225" s="223"/>
      <c r="I225" s="223"/>
      <c r="J225" s="223"/>
      <c r="K225" s="223"/>
      <c r="L225" s="223"/>
      <c r="M225" s="223"/>
      <c r="N225" s="223"/>
      <c r="O225" s="223"/>
      <c r="P225" s="223"/>
      <c r="Q225" s="223"/>
      <c r="R225" s="223"/>
      <c r="S225" s="223"/>
      <c r="T225" s="223"/>
      <c r="U225" s="223"/>
      <c r="V225" s="223"/>
      <c r="W225" s="223"/>
      <c r="X225" s="223"/>
      <c r="Y225" s="223"/>
      <c r="Z225" s="223"/>
      <c r="AA225" s="223"/>
      <c r="AB225" s="223"/>
      <c r="AC225" s="223"/>
      <c r="AD225" s="223"/>
      <c r="AE225" s="223"/>
      <c r="AF225" s="223"/>
      <c r="AG225" s="223"/>
      <c r="AH225" s="223"/>
      <c r="AI225" s="223"/>
      <c r="AJ225" s="223"/>
      <c r="AK225" s="223"/>
      <c r="AL225" s="223"/>
      <c r="AM225" s="223"/>
      <c r="AN225" s="223"/>
      <c r="AO225" s="223"/>
      <c r="AP225" s="223"/>
      <c r="AQ225" s="223"/>
      <c r="AR225" s="223"/>
      <c r="AS225" s="223"/>
      <c r="AT225" s="223"/>
      <c r="AU225" s="223"/>
      <c r="AV225" s="223"/>
      <c r="AW225" s="223"/>
      <c r="AX225" s="223"/>
      <c r="AY225" s="223"/>
      <c r="AZ225" s="223"/>
      <c r="BA225" s="223"/>
      <c r="BB225" s="223"/>
      <c r="BC225" s="223"/>
      <c r="BD225" s="223"/>
      <c r="BE225" s="223"/>
      <c r="BF225" s="223"/>
      <c r="BG225" s="223"/>
      <c r="BH225" s="223"/>
      <c r="BI225" s="223"/>
    </row>
    <row r="226" spans="1:61" ht="7.4" customHeight="1" x14ac:dyDescent="0.5">
      <c r="A226" s="223"/>
      <c r="B226" s="223"/>
      <c r="C226" s="223"/>
      <c r="D226" s="223"/>
      <c r="E226" s="223"/>
      <c r="F226" s="223"/>
      <c r="G226" s="223"/>
      <c r="H226" s="223"/>
      <c r="I226" s="223"/>
      <c r="J226" s="223"/>
      <c r="K226" s="223"/>
      <c r="L226" s="223"/>
      <c r="M226" s="223"/>
      <c r="N226" s="223"/>
      <c r="O226" s="223"/>
      <c r="P226" s="223"/>
      <c r="Q226" s="223"/>
      <c r="R226" s="223"/>
      <c r="S226" s="223"/>
      <c r="T226" s="223"/>
      <c r="U226" s="223"/>
      <c r="V226" s="223"/>
      <c r="W226" s="223"/>
      <c r="X226" s="223"/>
      <c r="Y226" s="223"/>
      <c r="Z226" s="223"/>
      <c r="AA226" s="223"/>
      <c r="AB226" s="223"/>
      <c r="AC226" s="223"/>
      <c r="AD226" s="223"/>
      <c r="AE226" s="223"/>
      <c r="AF226" s="223"/>
      <c r="AG226" s="223"/>
      <c r="AH226" s="223"/>
      <c r="AI226" s="223"/>
      <c r="AJ226" s="223"/>
      <c r="AK226" s="223"/>
      <c r="AL226" s="223"/>
      <c r="AM226" s="223"/>
      <c r="AN226" s="223"/>
      <c r="AO226" s="223"/>
      <c r="AP226" s="223"/>
      <c r="AQ226" s="223"/>
      <c r="AR226" s="223"/>
      <c r="AS226" s="223"/>
      <c r="AT226" s="223"/>
      <c r="AU226" s="223"/>
      <c r="AV226" s="223"/>
      <c r="AW226" s="223"/>
      <c r="AX226" s="223"/>
      <c r="AY226" s="223"/>
      <c r="AZ226" s="223"/>
      <c r="BA226" s="223"/>
      <c r="BB226" s="223"/>
      <c r="BC226" s="223"/>
      <c r="BD226" s="223"/>
      <c r="BE226" s="223"/>
      <c r="BF226" s="223"/>
      <c r="BG226" s="223"/>
      <c r="BH226" s="223"/>
      <c r="BI226" s="223"/>
    </row>
    <row r="227" spans="1:61" ht="7.4" customHeight="1" x14ac:dyDescent="0.5">
      <c r="A227" s="223"/>
      <c r="B227" s="223"/>
      <c r="C227" s="223"/>
      <c r="D227" s="223"/>
      <c r="E227" s="223"/>
      <c r="F227" s="223"/>
      <c r="G227" s="223"/>
      <c r="H227" s="223"/>
      <c r="I227" s="223"/>
      <c r="J227" s="223"/>
      <c r="K227" s="223"/>
      <c r="L227" s="223"/>
      <c r="M227" s="223"/>
      <c r="N227" s="223"/>
      <c r="O227" s="223"/>
      <c r="P227" s="223"/>
      <c r="Q227" s="223"/>
      <c r="R227" s="223"/>
      <c r="S227" s="223"/>
      <c r="T227" s="223"/>
      <c r="U227" s="223"/>
      <c r="V227" s="223"/>
      <c r="W227" s="223"/>
      <c r="X227" s="223"/>
      <c r="Y227" s="223"/>
      <c r="Z227" s="223"/>
      <c r="AA227" s="223"/>
      <c r="AB227" s="223"/>
      <c r="AC227" s="223"/>
      <c r="AD227" s="223"/>
      <c r="AE227" s="223"/>
      <c r="AF227" s="223"/>
      <c r="AG227" s="223"/>
      <c r="AH227" s="223"/>
      <c r="AI227" s="223"/>
      <c r="AJ227" s="223"/>
      <c r="AK227" s="223"/>
      <c r="AL227" s="223"/>
      <c r="AM227" s="223"/>
      <c r="AN227" s="223"/>
      <c r="AO227" s="223"/>
      <c r="AP227" s="223"/>
      <c r="AQ227" s="223"/>
      <c r="AR227" s="223"/>
      <c r="AS227" s="223"/>
      <c r="AT227" s="223"/>
      <c r="AU227" s="223"/>
      <c r="AV227" s="223"/>
      <c r="AW227" s="223"/>
      <c r="AX227" s="223"/>
      <c r="AY227" s="223"/>
      <c r="AZ227" s="223"/>
      <c r="BA227" s="223"/>
      <c r="BB227" s="223"/>
      <c r="BC227" s="223"/>
      <c r="BD227" s="223"/>
      <c r="BE227" s="223"/>
      <c r="BF227" s="223"/>
      <c r="BG227" s="223"/>
      <c r="BH227" s="223"/>
      <c r="BI227" s="223"/>
    </row>
    <row r="228" spans="1:61" ht="7.4" customHeight="1" x14ac:dyDescent="0.5">
      <c r="A228" s="223"/>
      <c r="B228" s="223"/>
      <c r="C228" s="223"/>
      <c r="D228" s="223"/>
      <c r="E228" s="223"/>
      <c r="F228" s="223"/>
      <c r="G228" s="223"/>
      <c r="H228" s="223"/>
      <c r="I228" s="223"/>
      <c r="J228" s="223"/>
      <c r="K228" s="223"/>
      <c r="L228" s="223"/>
      <c r="M228" s="223"/>
      <c r="N228" s="223"/>
      <c r="O228" s="223"/>
      <c r="P228" s="223"/>
      <c r="Q228" s="223"/>
      <c r="R228" s="223"/>
      <c r="S228" s="223"/>
      <c r="T228" s="223"/>
      <c r="U228" s="223"/>
      <c r="V228" s="223"/>
      <c r="W228" s="223"/>
      <c r="X228" s="223"/>
      <c r="Y228" s="223"/>
      <c r="Z228" s="223"/>
      <c r="AA228" s="223"/>
      <c r="AB228" s="223"/>
      <c r="AC228" s="223"/>
      <c r="AD228" s="223"/>
      <c r="AE228" s="223"/>
      <c r="AF228" s="223"/>
      <c r="AG228" s="223"/>
      <c r="AH228" s="223"/>
      <c r="AI228" s="223"/>
      <c r="AJ228" s="223"/>
      <c r="AK228" s="223"/>
      <c r="AL228" s="223"/>
      <c r="AM228" s="223"/>
      <c r="AN228" s="223"/>
      <c r="AO228" s="223"/>
      <c r="AP228" s="223"/>
      <c r="AQ228" s="223"/>
      <c r="AR228" s="223"/>
      <c r="AS228" s="223"/>
      <c r="AT228" s="223"/>
      <c r="AU228" s="223"/>
      <c r="AV228" s="223"/>
      <c r="AW228" s="223"/>
      <c r="AX228" s="223"/>
      <c r="AY228" s="223"/>
      <c r="AZ228" s="223"/>
      <c r="BA228" s="223"/>
      <c r="BB228" s="223"/>
      <c r="BC228" s="223"/>
      <c r="BD228" s="223"/>
      <c r="BE228" s="223"/>
      <c r="BF228" s="223"/>
      <c r="BG228" s="223"/>
      <c r="BH228" s="223"/>
      <c r="BI228" s="223"/>
    </row>
    <row r="229" spans="1:61" ht="7.4" customHeight="1" x14ac:dyDescent="0.5">
      <c r="A229" s="223"/>
      <c r="B229" s="223"/>
      <c r="C229" s="223"/>
      <c r="D229" s="223"/>
      <c r="E229" s="223"/>
      <c r="F229" s="223"/>
      <c r="G229" s="223"/>
      <c r="H229" s="223"/>
      <c r="I229" s="223"/>
      <c r="J229" s="223"/>
      <c r="K229" s="223"/>
      <c r="L229" s="223"/>
      <c r="M229" s="223"/>
      <c r="N229" s="223"/>
      <c r="O229" s="223"/>
      <c r="P229" s="223"/>
      <c r="Q229" s="223"/>
      <c r="R229" s="223"/>
      <c r="S229" s="223"/>
      <c r="T229" s="223"/>
      <c r="U229" s="223"/>
      <c r="V229" s="223"/>
      <c r="W229" s="223"/>
      <c r="X229" s="223"/>
      <c r="Y229" s="223"/>
      <c r="Z229" s="223"/>
      <c r="AA229" s="223"/>
      <c r="AB229" s="223"/>
      <c r="AC229" s="223"/>
      <c r="AD229" s="223"/>
      <c r="AE229" s="223"/>
      <c r="AF229" s="223"/>
      <c r="AG229" s="223"/>
      <c r="AH229" s="223"/>
      <c r="AI229" s="223"/>
      <c r="AJ229" s="223"/>
      <c r="AK229" s="223"/>
      <c r="AL229" s="223"/>
      <c r="AM229" s="223"/>
      <c r="AN229" s="223"/>
      <c r="AO229" s="223"/>
      <c r="AP229" s="223"/>
      <c r="AQ229" s="223"/>
      <c r="AR229" s="223"/>
      <c r="AS229" s="223"/>
      <c r="AT229" s="223"/>
      <c r="AU229" s="223"/>
      <c r="AV229" s="223"/>
      <c r="AW229" s="223"/>
      <c r="AX229" s="223"/>
      <c r="AY229" s="223"/>
      <c r="AZ229" s="223"/>
      <c r="BA229" s="223"/>
      <c r="BB229" s="223"/>
      <c r="BC229" s="223"/>
      <c r="BD229" s="223"/>
      <c r="BE229" s="223"/>
      <c r="BF229" s="223"/>
      <c r="BG229" s="223"/>
      <c r="BH229" s="223"/>
      <c r="BI229" s="223"/>
    </row>
    <row r="230" spans="1:61" ht="7.4" customHeight="1" x14ac:dyDescent="0.5">
      <c r="A230" s="223"/>
      <c r="B230" s="223"/>
      <c r="C230" s="223"/>
      <c r="D230" s="223"/>
      <c r="E230" s="223"/>
      <c r="F230" s="223"/>
      <c r="G230" s="223"/>
      <c r="H230" s="223"/>
      <c r="I230" s="223"/>
      <c r="J230" s="223"/>
      <c r="K230" s="223"/>
      <c r="L230" s="223"/>
      <c r="M230" s="223"/>
      <c r="N230" s="223"/>
      <c r="O230" s="223"/>
      <c r="P230" s="223"/>
      <c r="Q230" s="223"/>
      <c r="R230" s="223"/>
      <c r="S230" s="223"/>
      <c r="T230" s="223"/>
      <c r="U230" s="223"/>
      <c r="V230" s="223"/>
      <c r="W230" s="223"/>
      <c r="X230" s="223"/>
      <c r="Y230" s="223"/>
      <c r="Z230" s="223"/>
      <c r="AA230" s="223"/>
      <c r="AB230" s="223"/>
      <c r="AC230" s="223"/>
      <c r="AD230" s="223"/>
      <c r="AE230" s="223"/>
      <c r="AF230" s="223"/>
      <c r="AG230" s="223"/>
      <c r="AH230" s="223"/>
      <c r="AI230" s="223"/>
      <c r="AJ230" s="223"/>
      <c r="AK230" s="223"/>
      <c r="AL230" s="223"/>
      <c r="AM230" s="223"/>
      <c r="AN230" s="223"/>
      <c r="AO230" s="223"/>
      <c r="AP230" s="223"/>
      <c r="AQ230" s="223"/>
      <c r="AR230" s="223"/>
      <c r="AS230" s="223"/>
      <c r="AT230" s="223"/>
      <c r="AU230" s="223"/>
      <c r="AV230" s="223"/>
      <c r="AW230" s="223"/>
      <c r="AX230" s="223"/>
      <c r="AY230" s="223"/>
      <c r="AZ230" s="223"/>
      <c r="BA230" s="223"/>
      <c r="BB230" s="223"/>
      <c r="BC230" s="223"/>
      <c r="BD230" s="223"/>
      <c r="BE230" s="223"/>
      <c r="BF230" s="223"/>
      <c r="BG230" s="223"/>
      <c r="BH230" s="223"/>
      <c r="BI230" s="223"/>
    </row>
    <row r="231" spans="1:61" ht="7.4" customHeight="1" x14ac:dyDescent="0.5">
      <c r="A231" s="223"/>
      <c r="B231" s="223"/>
      <c r="C231" s="223"/>
      <c r="D231" s="223"/>
      <c r="E231" s="223"/>
      <c r="F231" s="223"/>
      <c r="G231" s="223"/>
      <c r="H231" s="223"/>
      <c r="I231" s="223"/>
      <c r="J231" s="223"/>
      <c r="K231" s="223"/>
      <c r="L231" s="223"/>
      <c r="M231" s="223"/>
      <c r="N231" s="223"/>
      <c r="O231" s="223"/>
      <c r="P231" s="223"/>
      <c r="Q231" s="223"/>
      <c r="R231" s="223"/>
      <c r="S231" s="223"/>
      <c r="T231" s="223"/>
      <c r="U231" s="223"/>
      <c r="V231" s="223"/>
      <c r="W231" s="223"/>
      <c r="X231" s="223"/>
      <c r="Y231" s="223"/>
      <c r="Z231" s="223"/>
      <c r="AA231" s="223"/>
      <c r="AB231" s="223"/>
      <c r="AC231" s="223"/>
      <c r="AD231" s="223"/>
      <c r="AE231" s="223"/>
      <c r="AF231" s="223"/>
      <c r="AG231" s="223"/>
      <c r="AH231" s="223"/>
      <c r="AI231" s="223"/>
      <c r="AJ231" s="223"/>
      <c r="AK231" s="223"/>
      <c r="AL231" s="223"/>
      <c r="AM231" s="223"/>
      <c r="AN231" s="223"/>
      <c r="AO231" s="223"/>
      <c r="AP231" s="223"/>
      <c r="AQ231" s="223"/>
      <c r="AR231" s="223"/>
      <c r="AS231" s="223"/>
      <c r="AT231" s="223"/>
      <c r="AU231" s="223"/>
      <c r="AV231" s="223"/>
      <c r="AW231" s="223"/>
      <c r="AX231" s="223"/>
      <c r="AY231" s="223"/>
      <c r="AZ231" s="223"/>
      <c r="BA231" s="223"/>
      <c r="BB231" s="223"/>
      <c r="BC231" s="223"/>
      <c r="BD231" s="223"/>
      <c r="BE231" s="223"/>
      <c r="BF231" s="223"/>
      <c r="BG231" s="223"/>
      <c r="BH231" s="223"/>
      <c r="BI231" s="223"/>
    </row>
    <row r="232" spans="1:61" ht="7.4" customHeight="1" x14ac:dyDescent="0.5">
      <c r="A232" s="223"/>
      <c r="B232" s="223"/>
      <c r="C232" s="223"/>
      <c r="D232" s="223"/>
      <c r="E232" s="223"/>
      <c r="F232" s="223"/>
      <c r="G232" s="223"/>
      <c r="H232" s="223"/>
      <c r="I232" s="223"/>
      <c r="J232" s="223"/>
      <c r="K232" s="223"/>
      <c r="L232" s="223"/>
      <c r="M232" s="223"/>
      <c r="N232" s="223"/>
      <c r="O232" s="223"/>
      <c r="P232" s="223"/>
      <c r="Q232" s="223"/>
      <c r="R232" s="223"/>
      <c r="S232" s="223"/>
      <c r="T232" s="223"/>
      <c r="U232" s="223"/>
      <c r="V232" s="223"/>
      <c r="W232" s="223"/>
      <c r="X232" s="223"/>
      <c r="Y232" s="223"/>
      <c r="Z232" s="223"/>
      <c r="AA232" s="223"/>
      <c r="AB232" s="223"/>
      <c r="AC232" s="223"/>
      <c r="AD232" s="223"/>
      <c r="AE232" s="223"/>
      <c r="AF232" s="223"/>
      <c r="AG232" s="223"/>
      <c r="AH232" s="223"/>
      <c r="AI232" s="223"/>
      <c r="AJ232" s="223"/>
      <c r="AK232" s="223"/>
      <c r="AL232" s="223"/>
      <c r="AM232" s="223"/>
      <c r="AN232" s="223"/>
      <c r="AO232" s="223"/>
      <c r="AP232" s="223"/>
      <c r="AQ232" s="223"/>
      <c r="AR232" s="223"/>
      <c r="AS232" s="223"/>
      <c r="AT232" s="223"/>
      <c r="AU232" s="223"/>
      <c r="AV232" s="223"/>
      <c r="AW232" s="223"/>
      <c r="AX232" s="223"/>
      <c r="AY232" s="223"/>
      <c r="AZ232" s="223"/>
      <c r="BA232" s="223"/>
      <c r="BB232" s="223"/>
      <c r="BC232" s="223"/>
      <c r="BD232" s="223"/>
      <c r="BE232" s="223"/>
      <c r="BF232" s="223"/>
      <c r="BG232" s="223"/>
      <c r="BH232" s="223"/>
      <c r="BI232" s="223"/>
    </row>
    <row r="233" spans="1:61" ht="7.4" customHeight="1" x14ac:dyDescent="0.5">
      <c r="A233" s="223"/>
      <c r="B233" s="223"/>
      <c r="C233" s="223"/>
      <c r="D233" s="223"/>
      <c r="E233" s="223"/>
      <c r="F233" s="223"/>
      <c r="G233" s="223"/>
      <c r="H233" s="223"/>
      <c r="I233" s="223"/>
      <c r="J233" s="223"/>
      <c r="K233" s="223"/>
      <c r="L233" s="223"/>
      <c r="M233" s="223"/>
      <c r="N233" s="223"/>
      <c r="O233" s="223"/>
      <c r="P233" s="223"/>
      <c r="Q233" s="223"/>
      <c r="R233" s="223"/>
      <c r="S233" s="223"/>
      <c r="T233" s="223"/>
      <c r="U233" s="223"/>
      <c r="V233" s="223"/>
      <c r="W233" s="223"/>
      <c r="X233" s="223"/>
      <c r="Y233" s="223"/>
      <c r="Z233" s="223"/>
      <c r="AA233" s="223"/>
      <c r="AB233" s="223"/>
      <c r="AC233" s="223"/>
      <c r="AD233" s="223"/>
      <c r="AE233" s="223"/>
      <c r="AF233" s="223"/>
      <c r="AG233" s="223"/>
      <c r="AH233" s="223"/>
      <c r="AI233" s="223"/>
      <c r="AJ233" s="223"/>
      <c r="AK233" s="223"/>
      <c r="AL233" s="223"/>
      <c r="AM233" s="223"/>
      <c r="AN233" s="223"/>
      <c r="AO233" s="223"/>
      <c r="AP233" s="223"/>
      <c r="AQ233" s="223"/>
      <c r="AR233" s="223"/>
      <c r="AS233" s="223"/>
      <c r="AT233" s="223"/>
      <c r="AU233" s="223"/>
      <c r="AV233" s="223"/>
      <c r="AW233" s="223"/>
      <c r="AX233" s="223"/>
      <c r="AY233" s="223"/>
      <c r="AZ233" s="223"/>
      <c r="BA233" s="223"/>
      <c r="BB233" s="223"/>
      <c r="BC233" s="223"/>
      <c r="BD233" s="223"/>
      <c r="BE233" s="223"/>
      <c r="BF233" s="223"/>
      <c r="BG233" s="223"/>
      <c r="BH233" s="223"/>
      <c r="BI233" s="223"/>
    </row>
    <row r="234" spans="1:61" ht="7.4" customHeight="1" x14ac:dyDescent="0.5">
      <c r="A234" s="223"/>
      <c r="B234" s="223"/>
      <c r="C234" s="223"/>
      <c r="D234" s="223"/>
      <c r="E234" s="223"/>
      <c r="F234" s="223"/>
      <c r="G234" s="223"/>
      <c r="H234" s="223"/>
      <c r="I234" s="223"/>
      <c r="J234" s="223"/>
      <c r="K234" s="223"/>
      <c r="L234" s="223"/>
      <c r="M234" s="223"/>
      <c r="N234" s="223"/>
      <c r="O234" s="223"/>
      <c r="P234" s="223"/>
      <c r="Q234" s="223"/>
      <c r="R234" s="223"/>
      <c r="S234" s="223"/>
      <c r="T234" s="223"/>
      <c r="U234" s="223"/>
      <c r="V234" s="223"/>
      <c r="W234" s="223"/>
      <c r="X234" s="223"/>
      <c r="Y234" s="223"/>
      <c r="Z234" s="223"/>
      <c r="AA234" s="223"/>
      <c r="AB234" s="223"/>
      <c r="AC234" s="223"/>
      <c r="AD234" s="223"/>
      <c r="AE234" s="223"/>
      <c r="AF234" s="223"/>
      <c r="AG234" s="223"/>
      <c r="AH234" s="223"/>
      <c r="AI234" s="223"/>
      <c r="AJ234" s="223"/>
      <c r="AK234" s="223"/>
      <c r="AL234" s="223"/>
      <c r="AM234" s="223"/>
      <c r="AN234" s="223"/>
      <c r="AO234" s="223"/>
      <c r="AP234" s="223"/>
      <c r="AQ234" s="223"/>
      <c r="AR234" s="223"/>
      <c r="AS234" s="223"/>
      <c r="AT234" s="223"/>
      <c r="AU234" s="223"/>
      <c r="AV234" s="223"/>
      <c r="AW234" s="223"/>
      <c r="AX234" s="223"/>
      <c r="AY234" s="223"/>
      <c r="AZ234" s="223"/>
      <c r="BA234" s="223"/>
      <c r="BB234" s="223"/>
      <c r="BC234" s="223"/>
      <c r="BD234" s="223"/>
      <c r="BE234" s="223"/>
      <c r="BF234" s="223"/>
      <c r="BG234" s="223"/>
      <c r="BH234" s="223"/>
      <c r="BI234" s="223"/>
    </row>
    <row r="235" spans="1:61" ht="7.4" customHeight="1" x14ac:dyDescent="0.5">
      <c r="A235" s="223"/>
      <c r="B235" s="223"/>
      <c r="C235" s="223"/>
      <c r="D235" s="223"/>
      <c r="E235" s="223"/>
      <c r="F235" s="223"/>
      <c r="G235" s="223"/>
      <c r="H235" s="223"/>
      <c r="I235" s="223"/>
      <c r="J235" s="223"/>
      <c r="K235" s="223"/>
      <c r="L235" s="223"/>
      <c r="M235" s="223"/>
      <c r="N235" s="223"/>
      <c r="O235" s="223"/>
      <c r="P235" s="223"/>
      <c r="Q235" s="223"/>
      <c r="R235" s="223"/>
      <c r="S235" s="223"/>
      <c r="T235" s="223"/>
      <c r="U235" s="223"/>
      <c r="V235" s="223"/>
      <c r="W235" s="223"/>
      <c r="X235" s="223"/>
      <c r="Y235" s="223"/>
      <c r="Z235" s="223"/>
      <c r="AA235" s="223"/>
      <c r="AB235" s="223"/>
      <c r="AC235" s="223"/>
      <c r="AD235" s="223"/>
      <c r="AE235" s="223"/>
      <c r="AF235" s="223"/>
      <c r="AG235" s="223"/>
      <c r="AH235" s="223"/>
      <c r="AI235" s="223"/>
      <c r="AJ235" s="223"/>
      <c r="AK235" s="223"/>
      <c r="AL235" s="223"/>
      <c r="AM235" s="223"/>
      <c r="AN235" s="223"/>
      <c r="AO235" s="223"/>
      <c r="AP235" s="223"/>
      <c r="AQ235" s="223"/>
      <c r="AR235" s="223"/>
      <c r="AS235" s="223"/>
      <c r="AT235" s="223"/>
      <c r="AU235" s="223"/>
      <c r="AV235" s="223"/>
      <c r="AW235" s="223"/>
      <c r="AX235" s="223"/>
      <c r="AY235" s="223"/>
      <c r="AZ235" s="223"/>
      <c r="BA235" s="223"/>
      <c r="BB235" s="223"/>
      <c r="BC235" s="223"/>
      <c r="BD235" s="223"/>
      <c r="BE235" s="223"/>
      <c r="BF235" s="223"/>
      <c r="BG235" s="223"/>
      <c r="BH235" s="223"/>
      <c r="BI235" s="223"/>
    </row>
    <row r="236" spans="1:61" ht="7.4" customHeight="1" x14ac:dyDescent="0.5">
      <c r="A236" s="223"/>
      <c r="B236" s="223"/>
      <c r="C236" s="223"/>
      <c r="D236" s="223"/>
      <c r="E236" s="223"/>
      <c r="F236" s="223"/>
      <c r="G236" s="223"/>
      <c r="H236" s="223"/>
      <c r="I236" s="223"/>
      <c r="J236" s="223"/>
      <c r="K236" s="223"/>
      <c r="L236" s="223"/>
      <c r="M236" s="223"/>
      <c r="N236" s="223"/>
      <c r="O236" s="223"/>
      <c r="P236" s="223"/>
      <c r="Q236" s="223"/>
      <c r="R236" s="223"/>
      <c r="S236" s="223"/>
      <c r="T236" s="223"/>
      <c r="U236" s="223"/>
      <c r="V236" s="223"/>
      <c r="W236" s="223"/>
      <c r="X236" s="223"/>
      <c r="Y236" s="223"/>
      <c r="Z236" s="223"/>
      <c r="AA236" s="223"/>
      <c r="AB236" s="223"/>
      <c r="AC236" s="223"/>
      <c r="AD236" s="223"/>
      <c r="AE236" s="223"/>
      <c r="AF236" s="223"/>
      <c r="AG236" s="223"/>
      <c r="AH236" s="223"/>
      <c r="AI236" s="223"/>
      <c r="AJ236" s="223"/>
      <c r="AK236" s="223"/>
      <c r="AL236" s="223"/>
      <c r="AM236" s="223"/>
      <c r="AN236" s="223"/>
      <c r="AO236" s="223"/>
      <c r="AP236" s="223"/>
      <c r="AQ236" s="223"/>
      <c r="AR236" s="223"/>
      <c r="AS236" s="223"/>
      <c r="AT236" s="223"/>
      <c r="AU236" s="223"/>
      <c r="AV236" s="223"/>
      <c r="AW236" s="223"/>
      <c r="AX236" s="223"/>
      <c r="AY236" s="223"/>
      <c r="AZ236" s="223"/>
      <c r="BA236" s="223"/>
      <c r="BB236" s="223"/>
      <c r="BC236" s="223"/>
      <c r="BD236" s="223"/>
      <c r="BE236" s="223"/>
      <c r="BF236" s="223"/>
      <c r="BG236" s="223"/>
      <c r="BH236" s="223"/>
      <c r="BI236" s="223"/>
    </row>
    <row r="237" spans="1:61" ht="7.4" customHeight="1" x14ac:dyDescent="0.5">
      <c r="A237" s="223"/>
      <c r="B237" s="223"/>
      <c r="C237" s="223"/>
      <c r="D237" s="223"/>
      <c r="E237" s="223"/>
      <c r="F237" s="223"/>
      <c r="G237" s="223"/>
      <c r="H237" s="223"/>
      <c r="I237" s="223"/>
      <c r="J237" s="223"/>
      <c r="K237" s="223"/>
      <c r="L237" s="223"/>
      <c r="M237" s="223"/>
      <c r="N237" s="223"/>
      <c r="O237" s="223"/>
      <c r="P237" s="223"/>
      <c r="Q237" s="223"/>
      <c r="R237" s="223"/>
      <c r="S237" s="223"/>
      <c r="T237" s="223"/>
      <c r="U237" s="223"/>
      <c r="V237" s="223"/>
      <c r="W237" s="223"/>
      <c r="X237" s="223"/>
      <c r="Y237" s="223"/>
      <c r="Z237" s="223"/>
      <c r="AA237" s="223"/>
      <c r="AB237" s="223"/>
      <c r="AC237" s="223"/>
      <c r="AD237" s="223"/>
      <c r="AE237" s="223"/>
      <c r="AF237" s="223"/>
      <c r="AG237" s="223"/>
      <c r="AH237" s="223"/>
      <c r="AI237" s="223"/>
      <c r="AJ237" s="223"/>
      <c r="AK237" s="223"/>
      <c r="AL237" s="223"/>
      <c r="AM237" s="223"/>
      <c r="AN237" s="223"/>
      <c r="AO237" s="223"/>
      <c r="AP237" s="223"/>
      <c r="AQ237" s="223"/>
      <c r="AR237" s="223"/>
      <c r="AS237" s="223"/>
      <c r="AT237" s="223"/>
      <c r="AU237" s="223"/>
      <c r="AV237" s="223"/>
      <c r="AW237" s="223"/>
      <c r="AX237" s="223"/>
      <c r="AY237" s="223"/>
      <c r="AZ237" s="223"/>
      <c r="BA237" s="223"/>
      <c r="BB237" s="223"/>
      <c r="BC237" s="223"/>
      <c r="BD237" s="223"/>
      <c r="BE237" s="223"/>
      <c r="BF237" s="223"/>
      <c r="BG237" s="223"/>
      <c r="BH237" s="223"/>
      <c r="BI237" s="223"/>
    </row>
    <row r="238" spans="1:61" ht="7.4" customHeight="1" x14ac:dyDescent="0.5">
      <c r="A238" s="223"/>
      <c r="B238" s="223"/>
      <c r="C238" s="223"/>
      <c r="D238" s="223"/>
      <c r="E238" s="223"/>
      <c r="F238" s="223"/>
      <c r="G238" s="223"/>
      <c r="H238" s="223"/>
      <c r="I238" s="223"/>
      <c r="J238" s="223"/>
      <c r="K238" s="223"/>
      <c r="L238" s="223"/>
      <c r="M238" s="223"/>
      <c r="N238" s="223"/>
      <c r="O238" s="223"/>
      <c r="P238" s="223"/>
      <c r="Q238" s="223"/>
      <c r="R238" s="223"/>
      <c r="S238" s="223"/>
      <c r="T238" s="223"/>
      <c r="U238" s="223"/>
      <c r="V238" s="223"/>
      <c r="W238" s="223"/>
      <c r="X238" s="223"/>
      <c r="Y238" s="223"/>
      <c r="Z238" s="223"/>
      <c r="AA238" s="223"/>
      <c r="AB238" s="223"/>
      <c r="AC238" s="223"/>
      <c r="AD238" s="223"/>
      <c r="AE238" s="223"/>
      <c r="AF238" s="223"/>
      <c r="AG238" s="223"/>
      <c r="AH238" s="223"/>
      <c r="AI238" s="223"/>
      <c r="AJ238" s="223"/>
      <c r="AK238" s="223"/>
      <c r="AL238" s="223"/>
      <c r="AM238" s="223"/>
      <c r="AN238" s="223"/>
      <c r="AO238" s="223"/>
      <c r="AP238" s="223"/>
      <c r="AQ238" s="223"/>
      <c r="AR238" s="223"/>
      <c r="AS238" s="223"/>
      <c r="AT238" s="223"/>
      <c r="AU238" s="223"/>
      <c r="AV238" s="223"/>
      <c r="AW238" s="223"/>
      <c r="AX238" s="223"/>
      <c r="AY238" s="223"/>
      <c r="AZ238" s="223"/>
      <c r="BA238" s="223"/>
      <c r="BB238" s="223"/>
      <c r="BC238" s="223"/>
      <c r="BD238" s="223"/>
      <c r="BE238" s="223"/>
      <c r="BF238" s="223"/>
      <c r="BG238" s="223"/>
      <c r="BH238" s="223"/>
      <c r="BI238" s="223"/>
    </row>
    <row r="239" spans="1:61" ht="7.4" customHeight="1" x14ac:dyDescent="0.5">
      <c r="A239" s="223"/>
      <c r="B239" s="223"/>
      <c r="C239" s="223"/>
      <c r="D239" s="223"/>
      <c r="E239" s="223"/>
      <c r="F239" s="223"/>
      <c r="G239" s="223"/>
      <c r="H239" s="223"/>
      <c r="I239" s="223"/>
      <c r="J239" s="223"/>
      <c r="K239" s="223"/>
      <c r="L239" s="223"/>
      <c r="M239" s="223"/>
      <c r="N239" s="223"/>
      <c r="O239" s="223"/>
      <c r="P239" s="223"/>
      <c r="Q239" s="223"/>
      <c r="R239" s="223"/>
      <c r="S239" s="223"/>
      <c r="T239" s="223"/>
      <c r="U239" s="223"/>
      <c r="V239" s="223"/>
      <c r="W239" s="223"/>
      <c r="X239" s="223"/>
      <c r="Y239" s="223"/>
      <c r="Z239" s="223"/>
      <c r="AA239" s="223"/>
      <c r="AB239" s="223"/>
      <c r="AC239" s="223"/>
      <c r="AD239" s="223"/>
      <c r="AE239" s="223"/>
      <c r="AF239" s="223"/>
      <c r="AG239" s="223"/>
      <c r="AH239" s="223"/>
      <c r="AI239" s="223"/>
      <c r="AJ239" s="223"/>
      <c r="AK239" s="223"/>
      <c r="AL239" s="223"/>
      <c r="AM239" s="223"/>
      <c r="AN239" s="223"/>
      <c r="AO239" s="223"/>
      <c r="AP239" s="223"/>
      <c r="AQ239" s="223"/>
      <c r="AR239" s="223"/>
      <c r="AS239" s="223"/>
      <c r="AT239" s="223"/>
      <c r="AU239" s="223"/>
      <c r="AV239" s="223"/>
      <c r="AW239" s="223"/>
      <c r="AX239" s="223"/>
      <c r="AY239" s="223"/>
      <c r="AZ239" s="223"/>
      <c r="BA239" s="223"/>
      <c r="BB239" s="223"/>
      <c r="BC239" s="223"/>
      <c r="BD239" s="223"/>
      <c r="BE239" s="223"/>
      <c r="BF239" s="223"/>
      <c r="BG239" s="223"/>
      <c r="BH239" s="223"/>
      <c r="BI239" s="223"/>
    </row>
    <row r="240" spans="1:61" ht="7.4" customHeight="1" x14ac:dyDescent="0.5">
      <c r="A240" s="223"/>
      <c r="B240" s="223"/>
      <c r="C240" s="223"/>
      <c r="D240" s="223"/>
      <c r="E240" s="223"/>
      <c r="F240" s="223"/>
      <c r="G240" s="223"/>
      <c r="H240" s="223"/>
      <c r="I240" s="223"/>
      <c r="J240" s="223"/>
      <c r="K240" s="223"/>
      <c r="L240" s="223"/>
      <c r="M240" s="223"/>
      <c r="N240" s="223"/>
      <c r="O240" s="223"/>
      <c r="P240" s="223"/>
      <c r="Q240" s="223"/>
      <c r="R240" s="223"/>
      <c r="S240" s="223"/>
      <c r="T240" s="223"/>
      <c r="U240" s="223"/>
      <c r="V240" s="223"/>
      <c r="W240" s="223"/>
      <c r="X240" s="223"/>
      <c r="Y240" s="223"/>
      <c r="Z240" s="223"/>
      <c r="AA240" s="223"/>
      <c r="AB240" s="223"/>
      <c r="AC240" s="223"/>
      <c r="AD240" s="223"/>
      <c r="AE240" s="223"/>
      <c r="AF240" s="223"/>
      <c r="AG240" s="223"/>
      <c r="AH240" s="223"/>
      <c r="AI240" s="223"/>
      <c r="AJ240" s="223"/>
      <c r="AK240" s="223"/>
      <c r="AL240" s="223"/>
      <c r="AM240" s="223"/>
      <c r="AN240" s="223"/>
      <c r="AO240" s="223"/>
      <c r="AP240" s="223"/>
      <c r="AQ240" s="223"/>
      <c r="AR240" s="223"/>
      <c r="AS240" s="223"/>
      <c r="AT240" s="223"/>
      <c r="AU240" s="223"/>
      <c r="AV240" s="223"/>
      <c r="AW240" s="223"/>
      <c r="AX240" s="223"/>
      <c r="AY240" s="223"/>
      <c r="AZ240" s="223"/>
      <c r="BA240" s="223"/>
      <c r="BB240" s="223"/>
      <c r="BC240" s="223"/>
      <c r="BD240" s="223"/>
      <c r="BE240" s="223"/>
      <c r="BF240" s="223"/>
      <c r="BG240" s="223"/>
      <c r="BH240" s="223"/>
      <c r="BI240" s="223"/>
    </row>
    <row r="241" spans="1:61" ht="7.4" customHeight="1" x14ac:dyDescent="0.5">
      <c r="A241" s="223"/>
      <c r="B241" s="223"/>
      <c r="C241" s="223"/>
      <c r="D241" s="223"/>
      <c r="E241" s="223"/>
      <c r="F241" s="223"/>
      <c r="G241" s="223"/>
      <c r="H241" s="223"/>
      <c r="I241" s="223"/>
      <c r="J241" s="223"/>
      <c r="K241" s="223"/>
      <c r="L241" s="223"/>
      <c r="M241" s="223"/>
      <c r="N241" s="223"/>
      <c r="O241" s="223"/>
      <c r="P241" s="223"/>
      <c r="Q241" s="223"/>
      <c r="R241" s="223"/>
      <c r="S241" s="223"/>
      <c r="T241" s="223"/>
      <c r="U241" s="223"/>
      <c r="V241" s="223"/>
      <c r="W241" s="223"/>
      <c r="X241" s="223"/>
      <c r="Y241" s="223"/>
      <c r="Z241" s="223"/>
      <c r="AA241" s="223"/>
      <c r="AB241" s="223"/>
      <c r="AC241" s="223"/>
      <c r="AD241" s="223"/>
      <c r="AE241" s="223"/>
      <c r="AF241" s="223"/>
      <c r="AG241" s="223"/>
      <c r="AH241" s="223"/>
      <c r="AI241" s="223"/>
      <c r="AJ241" s="223"/>
      <c r="AK241" s="223"/>
      <c r="AL241" s="223"/>
      <c r="AM241" s="223"/>
      <c r="AN241" s="223"/>
      <c r="AO241" s="223"/>
      <c r="AP241" s="223"/>
      <c r="AQ241" s="223"/>
      <c r="AR241" s="223"/>
      <c r="AS241" s="223"/>
      <c r="AT241" s="223"/>
      <c r="AU241" s="223"/>
      <c r="AV241" s="223"/>
      <c r="AW241" s="223"/>
      <c r="AX241" s="223"/>
      <c r="AY241" s="223"/>
      <c r="AZ241" s="223"/>
      <c r="BA241" s="223"/>
      <c r="BB241" s="223"/>
      <c r="BC241" s="223"/>
      <c r="BD241" s="223"/>
      <c r="BE241" s="223"/>
      <c r="BF241" s="223"/>
      <c r="BG241" s="223"/>
      <c r="BH241" s="223"/>
      <c r="BI241" s="223"/>
    </row>
    <row r="242" spans="1:61" ht="7.4" customHeight="1" x14ac:dyDescent="0.5">
      <c r="A242" s="223"/>
      <c r="B242" s="223"/>
      <c r="C242" s="223"/>
      <c r="D242" s="223"/>
      <c r="E242" s="223"/>
      <c r="F242" s="223"/>
      <c r="G242" s="223"/>
      <c r="H242" s="223"/>
      <c r="I242" s="223"/>
      <c r="J242" s="223"/>
      <c r="K242" s="223"/>
      <c r="L242" s="223"/>
      <c r="M242" s="223"/>
      <c r="N242" s="223"/>
      <c r="O242" s="223"/>
      <c r="P242" s="223"/>
      <c r="Q242" s="223"/>
      <c r="R242" s="223"/>
      <c r="S242" s="223"/>
      <c r="T242" s="223"/>
      <c r="U242" s="223"/>
      <c r="V242" s="223"/>
      <c r="W242" s="223"/>
      <c r="X242" s="223"/>
      <c r="Y242" s="223"/>
      <c r="Z242" s="223"/>
      <c r="AA242" s="223"/>
      <c r="AB242" s="223"/>
      <c r="AC242" s="223"/>
      <c r="AD242" s="223"/>
      <c r="AE242" s="223"/>
      <c r="AF242" s="223"/>
      <c r="AG242" s="223"/>
      <c r="AH242" s="223"/>
      <c r="AI242" s="223"/>
      <c r="AJ242" s="223"/>
      <c r="AK242" s="223"/>
      <c r="AL242" s="223"/>
      <c r="AM242" s="223"/>
      <c r="AN242" s="223"/>
      <c r="AO242" s="223"/>
      <c r="AP242" s="223"/>
      <c r="AQ242" s="223"/>
      <c r="AR242" s="223"/>
      <c r="AS242" s="223"/>
      <c r="AT242" s="223"/>
      <c r="AU242" s="223"/>
      <c r="AV242" s="223"/>
      <c r="AW242" s="223"/>
      <c r="AX242" s="223"/>
      <c r="AY242" s="223"/>
      <c r="AZ242" s="223"/>
      <c r="BA242" s="223"/>
      <c r="BB242" s="223"/>
      <c r="BC242" s="223"/>
      <c r="BD242" s="223"/>
      <c r="BE242" s="223"/>
      <c r="BF242" s="223"/>
      <c r="BG242" s="223"/>
      <c r="BH242" s="223"/>
      <c r="BI242" s="223"/>
    </row>
    <row r="243" spans="1:61" ht="7.4" customHeight="1" x14ac:dyDescent="0.5">
      <c r="A243" s="223"/>
      <c r="B243" s="223"/>
      <c r="C243" s="223"/>
      <c r="D243" s="223"/>
      <c r="E243" s="223"/>
      <c r="F243" s="223"/>
      <c r="G243" s="223"/>
      <c r="H243" s="223"/>
      <c r="I243" s="223"/>
      <c r="J243" s="223"/>
      <c r="K243" s="223"/>
      <c r="L243" s="223"/>
      <c r="M243" s="223"/>
      <c r="N243" s="223"/>
      <c r="O243" s="223"/>
      <c r="P243" s="223"/>
      <c r="Q243" s="223"/>
      <c r="R243" s="223"/>
      <c r="S243" s="223"/>
      <c r="T243" s="223"/>
      <c r="U243" s="223"/>
      <c r="V243" s="223"/>
      <c r="W243" s="223"/>
      <c r="X243" s="223"/>
      <c r="Y243" s="223"/>
      <c r="Z243" s="223"/>
      <c r="AA243" s="223"/>
      <c r="AB243" s="223"/>
      <c r="AC243" s="223"/>
      <c r="AD243" s="223"/>
      <c r="AE243" s="223"/>
      <c r="AF243" s="223"/>
      <c r="AG243" s="223"/>
      <c r="AH243" s="223"/>
      <c r="AI243" s="223"/>
      <c r="AJ243" s="223"/>
      <c r="AK243" s="223"/>
      <c r="AL243" s="223"/>
      <c r="AM243" s="223"/>
      <c r="AN243" s="223"/>
      <c r="AO243" s="223"/>
      <c r="AP243" s="223"/>
      <c r="AQ243" s="223"/>
      <c r="AR243" s="223"/>
      <c r="AS243" s="223"/>
      <c r="AT243" s="223"/>
      <c r="AU243" s="223"/>
      <c r="AV243" s="223"/>
      <c r="AW243" s="223"/>
      <c r="AX243" s="223"/>
      <c r="AY243" s="223"/>
      <c r="AZ243" s="223"/>
      <c r="BA243" s="223"/>
      <c r="BB243" s="223"/>
      <c r="BC243" s="223"/>
      <c r="BD243" s="223"/>
      <c r="BE243" s="223"/>
      <c r="BF243" s="223"/>
      <c r="BG243" s="223"/>
      <c r="BH243" s="223"/>
      <c r="BI243" s="223"/>
    </row>
    <row r="244" spans="1:61" ht="7.4" customHeight="1" x14ac:dyDescent="0.5">
      <c r="A244" s="223"/>
      <c r="B244" s="223"/>
      <c r="C244" s="223"/>
      <c r="D244" s="223"/>
      <c r="E244" s="223"/>
      <c r="F244" s="223"/>
      <c r="G244" s="223"/>
      <c r="H244" s="223"/>
      <c r="I244" s="223"/>
      <c r="J244" s="223"/>
      <c r="K244" s="223"/>
      <c r="L244" s="223"/>
      <c r="M244" s="223"/>
      <c r="N244" s="223"/>
      <c r="O244" s="223"/>
      <c r="P244" s="223"/>
      <c r="Q244" s="223"/>
      <c r="R244" s="223"/>
      <c r="S244" s="223"/>
      <c r="T244" s="223"/>
      <c r="U244" s="223"/>
      <c r="V244" s="223"/>
      <c r="W244" s="223"/>
      <c r="X244" s="223"/>
      <c r="Y244" s="223"/>
      <c r="Z244" s="223"/>
      <c r="AA244" s="223"/>
      <c r="AB244" s="223"/>
      <c r="AC244" s="223"/>
      <c r="AD244" s="223"/>
      <c r="AE244" s="223"/>
      <c r="AF244" s="223"/>
      <c r="AG244" s="223"/>
      <c r="AH244" s="223"/>
      <c r="AI244" s="223"/>
      <c r="AJ244" s="223"/>
      <c r="AK244" s="223"/>
      <c r="AL244" s="223"/>
      <c r="AM244" s="223"/>
      <c r="AN244" s="223"/>
      <c r="AO244" s="223"/>
      <c r="AP244" s="223"/>
      <c r="AQ244" s="223"/>
      <c r="AR244" s="223"/>
      <c r="AS244" s="223"/>
      <c r="AT244" s="223"/>
      <c r="AU244" s="223"/>
      <c r="AV244" s="223"/>
      <c r="AW244" s="223"/>
      <c r="AX244" s="223"/>
      <c r="AY244" s="223"/>
      <c r="AZ244" s="223"/>
      <c r="BA244" s="223"/>
      <c r="BB244" s="223"/>
      <c r="BC244" s="223"/>
      <c r="BD244" s="223"/>
      <c r="BE244" s="223"/>
      <c r="BF244" s="223"/>
      <c r="BG244" s="223"/>
      <c r="BH244" s="223"/>
      <c r="BI244" s="223"/>
    </row>
    <row r="245" spans="1:61" ht="7.4" customHeight="1" x14ac:dyDescent="0.5">
      <c r="A245" s="223"/>
      <c r="B245" s="223"/>
      <c r="C245" s="223"/>
      <c r="D245" s="223"/>
      <c r="E245" s="223"/>
      <c r="F245" s="223"/>
      <c r="G245" s="223"/>
      <c r="H245" s="223"/>
      <c r="I245" s="223"/>
      <c r="J245" s="223"/>
      <c r="K245" s="223"/>
      <c r="L245" s="223"/>
      <c r="M245" s="223"/>
      <c r="N245" s="223"/>
      <c r="O245" s="223"/>
      <c r="P245" s="223"/>
      <c r="Q245" s="223"/>
      <c r="R245" s="223"/>
      <c r="S245" s="223"/>
      <c r="T245" s="223"/>
      <c r="U245" s="223"/>
      <c r="V245" s="223"/>
      <c r="W245" s="223"/>
      <c r="X245" s="223"/>
      <c r="Y245" s="223"/>
      <c r="Z245" s="223"/>
      <c r="AA245" s="223"/>
      <c r="AB245" s="223"/>
      <c r="AC245" s="223"/>
      <c r="AD245" s="223"/>
      <c r="AE245" s="223"/>
      <c r="AF245" s="223"/>
      <c r="AG245" s="223"/>
      <c r="AH245" s="223"/>
      <c r="AI245" s="223"/>
      <c r="AJ245" s="223"/>
      <c r="AK245" s="223"/>
      <c r="AL245" s="223"/>
      <c r="AM245" s="223"/>
      <c r="AN245" s="223"/>
      <c r="AO245" s="223"/>
      <c r="AP245" s="223"/>
      <c r="AQ245" s="223"/>
      <c r="AR245" s="223"/>
      <c r="AS245" s="223"/>
      <c r="AT245" s="223"/>
      <c r="AU245" s="223"/>
      <c r="AV245" s="223"/>
      <c r="AW245" s="223"/>
      <c r="AX245" s="223"/>
      <c r="AY245" s="223"/>
      <c r="AZ245" s="223"/>
      <c r="BA245" s="223"/>
      <c r="BB245" s="223"/>
      <c r="BC245" s="223"/>
      <c r="BD245" s="223"/>
      <c r="BE245" s="223"/>
      <c r="BF245" s="223"/>
      <c r="BG245" s="223"/>
      <c r="BH245" s="223"/>
      <c r="BI245" s="223"/>
    </row>
    <row r="246" spans="1:61" ht="7.4" customHeight="1" x14ac:dyDescent="0.5">
      <c r="A246" s="223"/>
      <c r="B246" s="223"/>
      <c r="C246" s="223"/>
      <c r="D246" s="223"/>
      <c r="E246" s="223"/>
      <c r="F246" s="223"/>
      <c r="G246" s="223"/>
      <c r="H246" s="223"/>
      <c r="I246" s="223"/>
      <c r="J246" s="223"/>
      <c r="K246" s="223"/>
      <c r="L246" s="223"/>
      <c r="M246" s="223"/>
      <c r="N246" s="223"/>
      <c r="O246" s="223"/>
      <c r="P246" s="223"/>
      <c r="Q246" s="223"/>
      <c r="R246" s="223"/>
      <c r="S246" s="223"/>
      <c r="T246" s="223"/>
      <c r="U246" s="223"/>
      <c r="V246" s="223"/>
      <c r="W246" s="223"/>
      <c r="X246" s="223"/>
      <c r="Y246" s="223"/>
      <c r="Z246" s="223"/>
      <c r="AA246" s="223"/>
      <c r="AB246" s="223"/>
      <c r="AC246" s="223"/>
      <c r="AD246" s="223"/>
      <c r="AE246" s="223"/>
      <c r="AF246" s="223"/>
      <c r="AG246" s="223"/>
      <c r="AH246" s="223"/>
      <c r="AI246" s="223"/>
      <c r="AJ246" s="223"/>
      <c r="AK246" s="223"/>
      <c r="AL246" s="223"/>
      <c r="AM246" s="223"/>
      <c r="AN246" s="223"/>
      <c r="AO246" s="223"/>
      <c r="AP246" s="223"/>
      <c r="AQ246" s="223"/>
      <c r="AR246" s="223"/>
      <c r="AS246" s="223"/>
      <c r="AT246" s="223"/>
      <c r="AU246" s="223"/>
      <c r="AV246" s="223"/>
      <c r="AW246" s="223"/>
      <c r="AX246" s="223"/>
      <c r="AY246" s="223"/>
      <c r="AZ246" s="223"/>
      <c r="BA246" s="223"/>
      <c r="BB246" s="223"/>
      <c r="BC246" s="223"/>
      <c r="BD246" s="223"/>
      <c r="BE246" s="223"/>
      <c r="BF246" s="223"/>
      <c r="BG246" s="223"/>
      <c r="BH246" s="223"/>
      <c r="BI246" s="223"/>
    </row>
    <row r="247" spans="1:61" ht="7.4" customHeight="1" x14ac:dyDescent="0.5">
      <c r="A247" s="223"/>
      <c r="B247" s="223"/>
      <c r="C247" s="223"/>
      <c r="D247" s="223"/>
      <c r="E247" s="223"/>
      <c r="F247" s="223"/>
      <c r="G247" s="223"/>
      <c r="H247" s="223"/>
      <c r="I247" s="223"/>
      <c r="J247" s="223"/>
      <c r="K247" s="223"/>
      <c r="L247" s="223"/>
      <c r="M247" s="223"/>
      <c r="N247" s="223"/>
      <c r="O247" s="223"/>
      <c r="P247" s="223"/>
      <c r="Q247" s="223"/>
      <c r="R247" s="223"/>
      <c r="S247" s="223"/>
      <c r="T247" s="223"/>
      <c r="U247" s="223"/>
      <c r="V247" s="223"/>
      <c r="W247" s="223"/>
      <c r="X247" s="223"/>
      <c r="Y247" s="223"/>
      <c r="Z247" s="223"/>
      <c r="AA247" s="223"/>
      <c r="AB247" s="223"/>
      <c r="AC247" s="223"/>
      <c r="AD247" s="223"/>
      <c r="AE247" s="223"/>
      <c r="AF247" s="223"/>
      <c r="AG247" s="223"/>
      <c r="AH247" s="223"/>
      <c r="AI247" s="223"/>
      <c r="AJ247" s="223"/>
      <c r="AK247" s="223"/>
      <c r="AL247" s="223"/>
      <c r="AM247" s="223"/>
      <c r="AN247" s="223"/>
      <c r="AO247" s="223"/>
      <c r="AP247" s="223"/>
      <c r="AQ247" s="223"/>
      <c r="AR247" s="223"/>
      <c r="AS247" s="223"/>
      <c r="AT247" s="223"/>
      <c r="AU247" s="223"/>
      <c r="AV247" s="223"/>
      <c r="AW247" s="223"/>
      <c r="AX247" s="223"/>
      <c r="AY247" s="223"/>
      <c r="AZ247" s="223"/>
      <c r="BA247" s="223"/>
      <c r="BB247" s="223"/>
      <c r="BC247" s="223"/>
      <c r="BD247" s="223"/>
      <c r="BE247" s="223"/>
      <c r="BF247" s="223"/>
      <c r="BG247" s="223"/>
      <c r="BH247" s="223"/>
      <c r="BI247" s="223"/>
    </row>
    <row r="248" spans="1:61" ht="7.4" customHeight="1" x14ac:dyDescent="0.5">
      <c r="A248" s="223"/>
      <c r="B248" s="223"/>
      <c r="C248" s="223"/>
      <c r="D248" s="223"/>
      <c r="E248" s="223"/>
      <c r="F248" s="223"/>
      <c r="G248" s="223"/>
      <c r="H248" s="223"/>
      <c r="I248" s="223"/>
      <c r="J248" s="223"/>
      <c r="K248" s="223"/>
      <c r="L248" s="223"/>
      <c r="M248" s="223"/>
      <c r="N248" s="223"/>
      <c r="O248" s="223"/>
      <c r="P248" s="223"/>
      <c r="Q248" s="223"/>
      <c r="R248" s="223"/>
      <c r="S248" s="223"/>
      <c r="T248" s="223"/>
      <c r="U248" s="223"/>
      <c r="V248" s="223"/>
      <c r="W248" s="223"/>
      <c r="X248" s="223"/>
      <c r="Y248" s="223"/>
      <c r="Z248" s="223"/>
      <c r="AA248" s="223"/>
      <c r="AB248" s="223"/>
      <c r="AC248" s="223"/>
      <c r="AD248" s="223"/>
      <c r="AE248" s="223"/>
      <c r="AF248" s="223"/>
      <c r="AG248" s="223"/>
      <c r="AH248" s="223"/>
      <c r="AI248" s="223"/>
      <c r="AJ248" s="223"/>
      <c r="AK248" s="223"/>
      <c r="AL248" s="223"/>
      <c r="AM248" s="223"/>
      <c r="AN248" s="223"/>
      <c r="AO248" s="223"/>
      <c r="AP248" s="223"/>
      <c r="AQ248" s="223"/>
      <c r="AR248" s="223"/>
      <c r="AS248" s="223"/>
      <c r="AT248" s="223"/>
      <c r="AU248" s="223"/>
      <c r="AV248" s="223"/>
      <c r="AW248" s="223"/>
      <c r="AX248" s="223"/>
      <c r="AY248" s="223"/>
      <c r="AZ248" s="223"/>
      <c r="BA248" s="223"/>
      <c r="BB248" s="223"/>
      <c r="BC248" s="223"/>
      <c r="BD248" s="223"/>
      <c r="BE248" s="223"/>
      <c r="BF248" s="223"/>
      <c r="BG248" s="223"/>
      <c r="BH248" s="223"/>
      <c r="BI248" s="223"/>
    </row>
    <row r="249" spans="1:61" ht="7.4" customHeight="1" x14ac:dyDescent="0.5">
      <c r="A249" s="223"/>
      <c r="B249" s="223"/>
      <c r="C249" s="223"/>
      <c r="D249" s="223"/>
      <c r="E249" s="223"/>
      <c r="F249" s="223"/>
      <c r="G249" s="223"/>
      <c r="H249" s="223"/>
      <c r="I249" s="223"/>
      <c r="J249" s="223"/>
      <c r="K249" s="223"/>
      <c r="L249" s="223"/>
      <c r="M249" s="223"/>
      <c r="N249" s="223"/>
      <c r="O249" s="223"/>
      <c r="P249" s="223"/>
      <c r="Q249" s="223"/>
      <c r="R249" s="223"/>
      <c r="S249" s="223"/>
      <c r="T249" s="223"/>
      <c r="U249" s="223"/>
      <c r="V249" s="223"/>
      <c r="W249" s="223"/>
      <c r="X249" s="223"/>
      <c r="Y249" s="223"/>
      <c r="Z249" s="223"/>
      <c r="AA249" s="223"/>
      <c r="AB249" s="223"/>
      <c r="AC249" s="223"/>
      <c r="AD249" s="223"/>
      <c r="AE249" s="223"/>
      <c r="AF249" s="223"/>
      <c r="AG249" s="223"/>
      <c r="AH249" s="223"/>
      <c r="AI249" s="223"/>
      <c r="AJ249" s="223"/>
      <c r="AK249" s="223"/>
      <c r="AL249" s="223"/>
      <c r="AM249" s="223"/>
      <c r="AN249" s="223"/>
      <c r="AO249" s="223"/>
      <c r="AP249" s="223"/>
      <c r="AQ249" s="223"/>
      <c r="AR249" s="223"/>
      <c r="AS249" s="223"/>
      <c r="AT249" s="223"/>
      <c r="AU249" s="223"/>
      <c r="AV249" s="223"/>
      <c r="AW249" s="223"/>
      <c r="AX249" s="223"/>
      <c r="AY249" s="223"/>
      <c r="AZ249" s="223"/>
      <c r="BA249" s="223"/>
      <c r="BB249" s="223"/>
      <c r="BC249" s="223"/>
      <c r="BD249" s="223"/>
      <c r="BE249" s="223"/>
      <c r="BF249" s="223"/>
      <c r="BG249" s="223"/>
      <c r="BH249" s="223"/>
      <c r="BI249" s="223"/>
    </row>
    <row r="250" spans="1:61" ht="7.4" customHeight="1" x14ac:dyDescent="0.5">
      <c r="A250" s="223"/>
      <c r="B250" s="223"/>
      <c r="C250" s="223"/>
      <c r="D250" s="223"/>
      <c r="E250" s="223"/>
      <c r="F250" s="223"/>
      <c r="G250" s="223"/>
      <c r="H250" s="223"/>
      <c r="I250" s="223"/>
      <c r="J250" s="223"/>
      <c r="K250" s="223"/>
      <c r="L250" s="223"/>
      <c r="M250" s="223"/>
      <c r="N250" s="223"/>
      <c r="O250" s="223"/>
      <c r="P250" s="223"/>
      <c r="Q250" s="223"/>
      <c r="R250" s="223"/>
      <c r="S250" s="223"/>
      <c r="T250" s="223"/>
      <c r="U250" s="223"/>
      <c r="V250" s="223"/>
      <c r="W250" s="223"/>
      <c r="X250" s="223"/>
      <c r="Y250" s="223"/>
      <c r="Z250" s="223"/>
      <c r="AA250" s="223"/>
      <c r="AB250" s="223"/>
      <c r="AC250" s="223"/>
      <c r="AD250" s="223"/>
      <c r="AE250" s="223"/>
      <c r="AF250" s="223"/>
      <c r="AG250" s="223"/>
      <c r="AH250" s="223"/>
      <c r="AI250" s="223"/>
      <c r="AJ250" s="223"/>
      <c r="AK250" s="223"/>
      <c r="AL250" s="223"/>
      <c r="AM250" s="223"/>
      <c r="AN250" s="223"/>
      <c r="AO250" s="223"/>
      <c r="AP250" s="223"/>
      <c r="AQ250" s="223"/>
      <c r="AR250" s="223"/>
      <c r="AS250" s="223"/>
      <c r="AT250" s="223"/>
      <c r="AU250" s="223"/>
      <c r="AV250" s="223"/>
      <c r="AW250" s="223"/>
      <c r="AX250" s="223"/>
      <c r="AY250" s="223"/>
      <c r="AZ250" s="223"/>
      <c r="BA250" s="223"/>
      <c r="BB250" s="223"/>
      <c r="BC250" s="223"/>
      <c r="BD250" s="223"/>
      <c r="BE250" s="223"/>
      <c r="BF250" s="223"/>
      <c r="BG250" s="223"/>
      <c r="BH250" s="223"/>
      <c r="BI250" s="223"/>
    </row>
    <row r="251" spans="1:61" ht="7.4" customHeight="1" x14ac:dyDescent="0.5">
      <c r="A251" s="223"/>
      <c r="B251" s="223"/>
      <c r="C251" s="223"/>
      <c r="D251" s="223"/>
      <c r="E251" s="223"/>
      <c r="F251" s="223"/>
      <c r="G251" s="223"/>
      <c r="H251" s="223"/>
      <c r="I251" s="223"/>
      <c r="J251" s="223"/>
      <c r="K251" s="223"/>
      <c r="L251" s="223"/>
      <c r="M251" s="223"/>
      <c r="N251" s="223"/>
      <c r="O251" s="223"/>
      <c r="P251" s="223"/>
      <c r="Q251" s="223"/>
      <c r="R251" s="223"/>
      <c r="S251" s="223"/>
      <c r="T251" s="223"/>
      <c r="U251" s="223"/>
      <c r="V251" s="223"/>
      <c r="W251" s="223"/>
      <c r="X251" s="223"/>
      <c r="Y251" s="223"/>
      <c r="Z251" s="223"/>
      <c r="AA251" s="223"/>
      <c r="AB251" s="223"/>
      <c r="AC251" s="223"/>
      <c r="AD251" s="223"/>
      <c r="AE251" s="223"/>
      <c r="AF251" s="223"/>
      <c r="AG251" s="223"/>
      <c r="AH251" s="223"/>
      <c r="AI251" s="223"/>
      <c r="AJ251" s="223"/>
      <c r="AK251" s="223"/>
      <c r="AL251" s="223"/>
      <c r="AM251" s="223"/>
      <c r="AN251" s="223"/>
      <c r="AO251" s="223"/>
      <c r="AP251" s="223"/>
      <c r="AQ251" s="223"/>
      <c r="AR251" s="223"/>
      <c r="AS251" s="223"/>
      <c r="AT251" s="223"/>
      <c r="AU251" s="223"/>
      <c r="AV251" s="223"/>
      <c r="AW251" s="223"/>
      <c r="AX251" s="223"/>
      <c r="AY251" s="223"/>
      <c r="AZ251" s="223"/>
      <c r="BA251" s="223"/>
      <c r="BB251" s="223"/>
      <c r="BC251" s="223"/>
      <c r="BD251" s="223"/>
      <c r="BE251" s="223"/>
      <c r="BF251" s="223"/>
      <c r="BG251" s="223"/>
      <c r="BH251" s="223"/>
      <c r="BI251" s="223"/>
    </row>
    <row r="252" spans="1:61" ht="7.4" customHeight="1" x14ac:dyDescent="0.5">
      <c r="A252" s="223"/>
      <c r="B252" s="223"/>
      <c r="C252" s="223"/>
      <c r="D252" s="223"/>
      <c r="E252" s="223"/>
      <c r="F252" s="223"/>
      <c r="G252" s="223"/>
      <c r="H252" s="223"/>
      <c r="I252" s="223"/>
      <c r="J252" s="223"/>
      <c r="K252" s="223"/>
      <c r="L252" s="223"/>
      <c r="M252" s="223"/>
      <c r="N252" s="223"/>
      <c r="O252" s="223"/>
      <c r="P252" s="223"/>
      <c r="Q252" s="223"/>
      <c r="R252" s="223"/>
      <c r="S252" s="223"/>
      <c r="T252" s="223"/>
      <c r="U252" s="223"/>
      <c r="V252" s="223"/>
      <c r="W252" s="223"/>
      <c r="X252" s="223"/>
      <c r="Y252" s="223"/>
      <c r="Z252" s="223"/>
      <c r="AA252" s="223"/>
      <c r="AB252" s="223"/>
      <c r="AC252" s="223"/>
      <c r="AD252" s="223"/>
      <c r="AE252" s="223"/>
      <c r="AF252" s="223"/>
      <c r="AG252" s="223"/>
      <c r="AH252" s="223"/>
      <c r="AI252" s="223"/>
      <c r="AJ252" s="223"/>
      <c r="AK252" s="223"/>
      <c r="AL252" s="223"/>
      <c r="AM252" s="223"/>
      <c r="AN252" s="223"/>
      <c r="AO252" s="223"/>
      <c r="AP252" s="223"/>
      <c r="AQ252" s="223"/>
      <c r="AR252" s="223"/>
      <c r="AS252" s="223"/>
      <c r="AT252" s="223"/>
      <c r="AU252" s="223"/>
      <c r="AV252" s="223"/>
      <c r="AW252" s="223"/>
      <c r="AX252" s="223"/>
      <c r="AY252" s="223"/>
      <c r="AZ252" s="223"/>
      <c r="BA252" s="223"/>
      <c r="BB252" s="223"/>
      <c r="BC252" s="223"/>
      <c r="BD252" s="223"/>
      <c r="BE252" s="223"/>
      <c r="BF252" s="223"/>
      <c r="BG252" s="223"/>
      <c r="BH252" s="223"/>
      <c r="BI252" s="223"/>
    </row>
    <row r="253" spans="1:61" ht="7.4" customHeight="1" x14ac:dyDescent="0.5">
      <c r="A253" s="223"/>
      <c r="B253" s="223"/>
      <c r="C253" s="223"/>
      <c r="D253" s="223"/>
      <c r="E253" s="223"/>
      <c r="F253" s="223"/>
      <c r="G253" s="223"/>
      <c r="H253" s="223"/>
      <c r="I253" s="223"/>
      <c r="J253" s="223"/>
      <c r="K253" s="223"/>
      <c r="L253" s="223"/>
      <c r="M253" s="223"/>
      <c r="N253" s="223"/>
      <c r="O253" s="223"/>
      <c r="P253" s="223"/>
      <c r="Q253" s="223"/>
      <c r="R253" s="223"/>
      <c r="S253" s="223"/>
      <c r="T253" s="223"/>
      <c r="U253" s="223"/>
      <c r="V253" s="223"/>
      <c r="W253" s="223"/>
      <c r="X253" s="223"/>
      <c r="Y253" s="223"/>
      <c r="Z253" s="223"/>
      <c r="AA253" s="223"/>
      <c r="AB253" s="223"/>
      <c r="AC253" s="223"/>
      <c r="AD253" s="223"/>
      <c r="AE253" s="223"/>
      <c r="AF253" s="223"/>
      <c r="AG253" s="223"/>
      <c r="AH253" s="223"/>
      <c r="AI253" s="223"/>
      <c r="AJ253" s="223"/>
      <c r="AK253" s="223"/>
      <c r="AL253" s="223"/>
      <c r="AM253" s="223"/>
      <c r="AN253" s="223"/>
      <c r="AO253" s="223"/>
      <c r="AP253" s="223"/>
      <c r="AQ253" s="223"/>
      <c r="AR253" s="223"/>
      <c r="AS253" s="223"/>
      <c r="AT253" s="223"/>
      <c r="AU253" s="223"/>
      <c r="AV253" s="223"/>
      <c r="AW253" s="223"/>
      <c r="AX253" s="223"/>
      <c r="AY253" s="223"/>
      <c r="AZ253" s="223"/>
      <c r="BA253" s="223"/>
      <c r="BB253" s="223"/>
      <c r="BC253" s="223"/>
      <c r="BD253" s="223"/>
      <c r="BE253" s="223"/>
      <c r="BF253" s="223"/>
      <c r="BG253" s="223"/>
      <c r="BH253" s="223"/>
      <c r="BI253" s="223"/>
    </row>
    <row r="254" spans="1:61" ht="7.4" customHeight="1" x14ac:dyDescent="0.5">
      <c r="A254" s="223"/>
      <c r="B254" s="223"/>
      <c r="C254" s="223"/>
      <c r="D254" s="223"/>
      <c r="E254" s="223"/>
      <c r="F254" s="223"/>
      <c r="G254" s="223"/>
      <c r="H254" s="223"/>
      <c r="I254" s="223"/>
      <c r="J254" s="223"/>
      <c r="K254" s="223"/>
      <c r="L254" s="223"/>
      <c r="M254" s="223"/>
      <c r="N254" s="223"/>
      <c r="O254" s="223"/>
      <c r="P254" s="223"/>
      <c r="Q254" s="223"/>
      <c r="R254" s="223"/>
      <c r="S254" s="223"/>
      <c r="T254" s="223"/>
      <c r="U254" s="223"/>
      <c r="V254" s="223"/>
      <c r="W254" s="223"/>
      <c r="X254" s="223"/>
      <c r="Y254" s="223"/>
      <c r="Z254" s="223"/>
      <c r="AA254" s="223"/>
      <c r="AB254" s="223"/>
      <c r="AC254" s="223"/>
      <c r="AD254" s="223"/>
      <c r="AE254" s="223"/>
      <c r="AF254" s="223"/>
      <c r="AG254" s="223"/>
      <c r="AH254" s="223"/>
      <c r="AI254" s="223"/>
      <c r="AJ254" s="223"/>
      <c r="AK254" s="223"/>
      <c r="AL254" s="223"/>
      <c r="AM254" s="223"/>
      <c r="AN254" s="223"/>
      <c r="AO254" s="223"/>
      <c r="AP254" s="223"/>
      <c r="AQ254" s="223"/>
      <c r="AR254" s="223"/>
      <c r="AS254" s="223"/>
      <c r="AT254" s="223"/>
      <c r="AU254" s="223"/>
      <c r="AV254" s="223"/>
      <c r="AW254" s="223"/>
      <c r="AX254" s="223"/>
      <c r="AY254" s="223"/>
      <c r="AZ254" s="223"/>
      <c r="BA254" s="223"/>
      <c r="BB254" s="223"/>
      <c r="BC254" s="223"/>
      <c r="BD254" s="223"/>
      <c r="BE254" s="223"/>
      <c r="BF254" s="223"/>
      <c r="BG254" s="223"/>
      <c r="BH254" s="223"/>
      <c r="BI254" s="223"/>
    </row>
    <row r="255" spans="1:61" ht="7.4" customHeight="1" x14ac:dyDescent="0.5">
      <c r="A255" s="223"/>
      <c r="B255" s="223"/>
      <c r="C255" s="223"/>
      <c r="D255" s="223"/>
      <c r="E255" s="223"/>
      <c r="F255" s="223"/>
      <c r="G255" s="223"/>
      <c r="H255" s="223"/>
      <c r="I255" s="223"/>
      <c r="J255" s="223"/>
      <c r="K255" s="223"/>
      <c r="L255" s="223"/>
      <c r="M255" s="223"/>
      <c r="N255" s="223"/>
      <c r="O255" s="223"/>
      <c r="P255" s="223"/>
      <c r="Q255" s="223"/>
      <c r="R255" s="223"/>
      <c r="S255" s="223"/>
      <c r="T255" s="223"/>
      <c r="U255" s="223"/>
      <c r="V255" s="223"/>
      <c r="W255" s="223"/>
      <c r="X255" s="223"/>
      <c r="Y255" s="223"/>
      <c r="Z255" s="223"/>
      <c r="AA255" s="223"/>
      <c r="AB255" s="223"/>
      <c r="AC255" s="223"/>
      <c r="AD255" s="223"/>
      <c r="AE255" s="223"/>
      <c r="AF255" s="223"/>
      <c r="AG255" s="223"/>
      <c r="AH255" s="223"/>
      <c r="AI255" s="223"/>
      <c r="AJ255" s="223"/>
      <c r="AK255" s="223"/>
      <c r="AL255" s="223"/>
      <c r="AM255" s="223"/>
      <c r="AN255" s="223"/>
      <c r="AO255" s="223"/>
      <c r="AP255" s="223"/>
      <c r="AQ255" s="223"/>
      <c r="AR255" s="223"/>
      <c r="AS255" s="223"/>
      <c r="AT255" s="223"/>
      <c r="AU255" s="223"/>
      <c r="AV255" s="223"/>
      <c r="AW255" s="223"/>
      <c r="AX255" s="223"/>
      <c r="AY255" s="223"/>
      <c r="AZ255" s="223"/>
      <c r="BA255" s="223"/>
      <c r="BB255" s="223"/>
      <c r="BC255" s="223"/>
      <c r="BD255" s="223"/>
      <c r="BE255" s="223"/>
      <c r="BF255" s="223"/>
      <c r="BG255" s="223"/>
      <c r="BH255" s="223"/>
      <c r="BI255" s="223"/>
    </row>
    <row r="256" spans="1:61" ht="7.4" customHeight="1" x14ac:dyDescent="0.5">
      <c r="A256" s="223"/>
      <c r="B256" s="223"/>
      <c r="C256" s="223"/>
      <c r="D256" s="223"/>
      <c r="E256" s="223"/>
      <c r="F256" s="223"/>
      <c r="G256" s="223"/>
      <c r="H256" s="223"/>
      <c r="I256" s="223"/>
      <c r="J256" s="223"/>
      <c r="K256" s="223"/>
      <c r="L256" s="223"/>
      <c r="M256" s="223"/>
      <c r="N256" s="223"/>
      <c r="O256" s="223"/>
      <c r="P256" s="223"/>
      <c r="Q256" s="223"/>
      <c r="R256" s="223"/>
      <c r="S256" s="223"/>
      <c r="T256" s="223"/>
      <c r="U256" s="223"/>
      <c r="V256" s="223"/>
      <c r="W256" s="223"/>
      <c r="X256" s="223"/>
      <c r="Y256" s="223"/>
      <c r="Z256" s="223"/>
      <c r="AA256" s="223"/>
      <c r="AB256" s="223"/>
      <c r="AC256" s="223"/>
      <c r="AD256" s="223"/>
      <c r="AE256" s="223"/>
      <c r="AF256" s="223"/>
      <c r="AG256" s="223"/>
      <c r="AH256" s="223"/>
      <c r="AI256" s="223"/>
      <c r="AJ256" s="223"/>
      <c r="AK256" s="223"/>
      <c r="AL256" s="223"/>
      <c r="AM256" s="223"/>
      <c r="AN256" s="223"/>
      <c r="AO256" s="223"/>
      <c r="AP256" s="223"/>
      <c r="AQ256" s="223"/>
      <c r="AR256" s="223"/>
      <c r="AS256" s="223"/>
      <c r="AT256" s="223"/>
      <c r="AU256" s="223"/>
      <c r="AV256" s="223"/>
      <c r="AW256" s="223"/>
      <c r="AX256" s="223"/>
      <c r="AY256" s="223"/>
      <c r="AZ256" s="223"/>
      <c r="BA256" s="223"/>
      <c r="BB256" s="223"/>
      <c r="BC256" s="223"/>
      <c r="BD256" s="223"/>
      <c r="BE256" s="223"/>
      <c r="BF256" s="223"/>
      <c r="BG256" s="223"/>
      <c r="BH256" s="223"/>
      <c r="BI256" s="223"/>
    </row>
    <row r="257" spans="1:61" ht="7.4" customHeight="1" x14ac:dyDescent="0.5">
      <c r="A257" s="223"/>
      <c r="B257" s="223"/>
      <c r="C257" s="223"/>
      <c r="D257" s="223"/>
      <c r="E257" s="223"/>
      <c r="F257" s="223"/>
      <c r="G257" s="223"/>
      <c r="H257" s="223"/>
      <c r="I257" s="223"/>
      <c r="J257" s="223"/>
      <c r="K257" s="223"/>
      <c r="L257" s="223"/>
      <c r="M257" s="223"/>
      <c r="N257" s="223"/>
      <c r="O257" s="223"/>
      <c r="P257" s="223"/>
      <c r="Q257" s="223"/>
      <c r="R257" s="223"/>
      <c r="S257" s="223"/>
      <c r="T257" s="223"/>
      <c r="U257" s="223"/>
      <c r="V257" s="223"/>
      <c r="W257" s="223"/>
      <c r="X257" s="223"/>
      <c r="Y257" s="223"/>
      <c r="Z257" s="223"/>
      <c r="AA257" s="223"/>
      <c r="AB257" s="223"/>
      <c r="AC257" s="223"/>
      <c r="AD257" s="223"/>
      <c r="AE257" s="223"/>
      <c r="AF257" s="223"/>
      <c r="AG257" s="223"/>
      <c r="AH257" s="223"/>
      <c r="AI257" s="223"/>
      <c r="AJ257" s="223"/>
      <c r="AK257" s="223"/>
      <c r="AL257" s="223"/>
      <c r="AM257" s="223"/>
      <c r="AN257" s="223"/>
      <c r="AO257" s="223"/>
      <c r="AP257" s="223"/>
      <c r="AQ257" s="223"/>
      <c r="AR257" s="223"/>
      <c r="AS257" s="223"/>
      <c r="AT257" s="223"/>
      <c r="AU257" s="223"/>
      <c r="AV257" s="223"/>
      <c r="AW257" s="223"/>
      <c r="AX257" s="223"/>
      <c r="AY257" s="223"/>
      <c r="AZ257" s="223"/>
      <c r="BA257" s="223"/>
      <c r="BB257" s="223"/>
      <c r="BC257" s="223"/>
      <c r="BD257" s="223"/>
      <c r="BE257" s="223"/>
      <c r="BF257" s="223"/>
      <c r="BG257" s="223"/>
      <c r="BH257" s="223"/>
      <c r="BI257" s="223"/>
    </row>
    <row r="258" spans="1:61" ht="7.4" customHeight="1" x14ac:dyDescent="0.5">
      <c r="A258" s="223"/>
      <c r="B258" s="223"/>
      <c r="C258" s="223"/>
      <c r="D258" s="223"/>
      <c r="E258" s="223"/>
      <c r="F258" s="223"/>
      <c r="G258" s="223"/>
      <c r="H258" s="223"/>
      <c r="I258" s="223"/>
      <c r="J258" s="223"/>
      <c r="K258" s="223"/>
      <c r="L258" s="223"/>
      <c r="M258" s="223"/>
      <c r="N258" s="223"/>
      <c r="O258" s="223"/>
      <c r="P258" s="223"/>
      <c r="Q258" s="223"/>
      <c r="R258" s="223"/>
      <c r="S258" s="223"/>
      <c r="T258" s="223"/>
      <c r="U258" s="223"/>
      <c r="V258" s="223"/>
      <c r="W258" s="223"/>
      <c r="X258" s="223"/>
      <c r="Y258" s="223"/>
      <c r="Z258" s="223"/>
      <c r="AA258" s="223"/>
      <c r="AB258" s="223"/>
      <c r="AC258" s="223"/>
      <c r="AD258" s="223"/>
      <c r="AE258" s="223"/>
      <c r="AF258" s="223"/>
      <c r="AG258" s="223"/>
      <c r="AH258" s="223"/>
      <c r="AI258" s="223"/>
      <c r="AJ258" s="223"/>
      <c r="AK258" s="223"/>
      <c r="AL258" s="223"/>
      <c r="AM258" s="223"/>
      <c r="AN258" s="223"/>
      <c r="AO258" s="223"/>
      <c r="AP258" s="223"/>
      <c r="AQ258" s="223"/>
      <c r="AR258" s="223"/>
      <c r="AS258" s="223"/>
      <c r="AT258" s="223"/>
      <c r="AU258" s="223"/>
      <c r="AV258" s="223"/>
      <c r="AW258" s="223"/>
      <c r="AX258" s="223"/>
      <c r="AY258" s="223"/>
      <c r="AZ258" s="223"/>
      <c r="BA258" s="223"/>
      <c r="BB258" s="223"/>
      <c r="BC258" s="223"/>
      <c r="BD258" s="223"/>
      <c r="BE258" s="223"/>
      <c r="BF258" s="223"/>
      <c r="BG258" s="223"/>
      <c r="BH258" s="223"/>
      <c r="BI258" s="223"/>
    </row>
    <row r="259" spans="1:61" ht="7.4" customHeight="1" x14ac:dyDescent="0.5">
      <c r="A259" s="223"/>
      <c r="B259" s="223"/>
      <c r="C259" s="223"/>
      <c r="D259" s="223"/>
      <c r="E259" s="223"/>
      <c r="F259" s="223"/>
      <c r="G259" s="223"/>
      <c r="H259" s="223"/>
      <c r="I259" s="223"/>
      <c r="J259" s="223"/>
      <c r="K259" s="223"/>
      <c r="L259" s="223"/>
      <c r="M259" s="223"/>
      <c r="N259" s="223"/>
      <c r="O259" s="223"/>
      <c r="P259" s="223"/>
      <c r="Q259" s="223"/>
      <c r="R259" s="223"/>
      <c r="S259" s="223"/>
      <c r="T259" s="223"/>
      <c r="U259" s="223"/>
      <c r="V259" s="223"/>
      <c r="W259" s="223"/>
      <c r="X259" s="223"/>
      <c r="Y259" s="223"/>
      <c r="Z259" s="223"/>
      <c r="AA259" s="223"/>
      <c r="AB259" s="223"/>
      <c r="AC259" s="223"/>
      <c r="AD259" s="223"/>
      <c r="AE259" s="223"/>
      <c r="AF259" s="223"/>
      <c r="AG259" s="223"/>
      <c r="AH259" s="223"/>
      <c r="AI259" s="223"/>
      <c r="AJ259" s="223"/>
      <c r="AK259" s="223"/>
      <c r="AL259" s="223"/>
      <c r="AM259" s="223"/>
      <c r="AN259" s="223"/>
      <c r="AO259" s="223"/>
      <c r="AP259" s="223"/>
      <c r="AQ259" s="223"/>
      <c r="AR259" s="223"/>
      <c r="AS259" s="223"/>
      <c r="AT259" s="223"/>
      <c r="AU259" s="223"/>
      <c r="AV259" s="223"/>
      <c r="AW259" s="223"/>
      <c r="AX259" s="223"/>
      <c r="AY259" s="223"/>
      <c r="AZ259" s="223"/>
      <c r="BA259" s="223"/>
      <c r="BB259" s="223"/>
      <c r="BC259" s="223"/>
      <c r="BD259" s="223"/>
      <c r="BE259" s="223"/>
      <c r="BF259" s="223"/>
      <c r="BG259" s="223"/>
      <c r="BH259" s="223"/>
      <c r="BI259" s="223"/>
    </row>
    <row r="260" spans="1:61" ht="7.4" customHeight="1" x14ac:dyDescent="0.5">
      <c r="A260" s="223"/>
      <c r="B260" s="223"/>
      <c r="C260" s="223"/>
      <c r="D260" s="223"/>
      <c r="E260" s="223"/>
      <c r="F260" s="223"/>
      <c r="G260" s="223"/>
      <c r="H260" s="223"/>
      <c r="I260" s="223"/>
      <c r="J260" s="223"/>
      <c r="K260" s="223"/>
      <c r="L260" s="223"/>
      <c r="M260" s="223"/>
      <c r="N260" s="223"/>
      <c r="O260" s="223"/>
      <c r="P260" s="223"/>
      <c r="Q260" s="223"/>
      <c r="R260" s="223"/>
      <c r="S260" s="223"/>
      <c r="T260" s="223"/>
      <c r="U260" s="223"/>
      <c r="V260" s="223"/>
      <c r="W260" s="223"/>
      <c r="X260" s="223"/>
      <c r="Y260" s="223"/>
      <c r="Z260" s="223"/>
      <c r="AA260" s="223"/>
      <c r="AB260" s="223"/>
      <c r="AC260" s="223"/>
      <c r="AD260" s="223"/>
      <c r="AE260" s="223"/>
      <c r="AF260" s="223"/>
      <c r="AG260" s="223"/>
      <c r="AH260" s="223"/>
      <c r="AI260" s="223"/>
      <c r="AJ260" s="223"/>
      <c r="AK260" s="223"/>
      <c r="AL260" s="223"/>
      <c r="AM260" s="223"/>
      <c r="AN260" s="223"/>
      <c r="AO260" s="223"/>
      <c r="AP260" s="223"/>
      <c r="AQ260" s="223"/>
      <c r="AR260" s="223"/>
      <c r="AS260" s="223"/>
      <c r="AT260" s="223"/>
      <c r="AU260" s="223"/>
      <c r="AV260" s="223"/>
      <c r="AW260" s="223"/>
      <c r="AX260" s="223"/>
      <c r="AY260" s="223"/>
      <c r="AZ260" s="223"/>
      <c r="BA260" s="223"/>
      <c r="BB260" s="223"/>
      <c r="BC260" s="223"/>
      <c r="BD260" s="223"/>
      <c r="BE260" s="223"/>
      <c r="BF260" s="223"/>
      <c r="BG260" s="223"/>
      <c r="BH260" s="223"/>
      <c r="BI260" s="223"/>
    </row>
    <row r="261" spans="1:61" ht="7.4" customHeight="1" x14ac:dyDescent="0.5">
      <c r="A261" s="223"/>
      <c r="B261" s="223"/>
      <c r="C261" s="223"/>
      <c r="D261" s="223"/>
      <c r="E261" s="223"/>
      <c r="F261" s="223"/>
      <c r="G261" s="223"/>
      <c r="H261" s="223"/>
      <c r="I261" s="223"/>
      <c r="J261" s="223"/>
      <c r="K261" s="223"/>
      <c r="L261" s="223"/>
      <c r="M261" s="223"/>
      <c r="N261" s="223"/>
      <c r="O261" s="223"/>
      <c r="P261" s="223"/>
      <c r="Q261" s="223"/>
      <c r="R261" s="223"/>
      <c r="S261" s="223"/>
      <c r="T261" s="223"/>
      <c r="U261" s="223"/>
      <c r="V261" s="223"/>
      <c r="W261" s="223"/>
      <c r="X261" s="223"/>
      <c r="Y261" s="223"/>
      <c r="Z261" s="223"/>
      <c r="AA261" s="223"/>
      <c r="AB261" s="223"/>
      <c r="AC261" s="223"/>
      <c r="AD261" s="223"/>
      <c r="AE261" s="223"/>
      <c r="AF261" s="223"/>
      <c r="AG261" s="223"/>
      <c r="AH261" s="223"/>
      <c r="AI261" s="223"/>
      <c r="AJ261" s="223"/>
      <c r="AK261" s="223"/>
      <c r="AL261" s="223"/>
      <c r="AM261" s="223"/>
      <c r="AN261" s="223"/>
      <c r="AO261" s="223"/>
      <c r="AP261" s="223"/>
      <c r="AQ261" s="223"/>
      <c r="AR261" s="223"/>
      <c r="AS261" s="223"/>
      <c r="AT261" s="223"/>
      <c r="AU261" s="223"/>
      <c r="AV261" s="223"/>
      <c r="AW261" s="223"/>
      <c r="AX261" s="223"/>
      <c r="AY261" s="223"/>
      <c r="AZ261" s="223"/>
      <c r="BA261" s="223"/>
      <c r="BB261" s="223"/>
      <c r="BC261" s="223"/>
      <c r="BD261" s="223"/>
      <c r="BE261" s="223"/>
      <c r="BF261" s="223"/>
      <c r="BG261" s="223"/>
      <c r="BH261" s="223"/>
      <c r="BI261" s="223"/>
    </row>
    <row r="262" spans="1:61" ht="7.4" customHeight="1" x14ac:dyDescent="0.5">
      <c r="A262" s="223"/>
      <c r="B262" s="223"/>
      <c r="C262" s="223"/>
      <c r="D262" s="223"/>
      <c r="E262" s="223"/>
      <c r="F262" s="223"/>
      <c r="G262" s="223"/>
      <c r="H262" s="223"/>
      <c r="I262" s="223"/>
      <c r="J262" s="223"/>
      <c r="K262" s="223"/>
      <c r="L262" s="223"/>
      <c r="M262" s="223"/>
      <c r="N262" s="223"/>
      <c r="O262" s="223"/>
      <c r="P262" s="223"/>
      <c r="Q262" s="223"/>
      <c r="R262" s="223"/>
      <c r="S262" s="223"/>
      <c r="T262" s="223"/>
      <c r="U262" s="223"/>
      <c r="V262" s="223"/>
      <c r="W262" s="223"/>
      <c r="X262" s="223"/>
      <c r="Y262" s="223"/>
      <c r="Z262" s="223"/>
      <c r="AA262" s="223"/>
      <c r="AB262" s="223"/>
      <c r="AC262" s="223"/>
      <c r="AD262" s="223"/>
      <c r="AE262" s="223"/>
      <c r="AF262" s="223"/>
      <c r="AG262" s="223"/>
      <c r="AH262" s="223"/>
      <c r="AI262" s="223"/>
      <c r="AJ262" s="223"/>
      <c r="AK262" s="223"/>
      <c r="AL262" s="223"/>
      <c r="AM262" s="223"/>
      <c r="AN262" s="223"/>
      <c r="AO262" s="223"/>
      <c r="AP262" s="223"/>
      <c r="AQ262" s="223"/>
      <c r="AR262" s="223"/>
      <c r="AS262" s="223"/>
      <c r="AT262" s="223"/>
      <c r="AU262" s="223"/>
      <c r="AV262" s="223"/>
      <c r="AW262" s="223"/>
      <c r="AX262" s="223"/>
      <c r="AY262" s="223"/>
      <c r="AZ262" s="223"/>
      <c r="BA262" s="223"/>
      <c r="BB262" s="223"/>
      <c r="BC262" s="223"/>
      <c r="BD262" s="223"/>
      <c r="BE262" s="223"/>
      <c r="BF262" s="223"/>
      <c r="BG262" s="223"/>
      <c r="BH262" s="223"/>
      <c r="BI262" s="223"/>
    </row>
    <row r="263" spans="1:61" ht="7.4" customHeight="1" x14ac:dyDescent="0.5">
      <c r="A263" s="223"/>
      <c r="B263" s="223"/>
      <c r="C263" s="223"/>
      <c r="D263" s="223"/>
      <c r="E263" s="223"/>
      <c r="F263" s="223"/>
      <c r="G263" s="223"/>
      <c r="H263" s="223"/>
      <c r="I263" s="223"/>
      <c r="J263" s="223"/>
      <c r="K263" s="223"/>
      <c r="L263" s="223"/>
      <c r="M263" s="223"/>
      <c r="N263" s="223"/>
      <c r="O263" s="223"/>
      <c r="P263" s="223"/>
      <c r="Q263" s="223"/>
      <c r="R263" s="223"/>
      <c r="S263" s="223"/>
      <c r="T263" s="223"/>
      <c r="U263" s="223"/>
      <c r="V263" s="223"/>
      <c r="W263" s="223"/>
      <c r="X263" s="223"/>
      <c r="Y263" s="223"/>
      <c r="Z263" s="223"/>
      <c r="AA263" s="223"/>
      <c r="AB263" s="223"/>
      <c r="AC263" s="223"/>
      <c r="AD263" s="223"/>
      <c r="AE263" s="223"/>
      <c r="AF263" s="223"/>
      <c r="AG263" s="223"/>
      <c r="AH263" s="223"/>
      <c r="AI263" s="223"/>
      <c r="AJ263" s="223"/>
      <c r="AK263" s="223"/>
      <c r="AL263" s="223"/>
      <c r="AM263" s="223"/>
      <c r="AN263" s="223"/>
      <c r="AO263" s="223"/>
      <c r="AP263" s="223"/>
      <c r="AQ263" s="223"/>
      <c r="AR263" s="223"/>
      <c r="AS263" s="223"/>
      <c r="AT263" s="223"/>
      <c r="AU263" s="223"/>
      <c r="AV263" s="223"/>
      <c r="AW263" s="223"/>
      <c r="AX263" s="223"/>
      <c r="AY263" s="223"/>
      <c r="AZ263" s="223"/>
      <c r="BA263" s="223"/>
      <c r="BB263" s="223"/>
      <c r="BC263" s="223"/>
      <c r="BD263" s="223"/>
      <c r="BE263" s="223"/>
      <c r="BF263" s="223"/>
      <c r="BG263" s="223"/>
      <c r="BH263" s="223"/>
      <c r="BI263" s="223"/>
    </row>
    <row r="264" spans="1:61" ht="7.4" customHeight="1" x14ac:dyDescent="0.5">
      <c r="A264" s="223"/>
      <c r="B264" s="223"/>
      <c r="C264" s="223"/>
      <c r="D264" s="223"/>
      <c r="E264" s="223"/>
      <c r="F264" s="223"/>
      <c r="G264" s="223"/>
      <c r="H264" s="223"/>
      <c r="I264" s="223"/>
      <c r="J264" s="223"/>
      <c r="K264" s="223"/>
      <c r="L264" s="223"/>
      <c r="M264" s="223"/>
      <c r="N264" s="223"/>
      <c r="O264" s="223"/>
      <c r="P264" s="223"/>
      <c r="Q264" s="223"/>
      <c r="R264" s="223"/>
      <c r="S264" s="223"/>
      <c r="T264" s="223"/>
      <c r="U264" s="223"/>
      <c r="V264" s="223"/>
      <c r="W264" s="223"/>
      <c r="X264" s="223"/>
      <c r="Y264" s="223"/>
      <c r="Z264" s="223"/>
      <c r="AA264" s="223"/>
      <c r="AB264" s="223"/>
      <c r="AC264" s="223"/>
      <c r="AD264" s="223"/>
      <c r="AE264" s="223"/>
      <c r="AF264" s="223"/>
      <c r="AG264" s="223"/>
      <c r="AH264" s="223"/>
      <c r="AI264" s="223"/>
      <c r="AJ264" s="223"/>
      <c r="AK264" s="223"/>
      <c r="AL264" s="223"/>
      <c r="AM264" s="223"/>
      <c r="AN264" s="223"/>
      <c r="AO264" s="223"/>
      <c r="AP264" s="223"/>
      <c r="AQ264" s="223"/>
      <c r="AR264" s="223"/>
      <c r="AS264" s="223"/>
      <c r="AT264" s="223"/>
      <c r="AU264" s="223"/>
      <c r="AV264" s="223"/>
      <c r="AW264" s="223"/>
      <c r="AX264" s="223"/>
      <c r="AY264" s="223"/>
      <c r="AZ264" s="223"/>
      <c r="BA264" s="223"/>
      <c r="BB264" s="223"/>
      <c r="BC264" s="223"/>
      <c r="BD264" s="223"/>
      <c r="BE264" s="223"/>
      <c r="BF264" s="223"/>
      <c r="BG264" s="223"/>
      <c r="BH264" s="223"/>
      <c r="BI264" s="223"/>
    </row>
    <row r="265" spans="1:61" ht="7.4" customHeight="1" x14ac:dyDescent="0.5">
      <c r="A265" s="223"/>
      <c r="B265" s="223"/>
      <c r="C265" s="223"/>
      <c r="D265" s="223"/>
      <c r="E265" s="223"/>
      <c r="F265" s="223"/>
      <c r="G265" s="223"/>
      <c r="H265" s="223"/>
      <c r="I265" s="223"/>
      <c r="J265" s="223"/>
      <c r="K265" s="223"/>
      <c r="L265" s="223"/>
      <c r="M265" s="223"/>
      <c r="N265" s="223"/>
      <c r="O265" s="223"/>
      <c r="P265" s="223"/>
      <c r="Q265" s="223"/>
      <c r="R265" s="223"/>
      <c r="S265" s="223"/>
      <c r="T265" s="223"/>
      <c r="U265" s="223"/>
      <c r="V265" s="223"/>
      <c r="W265" s="223"/>
      <c r="X265" s="223"/>
      <c r="Y265" s="223"/>
      <c r="Z265" s="223"/>
      <c r="AA265" s="223"/>
      <c r="AB265" s="223"/>
      <c r="AC265" s="223"/>
      <c r="AD265" s="223"/>
      <c r="AE265" s="223"/>
      <c r="AF265" s="223"/>
      <c r="AG265" s="223"/>
      <c r="AH265" s="223"/>
      <c r="AI265" s="223"/>
      <c r="AJ265" s="223"/>
      <c r="AK265" s="223"/>
      <c r="AL265" s="223"/>
      <c r="AM265" s="223"/>
      <c r="AN265" s="223"/>
      <c r="AO265" s="223"/>
      <c r="AP265" s="223"/>
      <c r="AQ265" s="223"/>
      <c r="AR265" s="223"/>
      <c r="AS265" s="223"/>
      <c r="AT265" s="223"/>
      <c r="AU265" s="223"/>
      <c r="AV265" s="223"/>
      <c r="AW265" s="223"/>
      <c r="AX265" s="223"/>
      <c r="AY265" s="223"/>
      <c r="AZ265" s="223"/>
      <c r="BA265" s="223"/>
      <c r="BB265" s="223"/>
      <c r="BC265" s="223"/>
      <c r="BD265" s="223"/>
      <c r="BE265" s="223"/>
      <c r="BF265" s="223"/>
      <c r="BG265" s="223"/>
      <c r="BH265" s="223"/>
      <c r="BI265" s="223"/>
    </row>
    <row r="266" spans="1:61" ht="7.4" customHeight="1" x14ac:dyDescent="0.5">
      <c r="A266" s="223"/>
      <c r="B266" s="223"/>
      <c r="C266" s="223"/>
      <c r="D266" s="223"/>
      <c r="E266" s="223"/>
      <c r="F266" s="223"/>
      <c r="G266" s="223"/>
      <c r="H266" s="223"/>
      <c r="I266" s="223"/>
      <c r="J266" s="223"/>
      <c r="K266" s="223"/>
      <c r="L266" s="223"/>
      <c r="M266" s="223"/>
      <c r="N266" s="223"/>
      <c r="O266" s="223"/>
      <c r="P266" s="223"/>
      <c r="Q266" s="223"/>
      <c r="R266" s="223"/>
      <c r="S266" s="223"/>
      <c r="T266" s="223"/>
      <c r="U266" s="223"/>
      <c r="V266" s="223"/>
      <c r="W266" s="223"/>
      <c r="X266" s="223"/>
      <c r="Y266" s="223"/>
      <c r="Z266" s="223"/>
      <c r="AA266" s="223"/>
      <c r="AB266" s="223"/>
      <c r="AC266" s="223"/>
      <c r="AD266" s="223"/>
      <c r="AE266" s="223"/>
      <c r="AF266" s="223"/>
      <c r="AG266" s="223"/>
      <c r="AH266" s="223"/>
      <c r="AI266" s="223"/>
      <c r="AJ266" s="223"/>
      <c r="AK266" s="223"/>
      <c r="AL266" s="223"/>
      <c r="AM266" s="223"/>
      <c r="AN266" s="223"/>
      <c r="AO266" s="223"/>
      <c r="AP266" s="223"/>
      <c r="AQ266" s="223"/>
      <c r="AR266" s="223"/>
      <c r="AS266" s="223"/>
      <c r="AT266" s="223"/>
      <c r="AU266" s="223"/>
      <c r="AV266" s="223"/>
      <c r="AW266" s="223"/>
      <c r="AX266" s="223"/>
      <c r="AY266" s="223"/>
      <c r="AZ266" s="223"/>
      <c r="BA266" s="223"/>
      <c r="BB266" s="223"/>
      <c r="BC266" s="223"/>
      <c r="BD266" s="223"/>
      <c r="BE266" s="223"/>
      <c r="BF266" s="223"/>
      <c r="BG266" s="223"/>
      <c r="BH266" s="223"/>
      <c r="BI266" s="223"/>
    </row>
    <row r="267" spans="1:61" ht="7.4" customHeight="1" x14ac:dyDescent="0.5">
      <c r="A267" s="223"/>
      <c r="B267" s="223"/>
      <c r="C267" s="223"/>
      <c r="D267" s="223"/>
      <c r="E267" s="223"/>
      <c r="F267" s="223"/>
      <c r="G267" s="223"/>
      <c r="H267" s="223"/>
      <c r="I267" s="223"/>
      <c r="J267" s="223"/>
      <c r="K267" s="223"/>
      <c r="L267" s="223"/>
      <c r="M267" s="223"/>
      <c r="N267" s="223"/>
      <c r="O267" s="223"/>
      <c r="P267" s="223"/>
      <c r="Q267" s="223"/>
      <c r="R267" s="223"/>
      <c r="S267" s="223"/>
      <c r="T267" s="223"/>
      <c r="U267" s="223"/>
      <c r="V267" s="223"/>
      <c r="W267" s="223"/>
      <c r="X267" s="223"/>
      <c r="Y267" s="223"/>
      <c r="Z267" s="223"/>
      <c r="AA267" s="223"/>
      <c r="AB267" s="223"/>
      <c r="AC267" s="223"/>
      <c r="AD267" s="223"/>
      <c r="AE267" s="223"/>
      <c r="AF267" s="223"/>
      <c r="AG267" s="223"/>
      <c r="AH267" s="223"/>
      <c r="AI267" s="223"/>
      <c r="AJ267" s="223"/>
      <c r="AK267" s="223"/>
      <c r="AL267" s="223"/>
      <c r="AM267" s="223"/>
      <c r="AN267" s="223"/>
      <c r="AO267" s="223"/>
      <c r="AP267" s="223"/>
      <c r="AQ267" s="223"/>
      <c r="AR267" s="223"/>
      <c r="AS267" s="223"/>
      <c r="AT267" s="223"/>
      <c r="AU267" s="223"/>
      <c r="AV267" s="223"/>
      <c r="AW267" s="223"/>
      <c r="AX267" s="223"/>
      <c r="AY267" s="223"/>
      <c r="AZ267" s="223"/>
      <c r="BA267" s="223"/>
      <c r="BB267" s="223"/>
      <c r="BC267" s="223"/>
      <c r="BD267" s="223"/>
      <c r="BE267" s="223"/>
      <c r="BF267" s="223"/>
      <c r="BG267" s="223"/>
      <c r="BH267" s="223"/>
      <c r="BI267" s="223"/>
    </row>
    <row r="268" spans="1:61" ht="7.4" customHeight="1" x14ac:dyDescent="0.5">
      <c r="A268" s="223"/>
      <c r="B268" s="223"/>
      <c r="C268" s="223"/>
      <c r="D268" s="223"/>
      <c r="E268" s="223"/>
      <c r="F268" s="223"/>
      <c r="G268" s="223"/>
      <c r="H268" s="223"/>
      <c r="I268" s="223"/>
      <c r="J268" s="223"/>
      <c r="K268" s="223"/>
      <c r="L268" s="223"/>
      <c r="M268" s="223"/>
      <c r="N268" s="223"/>
      <c r="O268" s="223"/>
      <c r="P268" s="223"/>
      <c r="Q268" s="223"/>
      <c r="R268" s="223"/>
      <c r="S268" s="223"/>
      <c r="T268" s="223"/>
      <c r="U268" s="223"/>
      <c r="V268" s="223"/>
      <c r="W268" s="223"/>
      <c r="X268" s="223"/>
      <c r="Y268" s="223"/>
      <c r="Z268" s="223"/>
      <c r="AA268" s="223"/>
      <c r="AB268" s="223"/>
      <c r="AC268" s="223"/>
      <c r="AD268" s="223"/>
      <c r="AE268" s="223"/>
      <c r="AF268" s="223"/>
      <c r="AG268" s="223"/>
      <c r="AH268" s="223"/>
      <c r="AI268" s="223"/>
      <c r="AJ268" s="223"/>
      <c r="AK268" s="223"/>
      <c r="AL268" s="223"/>
      <c r="AM268" s="223"/>
      <c r="AN268" s="223"/>
      <c r="AO268" s="223"/>
      <c r="AP268" s="223"/>
      <c r="AQ268" s="223"/>
      <c r="AR268" s="223"/>
      <c r="AS268" s="223"/>
      <c r="AT268" s="223"/>
      <c r="AU268" s="223"/>
      <c r="AV268" s="223"/>
      <c r="AW268" s="223"/>
      <c r="AX268" s="223"/>
      <c r="AY268" s="223"/>
      <c r="AZ268" s="223"/>
      <c r="BA268" s="223"/>
      <c r="BB268" s="223"/>
      <c r="BC268" s="223"/>
      <c r="BD268" s="223"/>
      <c r="BE268" s="223"/>
      <c r="BF268" s="223"/>
      <c r="BG268" s="223"/>
      <c r="BH268" s="223"/>
      <c r="BI268" s="223"/>
    </row>
    <row r="269" spans="1:61" ht="7.4" customHeight="1" x14ac:dyDescent="0.5">
      <c r="A269" s="223"/>
      <c r="B269" s="223"/>
      <c r="C269" s="223"/>
      <c r="D269" s="223"/>
      <c r="E269" s="223"/>
      <c r="F269" s="223"/>
      <c r="G269" s="223"/>
      <c r="H269" s="223"/>
      <c r="I269" s="223"/>
      <c r="J269" s="223"/>
      <c r="K269" s="223"/>
      <c r="L269" s="223"/>
      <c r="M269" s="223"/>
      <c r="N269" s="223"/>
      <c r="O269" s="223"/>
      <c r="P269" s="223"/>
      <c r="Q269" s="223"/>
      <c r="R269" s="223"/>
      <c r="S269" s="223"/>
      <c r="T269" s="223"/>
      <c r="U269" s="223"/>
      <c r="V269" s="223"/>
      <c r="W269" s="223"/>
      <c r="X269" s="223"/>
      <c r="Y269" s="223"/>
      <c r="Z269" s="223"/>
      <c r="AA269" s="223"/>
      <c r="AB269" s="223"/>
      <c r="AC269" s="223"/>
      <c r="AD269" s="223"/>
      <c r="AE269" s="223"/>
      <c r="AF269" s="223"/>
      <c r="AG269" s="223"/>
      <c r="AH269" s="223"/>
      <c r="AI269" s="223"/>
      <c r="AJ269" s="223"/>
      <c r="AK269" s="223"/>
      <c r="AL269" s="223"/>
      <c r="AM269" s="223"/>
      <c r="AN269" s="223"/>
      <c r="AO269" s="223"/>
      <c r="AP269" s="223"/>
      <c r="AQ269" s="223"/>
      <c r="AR269" s="223"/>
      <c r="AS269" s="223"/>
      <c r="AT269" s="223"/>
      <c r="AU269" s="223"/>
      <c r="AV269" s="223"/>
      <c r="AW269" s="223"/>
      <c r="AX269" s="223"/>
      <c r="AY269" s="223"/>
      <c r="AZ269" s="223"/>
      <c r="BA269" s="223"/>
      <c r="BB269" s="223"/>
      <c r="BC269" s="223"/>
      <c r="BD269" s="223"/>
      <c r="BE269" s="223"/>
      <c r="BF269" s="223"/>
      <c r="BG269" s="223"/>
      <c r="BH269" s="223"/>
      <c r="BI269" s="223"/>
    </row>
    <row r="270" spans="1:61" ht="7.4" customHeight="1" x14ac:dyDescent="0.5">
      <c r="A270" s="223"/>
      <c r="B270" s="223"/>
      <c r="C270" s="223"/>
      <c r="D270" s="223"/>
      <c r="E270" s="223"/>
      <c r="F270" s="223"/>
      <c r="G270" s="223"/>
      <c r="H270" s="223"/>
      <c r="I270" s="223"/>
      <c r="J270" s="223"/>
      <c r="K270" s="223"/>
      <c r="L270" s="223"/>
      <c r="M270" s="223"/>
      <c r="N270" s="223"/>
      <c r="O270" s="223"/>
      <c r="P270" s="223"/>
      <c r="Q270" s="223"/>
      <c r="R270" s="223"/>
      <c r="S270" s="223"/>
      <c r="T270" s="223"/>
      <c r="U270" s="223"/>
      <c r="V270" s="223"/>
      <c r="W270" s="223"/>
      <c r="X270" s="223"/>
      <c r="Y270" s="223"/>
      <c r="Z270" s="223"/>
      <c r="AA270" s="223"/>
      <c r="AB270" s="223"/>
      <c r="AC270" s="223"/>
      <c r="AD270" s="223"/>
      <c r="AE270" s="223"/>
      <c r="AF270" s="223"/>
      <c r="AG270" s="223"/>
      <c r="AH270" s="223"/>
      <c r="AI270" s="223"/>
      <c r="AJ270" s="223"/>
      <c r="AK270" s="223"/>
      <c r="AL270" s="223"/>
      <c r="AM270" s="223"/>
      <c r="AN270" s="223"/>
      <c r="AO270" s="223"/>
      <c r="AP270" s="223"/>
      <c r="AQ270" s="223"/>
      <c r="AR270" s="223"/>
      <c r="AS270" s="223"/>
      <c r="AT270" s="223"/>
      <c r="AU270" s="223"/>
      <c r="AV270" s="223"/>
      <c r="AW270" s="223"/>
      <c r="AX270" s="223"/>
      <c r="AY270" s="223"/>
      <c r="AZ270" s="223"/>
      <c r="BA270" s="223"/>
      <c r="BB270" s="223"/>
      <c r="BC270" s="223"/>
      <c r="BD270" s="223"/>
      <c r="BE270" s="223"/>
      <c r="BF270" s="223"/>
      <c r="BG270" s="223"/>
      <c r="BH270" s="223"/>
      <c r="BI270" s="223"/>
    </row>
    <row r="271" spans="1:61" ht="7.4" customHeight="1" x14ac:dyDescent="0.5">
      <c r="A271" s="223"/>
      <c r="B271" s="223"/>
      <c r="C271" s="223"/>
      <c r="D271" s="223"/>
      <c r="E271" s="223"/>
      <c r="F271" s="223"/>
      <c r="G271" s="223"/>
      <c r="H271" s="223"/>
      <c r="I271" s="223"/>
      <c r="J271" s="223"/>
      <c r="K271" s="223"/>
      <c r="L271" s="223"/>
      <c r="M271" s="223"/>
      <c r="N271" s="223"/>
      <c r="O271" s="223"/>
      <c r="P271" s="223"/>
      <c r="Q271" s="223"/>
      <c r="R271" s="223"/>
      <c r="S271" s="223"/>
      <c r="T271" s="223"/>
      <c r="U271" s="223"/>
      <c r="V271" s="223"/>
      <c r="W271" s="223"/>
      <c r="X271" s="223"/>
      <c r="Y271" s="223"/>
      <c r="Z271" s="223"/>
      <c r="AA271" s="223"/>
      <c r="AB271" s="223"/>
      <c r="AC271" s="223"/>
      <c r="AD271" s="223"/>
      <c r="AE271" s="223"/>
      <c r="AF271" s="223"/>
      <c r="AG271" s="223"/>
      <c r="AH271" s="223"/>
      <c r="AI271" s="223"/>
      <c r="AJ271" s="223"/>
      <c r="AK271" s="223"/>
      <c r="AL271" s="223"/>
      <c r="AM271" s="223"/>
      <c r="AN271" s="223"/>
      <c r="AO271" s="223"/>
      <c r="AP271" s="223"/>
      <c r="AQ271" s="223"/>
      <c r="AR271" s="223"/>
      <c r="AS271" s="223"/>
      <c r="AT271" s="223"/>
      <c r="AU271" s="223"/>
      <c r="AV271" s="223"/>
      <c r="AW271" s="223"/>
      <c r="AX271" s="223"/>
      <c r="AY271" s="223"/>
      <c r="AZ271" s="223"/>
      <c r="BA271" s="223"/>
      <c r="BB271" s="223"/>
      <c r="BC271" s="223"/>
      <c r="BD271" s="223"/>
      <c r="BE271" s="223"/>
      <c r="BF271" s="223"/>
      <c r="BG271" s="223"/>
      <c r="BH271" s="223"/>
      <c r="BI271" s="223"/>
    </row>
    <row r="272" spans="1:61" ht="7.4" customHeight="1" x14ac:dyDescent="0.5">
      <c r="A272" s="223"/>
      <c r="B272" s="223"/>
      <c r="C272" s="223"/>
      <c r="D272" s="223"/>
      <c r="E272" s="223"/>
      <c r="F272" s="223"/>
      <c r="G272" s="223"/>
      <c r="H272" s="223"/>
      <c r="I272" s="223"/>
      <c r="J272" s="223"/>
      <c r="K272" s="223"/>
      <c r="L272" s="223"/>
      <c r="M272" s="223"/>
      <c r="N272" s="223"/>
      <c r="O272" s="223"/>
      <c r="P272" s="223"/>
      <c r="Q272" s="223"/>
      <c r="R272" s="223"/>
      <c r="S272" s="223"/>
      <c r="T272" s="223"/>
      <c r="U272" s="223"/>
      <c r="V272" s="223"/>
      <c r="W272" s="223"/>
      <c r="X272" s="223"/>
      <c r="Y272" s="223"/>
      <c r="Z272" s="223"/>
      <c r="AA272" s="223"/>
      <c r="AB272" s="223"/>
      <c r="AC272" s="223"/>
      <c r="AD272" s="223"/>
      <c r="AE272" s="223"/>
      <c r="AF272" s="223"/>
      <c r="AG272" s="223"/>
      <c r="AH272" s="223"/>
      <c r="AI272" s="223"/>
      <c r="AJ272" s="223"/>
      <c r="AK272" s="223"/>
      <c r="AL272" s="223"/>
      <c r="AM272" s="223"/>
      <c r="AN272" s="223"/>
      <c r="AO272" s="223"/>
      <c r="AP272" s="223"/>
      <c r="AQ272" s="223"/>
      <c r="AR272" s="223"/>
      <c r="AS272" s="223"/>
      <c r="AT272" s="223"/>
      <c r="AU272" s="223"/>
      <c r="AV272" s="223"/>
      <c r="AW272" s="223"/>
      <c r="AX272" s="223"/>
      <c r="AY272" s="223"/>
      <c r="AZ272" s="223"/>
      <c r="BA272" s="223"/>
      <c r="BB272" s="223"/>
      <c r="BC272" s="223"/>
      <c r="BD272" s="223"/>
      <c r="BE272" s="223"/>
      <c r="BF272" s="223"/>
      <c r="BG272" s="223"/>
      <c r="BH272" s="223"/>
      <c r="BI272" s="223"/>
    </row>
    <row r="273" spans="1:61" ht="7.4" customHeight="1" x14ac:dyDescent="0.5">
      <c r="A273" s="223"/>
      <c r="B273" s="223"/>
      <c r="C273" s="223"/>
      <c r="D273" s="223"/>
      <c r="E273" s="223"/>
      <c r="F273" s="223"/>
      <c r="G273" s="223"/>
      <c r="H273" s="223"/>
      <c r="I273" s="223"/>
      <c r="J273" s="223"/>
      <c r="K273" s="223"/>
      <c r="L273" s="223"/>
      <c r="M273" s="223"/>
      <c r="N273" s="223"/>
      <c r="O273" s="223"/>
      <c r="P273" s="223"/>
      <c r="Q273" s="223"/>
      <c r="R273" s="223"/>
      <c r="S273" s="223"/>
      <c r="T273" s="223"/>
      <c r="U273" s="223"/>
      <c r="V273" s="223"/>
      <c r="W273" s="223"/>
      <c r="X273" s="223"/>
      <c r="Y273" s="223"/>
      <c r="Z273" s="223"/>
      <c r="AA273" s="223"/>
      <c r="AB273" s="223"/>
      <c r="AC273" s="223"/>
      <c r="AD273" s="223"/>
      <c r="AE273" s="223"/>
      <c r="AF273" s="223"/>
      <c r="AG273" s="223"/>
      <c r="AH273" s="223"/>
      <c r="AI273" s="223"/>
      <c r="AJ273" s="223"/>
      <c r="AK273" s="223"/>
      <c r="AL273" s="223"/>
      <c r="AM273" s="223"/>
      <c r="AN273" s="223"/>
      <c r="AO273" s="223"/>
      <c r="AP273" s="223"/>
      <c r="AQ273" s="223"/>
      <c r="AR273" s="223"/>
      <c r="AS273" s="223"/>
      <c r="AT273" s="223"/>
      <c r="AU273" s="223"/>
      <c r="AV273" s="223"/>
      <c r="AW273" s="223"/>
      <c r="AX273" s="223"/>
      <c r="AY273" s="223"/>
      <c r="AZ273" s="223"/>
      <c r="BA273" s="223"/>
      <c r="BB273" s="223"/>
      <c r="BC273" s="223"/>
      <c r="BD273" s="223"/>
      <c r="BE273" s="223"/>
      <c r="BF273" s="223"/>
      <c r="BG273" s="223"/>
      <c r="BH273" s="223"/>
      <c r="BI273" s="223"/>
    </row>
    <row r="274" spans="1:61" ht="7.4" customHeight="1" x14ac:dyDescent="0.5">
      <c r="A274" s="223"/>
      <c r="B274" s="223"/>
      <c r="C274" s="223"/>
      <c r="D274" s="223"/>
      <c r="E274" s="223"/>
      <c r="F274" s="223"/>
      <c r="G274" s="223"/>
      <c r="H274" s="223"/>
      <c r="I274" s="223"/>
      <c r="J274" s="223"/>
      <c r="K274" s="223"/>
      <c r="L274" s="223"/>
      <c r="M274" s="223"/>
      <c r="N274" s="223"/>
      <c r="O274" s="223"/>
      <c r="P274" s="223"/>
      <c r="Q274" s="223"/>
      <c r="R274" s="223"/>
      <c r="S274" s="223"/>
      <c r="T274" s="223"/>
      <c r="U274" s="223"/>
      <c r="V274" s="223"/>
      <c r="W274" s="223"/>
      <c r="X274" s="223"/>
      <c r="Y274" s="223"/>
      <c r="Z274" s="223"/>
      <c r="AA274" s="223"/>
      <c r="AB274" s="223"/>
      <c r="AC274" s="223"/>
      <c r="AD274" s="223"/>
      <c r="AE274" s="223"/>
      <c r="AF274" s="223"/>
      <c r="AG274" s="223"/>
      <c r="AH274" s="223"/>
      <c r="AI274" s="223"/>
      <c r="AJ274" s="223"/>
      <c r="AK274" s="223"/>
      <c r="AL274" s="223"/>
      <c r="AM274" s="223"/>
      <c r="AN274" s="223"/>
      <c r="AO274" s="223"/>
      <c r="AP274" s="223"/>
      <c r="AQ274" s="223"/>
      <c r="AR274" s="223"/>
      <c r="AS274" s="223"/>
      <c r="AT274" s="223"/>
      <c r="AU274" s="223"/>
      <c r="AV274" s="223"/>
      <c r="AW274" s="223"/>
      <c r="AX274" s="223"/>
      <c r="AY274" s="223"/>
      <c r="AZ274" s="223"/>
      <c r="BA274" s="223"/>
      <c r="BB274" s="223"/>
      <c r="BC274" s="223"/>
      <c r="BD274" s="223"/>
      <c r="BE274" s="223"/>
      <c r="BF274" s="223"/>
      <c r="BG274" s="223"/>
      <c r="BH274" s="223"/>
      <c r="BI274" s="223"/>
    </row>
    <row r="275" spans="1:61" ht="7.4" customHeight="1" x14ac:dyDescent="0.5">
      <c r="A275" s="223"/>
      <c r="B275" s="223"/>
      <c r="C275" s="223"/>
      <c r="D275" s="223"/>
      <c r="E275" s="223"/>
      <c r="F275" s="223"/>
      <c r="G275" s="223"/>
      <c r="H275" s="223"/>
      <c r="I275" s="223"/>
      <c r="J275" s="223"/>
      <c r="K275" s="223"/>
      <c r="L275" s="223"/>
      <c r="M275" s="223"/>
      <c r="N275" s="223"/>
      <c r="O275" s="223"/>
      <c r="P275" s="223"/>
      <c r="Q275" s="223"/>
      <c r="R275" s="223"/>
      <c r="S275" s="223"/>
      <c r="T275" s="223"/>
      <c r="U275" s="223"/>
      <c r="V275" s="223"/>
      <c r="W275" s="223"/>
      <c r="X275" s="223"/>
      <c r="Y275" s="223"/>
      <c r="Z275" s="223"/>
      <c r="AA275" s="223"/>
      <c r="AB275" s="223"/>
      <c r="AC275" s="223"/>
      <c r="AD275" s="223"/>
      <c r="AE275" s="223"/>
      <c r="AF275" s="223"/>
      <c r="AG275" s="223"/>
      <c r="AH275" s="223"/>
      <c r="AI275" s="223"/>
      <c r="AJ275" s="223"/>
      <c r="AK275" s="223"/>
      <c r="AL275" s="223"/>
      <c r="AM275" s="223"/>
      <c r="AN275" s="223"/>
      <c r="AO275" s="223"/>
      <c r="AP275" s="223"/>
      <c r="AQ275" s="223"/>
      <c r="AR275" s="223"/>
      <c r="AS275" s="223"/>
      <c r="AT275" s="223"/>
      <c r="AU275" s="223"/>
      <c r="AV275" s="223"/>
      <c r="AW275" s="223"/>
      <c r="AX275" s="223"/>
      <c r="AY275" s="223"/>
      <c r="AZ275" s="223"/>
      <c r="BA275" s="223"/>
      <c r="BB275" s="223"/>
      <c r="BC275" s="223"/>
      <c r="BD275" s="223"/>
      <c r="BE275" s="223"/>
      <c r="BF275" s="223"/>
      <c r="BG275" s="223"/>
      <c r="BH275" s="223"/>
      <c r="BI275" s="223"/>
    </row>
    <row r="276" spans="1:61" ht="7.4" customHeight="1" x14ac:dyDescent="0.5">
      <c r="A276" s="223"/>
      <c r="B276" s="223"/>
      <c r="C276" s="223"/>
      <c r="D276" s="223"/>
      <c r="E276" s="223"/>
      <c r="F276" s="223"/>
      <c r="G276" s="223"/>
      <c r="H276" s="223"/>
      <c r="I276" s="223"/>
      <c r="J276" s="223"/>
      <c r="K276" s="223"/>
      <c r="L276" s="223"/>
      <c r="M276" s="223"/>
      <c r="N276" s="223"/>
      <c r="O276" s="223"/>
      <c r="P276" s="223"/>
      <c r="Q276" s="223"/>
      <c r="R276" s="223"/>
      <c r="S276" s="223"/>
      <c r="T276" s="223"/>
      <c r="U276" s="223"/>
      <c r="V276" s="223"/>
      <c r="W276" s="223"/>
      <c r="X276" s="223"/>
      <c r="Y276" s="223"/>
      <c r="Z276" s="223"/>
      <c r="AA276" s="223"/>
      <c r="AB276" s="223"/>
      <c r="AC276" s="223"/>
      <c r="AD276" s="223"/>
      <c r="AE276" s="223"/>
      <c r="AF276" s="223"/>
      <c r="AG276" s="223"/>
      <c r="AH276" s="223"/>
      <c r="AI276" s="223"/>
      <c r="AJ276" s="223"/>
      <c r="AK276" s="223"/>
      <c r="AL276" s="223"/>
      <c r="AM276" s="223"/>
      <c r="AN276" s="223"/>
      <c r="AO276" s="223"/>
      <c r="AP276" s="223"/>
      <c r="AQ276" s="223"/>
      <c r="AR276" s="223"/>
      <c r="AS276" s="223"/>
      <c r="AT276" s="223"/>
      <c r="AU276" s="223"/>
      <c r="AV276" s="223"/>
      <c r="AW276" s="223"/>
      <c r="AX276" s="223"/>
      <c r="AY276" s="223"/>
      <c r="AZ276" s="223"/>
      <c r="BA276" s="223"/>
      <c r="BB276" s="223"/>
      <c r="BC276" s="223"/>
      <c r="BD276" s="223"/>
      <c r="BE276" s="223"/>
      <c r="BF276" s="223"/>
      <c r="BG276" s="223"/>
      <c r="BH276" s="223"/>
      <c r="BI276" s="223"/>
    </row>
  </sheetData>
  <sheetProtection algorithmName="SHA-512" hashValue="vvNkd4dea0pycOQJ+hQzlQqYWOB9uqnBfSIZpTrqbwuwBXsCd5imNDPdorYXbdHdMomhI7wEjVavD0ZEkjTi7A==" saltValue="y0tXRbBjD9AMkNXDiByMBg==" spinCount="100000" sheet="1" objects="1" scenarios="1" selectLockedCells="1"/>
  <mergeCells count="1019">
    <mergeCell ref="C199:D200"/>
    <mergeCell ref="G199:R200"/>
    <mergeCell ref="T199:AJ200"/>
    <mergeCell ref="AL199:AO200"/>
    <mergeCell ref="AR199:BG200"/>
    <mergeCell ref="BK199:BM200"/>
    <mergeCell ref="T21:AP22"/>
    <mergeCell ref="B25:AC27"/>
    <mergeCell ref="AE25:BH27"/>
    <mergeCell ref="C28:R30"/>
    <mergeCell ref="T28:AC30"/>
    <mergeCell ref="AF28:AM30"/>
    <mergeCell ref="AO28:BH30"/>
    <mergeCell ref="C17:F18"/>
    <mergeCell ref="G17:X18"/>
    <mergeCell ref="Y17:AC18"/>
    <mergeCell ref="AD17:AS18"/>
    <mergeCell ref="AT17:AW18"/>
    <mergeCell ref="AX17:BH18"/>
    <mergeCell ref="B39:BH41"/>
    <mergeCell ref="C43:G45"/>
    <mergeCell ref="J43:N45"/>
    <mergeCell ref="Q43:T45"/>
    <mergeCell ref="W43:AS44"/>
    <mergeCell ref="AV43:AZ45"/>
    <mergeCell ref="BC43:BG45"/>
    <mergeCell ref="W45:Z45"/>
    <mergeCell ref="AE45:AH45"/>
    <mergeCell ref="AM45:AP45"/>
    <mergeCell ref="AB51:AD52"/>
    <mergeCell ref="AE51:AG52"/>
    <mergeCell ref="AH51:AJ52"/>
    <mergeCell ref="C1:AI9"/>
    <mergeCell ref="AN1:BH2"/>
    <mergeCell ref="AN3:BH4"/>
    <mergeCell ref="AN5:BH6"/>
    <mergeCell ref="AN7:BH8"/>
    <mergeCell ref="A10:AL15"/>
    <mergeCell ref="AN11:AV12"/>
    <mergeCell ref="AX11:BH12"/>
    <mergeCell ref="AN13:AV14"/>
    <mergeCell ref="AX13:BH14"/>
    <mergeCell ref="BC31:BH33"/>
    <mergeCell ref="BK31:BL31"/>
    <mergeCell ref="BM31:BO31"/>
    <mergeCell ref="BP31:BR31"/>
    <mergeCell ref="BK32:BL32"/>
    <mergeCell ref="BM32:BO32"/>
    <mergeCell ref="BP32:BR32"/>
    <mergeCell ref="BK33:BL33"/>
    <mergeCell ref="BM33:BO33"/>
    <mergeCell ref="BP33:BR33"/>
    <mergeCell ref="BK30:BL30"/>
    <mergeCell ref="BM30:BO30"/>
    <mergeCell ref="BP30:BR30"/>
    <mergeCell ref="C31:R33"/>
    <mergeCell ref="T31:AC33"/>
    <mergeCell ref="AF31:AM33"/>
    <mergeCell ref="AO31:AP33"/>
    <mergeCell ref="AQ31:AW33"/>
    <mergeCell ref="AX31:AZ33"/>
    <mergeCell ref="BA31:BB33"/>
    <mergeCell ref="BP34:BR34"/>
    <mergeCell ref="AO35:AV36"/>
    <mergeCell ref="AW35:AW36"/>
    <mergeCell ref="AX35:AZ36"/>
    <mergeCell ref="BA35:BB36"/>
    <mergeCell ref="BK35:BL35"/>
    <mergeCell ref="AF34:AM37"/>
    <mergeCell ref="BC34:BH37"/>
    <mergeCell ref="BK34:BL34"/>
    <mergeCell ref="BM34:BO34"/>
    <mergeCell ref="BF51:BH52"/>
    <mergeCell ref="C54:L55"/>
    <mergeCell ref="M54:O55"/>
    <mergeCell ref="P54:R55"/>
    <mergeCell ref="S54:U55"/>
    <mergeCell ref="V54:X55"/>
    <mergeCell ref="Y54:AA55"/>
    <mergeCell ref="AB54:AD55"/>
    <mergeCell ref="AE54:AG55"/>
    <mergeCell ref="AH54:AJ55"/>
    <mergeCell ref="AN51:AP52"/>
    <mergeCell ref="AQ51:AS52"/>
    <mergeCell ref="AT51:AV52"/>
    <mergeCell ref="AW51:AY52"/>
    <mergeCell ref="AZ51:BB52"/>
    <mergeCell ref="BC51:BE52"/>
    <mergeCell ref="C48:BG50"/>
    <mergeCell ref="M51:O52"/>
    <mergeCell ref="P51:R52"/>
    <mergeCell ref="S51:U52"/>
    <mergeCell ref="V51:X52"/>
    <mergeCell ref="Y51:AA52"/>
    <mergeCell ref="AK51:AM52"/>
    <mergeCell ref="BK61:BQ64"/>
    <mergeCell ref="C62:L63"/>
    <mergeCell ref="M62:O63"/>
    <mergeCell ref="P62:R63"/>
    <mergeCell ref="S62:U63"/>
    <mergeCell ref="V62:X63"/>
    <mergeCell ref="Y62:AA63"/>
    <mergeCell ref="AH58:AJ59"/>
    <mergeCell ref="AK58:AM59"/>
    <mergeCell ref="AN58:AP59"/>
    <mergeCell ref="AQ58:AS59"/>
    <mergeCell ref="AT58:AV59"/>
    <mergeCell ref="AW58:AY59"/>
    <mergeCell ref="BC54:BE55"/>
    <mergeCell ref="BF54:BH55"/>
    <mergeCell ref="C58:L59"/>
    <mergeCell ref="M58:O59"/>
    <mergeCell ref="P58:R59"/>
    <mergeCell ref="S58:U59"/>
    <mergeCell ref="V58:X59"/>
    <mergeCell ref="Y58:AA59"/>
    <mergeCell ref="AB58:AD59"/>
    <mergeCell ref="AE58:AG59"/>
    <mergeCell ref="AK54:AM55"/>
    <mergeCell ref="AN54:AP55"/>
    <mergeCell ref="AQ54:AS55"/>
    <mergeCell ref="AT54:AV55"/>
    <mergeCell ref="AW54:AY55"/>
    <mergeCell ref="AZ54:BB55"/>
    <mergeCell ref="AT62:AV63"/>
    <mergeCell ref="AW62:AY63"/>
    <mergeCell ref="AZ62:BB63"/>
    <mergeCell ref="BC62:BE63"/>
    <mergeCell ref="BF62:BH63"/>
    <mergeCell ref="C65:L67"/>
    <mergeCell ref="M66:O67"/>
    <mergeCell ref="P66:R67"/>
    <mergeCell ref="S66:U67"/>
    <mergeCell ref="V66:X67"/>
    <mergeCell ref="AB62:AD63"/>
    <mergeCell ref="AE62:AG63"/>
    <mergeCell ref="AH62:AJ63"/>
    <mergeCell ref="AK62:AM63"/>
    <mergeCell ref="AN62:AP63"/>
    <mergeCell ref="AQ62:AS63"/>
    <mergeCell ref="AZ58:BB59"/>
    <mergeCell ref="BC58:BE59"/>
    <mergeCell ref="BF58:BH59"/>
    <mergeCell ref="AI74:AP75"/>
    <mergeCell ref="AS74:BD75"/>
    <mergeCell ref="BF74:BH77"/>
    <mergeCell ref="BW74:CA75"/>
    <mergeCell ref="CB74:CD75"/>
    <mergeCell ref="AS76:BD77"/>
    <mergeCell ref="BL66:BN67"/>
    <mergeCell ref="BO66:BP67"/>
    <mergeCell ref="B70:U72"/>
    <mergeCell ref="W70:AP72"/>
    <mergeCell ref="AR70:BH72"/>
    <mergeCell ref="X73:AH75"/>
    <mergeCell ref="BL73:BU75"/>
    <mergeCell ref="C74:M75"/>
    <mergeCell ref="N74:R75"/>
    <mergeCell ref="S74:U75"/>
    <mergeCell ref="AQ66:AS67"/>
    <mergeCell ref="AT66:AV67"/>
    <mergeCell ref="AW66:AY67"/>
    <mergeCell ref="AZ66:BB67"/>
    <mergeCell ref="BC66:BE67"/>
    <mergeCell ref="BF66:BH67"/>
    <mergeCell ref="Y66:AA67"/>
    <mergeCell ref="AB66:AD67"/>
    <mergeCell ref="AE66:AG67"/>
    <mergeCell ref="AH66:AJ67"/>
    <mergeCell ref="AK66:AM67"/>
    <mergeCell ref="AN66:AP67"/>
    <mergeCell ref="CX79:CZ80"/>
    <mergeCell ref="DA79:DC80"/>
    <mergeCell ref="DD79:DF80"/>
    <mergeCell ref="AS80:BD81"/>
    <mergeCell ref="BF80:BH81"/>
    <mergeCell ref="C81:L83"/>
    <mergeCell ref="BK81:BM82"/>
    <mergeCell ref="BN81:BP82"/>
    <mergeCell ref="BQ81:BS82"/>
    <mergeCell ref="BT81:BV82"/>
    <mergeCell ref="CF79:CH80"/>
    <mergeCell ref="CI79:CK80"/>
    <mergeCell ref="CL79:CN80"/>
    <mergeCell ref="CO79:CQ80"/>
    <mergeCell ref="CR79:CT80"/>
    <mergeCell ref="CU79:CW80"/>
    <mergeCell ref="BN79:BP80"/>
    <mergeCell ref="BQ79:BS80"/>
    <mergeCell ref="BT79:BV80"/>
    <mergeCell ref="BW79:BY80"/>
    <mergeCell ref="BZ79:CB80"/>
    <mergeCell ref="CC79:CE80"/>
    <mergeCell ref="C77:L79"/>
    <mergeCell ref="X77:AH79"/>
    <mergeCell ref="N78:R79"/>
    <mergeCell ref="S78:U79"/>
    <mergeCell ref="AI78:AP79"/>
    <mergeCell ref="BK79:BM80"/>
    <mergeCell ref="DH81:DS82"/>
    <mergeCell ref="DT81:DU82"/>
    <mergeCell ref="N82:R83"/>
    <mergeCell ref="S82:U83"/>
    <mergeCell ref="X82:AH83"/>
    <mergeCell ref="AI82:AP83"/>
    <mergeCell ref="BK83:BM84"/>
    <mergeCell ref="BN83:BP84"/>
    <mergeCell ref="BQ83:BS84"/>
    <mergeCell ref="BT83:BV84"/>
    <mergeCell ref="CO81:CQ82"/>
    <mergeCell ref="CR81:CT82"/>
    <mergeCell ref="CU81:CW82"/>
    <mergeCell ref="CX81:CZ82"/>
    <mergeCell ref="DA81:DC82"/>
    <mergeCell ref="DD81:DF82"/>
    <mergeCell ref="BW81:BY82"/>
    <mergeCell ref="BZ81:CB82"/>
    <mergeCell ref="CC81:CE82"/>
    <mergeCell ref="CF81:CH82"/>
    <mergeCell ref="CI81:CK82"/>
    <mergeCell ref="CL81:CN82"/>
    <mergeCell ref="CO85:CQ86"/>
    <mergeCell ref="DH83:DI84"/>
    <mergeCell ref="DJ83:DS84"/>
    <mergeCell ref="AS84:BD85"/>
    <mergeCell ref="BF84:BH85"/>
    <mergeCell ref="BK85:BM86"/>
    <mergeCell ref="BN85:BP86"/>
    <mergeCell ref="BQ85:BS86"/>
    <mergeCell ref="BT85:BV86"/>
    <mergeCell ref="BW85:BY86"/>
    <mergeCell ref="CO83:CQ84"/>
    <mergeCell ref="CR83:CT84"/>
    <mergeCell ref="CU83:CW84"/>
    <mergeCell ref="CX83:CZ84"/>
    <mergeCell ref="DA83:DC84"/>
    <mergeCell ref="DD83:DF84"/>
    <mergeCell ref="BW83:BY84"/>
    <mergeCell ref="BZ83:CB84"/>
    <mergeCell ref="CC83:CE84"/>
    <mergeCell ref="CF83:CH84"/>
    <mergeCell ref="CI83:CK84"/>
    <mergeCell ref="CL83:CN84"/>
    <mergeCell ref="CU87:CW88"/>
    <mergeCell ref="CX87:CZ88"/>
    <mergeCell ref="DA87:DC88"/>
    <mergeCell ref="DD87:DF88"/>
    <mergeCell ref="DH87:DS88"/>
    <mergeCell ref="DT87:DU88"/>
    <mergeCell ref="CC87:CE88"/>
    <mergeCell ref="CF87:CH88"/>
    <mergeCell ref="CI87:CK88"/>
    <mergeCell ref="CL87:CN88"/>
    <mergeCell ref="CO87:CQ88"/>
    <mergeCell ref="CR87:CT88"/>
    <mergeCell ref="DJ85:DS86"/>
    <mergeCell ref="X86:AH87"/>
    <mergeCell ref="AI86:AP87"/>
    <mergeCell ref="BK87:BM88"/>
    <mergeCell ref="BN87:BP88"/>
    <mergeCell ref="BQ87:BS88"/>
    <mergeCell ref="BT87:BV88"/>
    <mergeCell ref="BW87:BY88"/>
    <mergeCell ref="BZ87:CB88"/>
    <mergeCell ref="CR85:CT86"/>
    <mergeCell ref="CU85:CW86"/>
    <mergeCell ref="CX85:CZ86"/>
    <mergeCell ref="DA85:DC86"/>
    <mergeCell ref="DD85:DF86"/>
    <mergeCell ref="DH85:DI86"/>
    <mergeCell ref="BZ85:CB86"/>
    <mergeCell ref="CC85:CE86"/>
    <mergeCell ref="CF85:CH86"/>
    <mergeCell ref="CI85:CK86"/>
    <mergeCell ref="CL85:CN86"/>
    <mergeCell ref="CC91:CE92"/>
    <mergeCell ref="CF91:CH92"/>
    <mergeCell ref="CI91:CK92"/>
    <mergeCell ref="CL91:CN92"/>
    <mergeCell ref="CU89:CW90"/>
    <mergeCell ref="CX89:CZ90"/>
    <mergeCell ref="DA89:DC90"/>
    <mergeCell ref="DD89:DF90"/>
    <mergeCell ref="DH89:DS90"/>
    <mergeCell ref="A91:BI92"/>
    <mergeCell ref="BK91:BM92"/>
    <mergeCell ref="BN91:BP92"/>
    <mergeCell ref="BQ91:BS92"/>
    <mergeCell ref="BT91:BV92"/>
    <mergeCell ref="CC89:CE90"/>
    <mergeCell ref="CF89:CH90"/>
    <mergeCell ref="CI89:CK90"/>
    <mergeCell ref="CL89:CN90"/>
    <mergeCell ref="CO89:CQ90"/>
    <mergeCell ref="CR89:CT90"/>
    <mergeCell ref="BK89:BM90"/>
    <mergeCell ref="BN89:BP90"/>
    <mergeCell ref="BQ89:BS90"/>
    <mergeCell ref="BT89:BV90"/>
    <mergeCell ref="BW89:BY90"/>
    <mergeCell ref="BZ89:CB90"/>
    <mergeCell ref="DD93:DF94"/>
    <mergeCell ref="DH93:DV94"/>
    <mergeCell ref="BK105:BP106"/>
    <mergeCell ref="BQ105:BW106"/>
    <mergeCell ref="BX105:CC106"/>
    <mergeCell ref="BK107:BP108"/>
    <mergeCell ref="BQ107:BW108"/>
    <mergeCell ref="BX107:CC108"/>
    <mergeCell ref="CL93:CN94"/>
    <mergeCell ref="CO93:CQ94"/>
    <mergeCell ref="CR93:CT94"/>
    <mergeCell ref="CU93:CW94"/>
    <mergeCell ref="CX93:CZ94"/>
    <mergeCell ref="DA93:DC94"/>
    <mergeCell ref="DH91:DS92"/>
    <mergeCell ref="BK93:BM94"/>
    <mergeCell ref="BN93:BP94"/>
    <mergeCell ref="BQ93:BS94"/>
    <mergeCell ref="BT93:BV94"/>
    <mergeCell ref="BW93:BY94"/>
    <mergeCell ref="BZ93:CB94"/>
    <mergeCell ref="CC93:CE94"/>
    <mergeCell ref="CF93:CH94"/>
    <mergeCell ref="CI93:CK94"/>
    <mergeCell ref="CO91:CQ92"/>
    <mergeCell ref="CR91:CT92"/>
    <mergeCell ref="CU91:CW92"/>
    <mergeCell ref="CX91:CZ92"/>
    <mergeCell ref="DA91:DC92"/>
    <mergeCell ref="DD91:DF92"/>
    <mergeCell ref="BW91:BY92"/>
    <mergeCell ref="BZ91:CB92"/>
    <mergeCell ref="CO111:CT112"/>
    <mergeCell ref="CO113:CT113"/>
    <mergeCell ref="C114:E117"/>
    <mergeCell ref="G114:R117"/>
    <mergeCell ref="T114:AJ117"/>
    <mergeCell ref="AL114:AP117"/>
    <mergeCell ref="BK115:BM116"/>
    <mergeCell ref="BN115:BP116"/>
    <mergeCell ref="T110:AP111"/>
    <mergeCell ref="BK111:BP112"/>
    <mergeCell ref="BQ111:BV112"/>
    <mergeCell ref="BW111:CB112"/>
    <mergeCell ref="CC111:CH112"/>
    <mergeCell ref="CI111:CN112"/>
    <mergeCell ref="BK109:BP110"/>
    <mergeCell ref="BQ109:BV110"/>
    <mergeCell ref="BW109:CB110"/>
    <mergeCell ref="CC109:CH110"/>
    <mergeCell ref="CI109:CN110"/>
    <mergeCell ref="CO109:CT110"/>
    <mergeCell ref="DH115:DK116"/>
    <mergeCell ref="DL115:DT116"/>
    <mergeCell ref="BK118:BM118"/>
    <mergeCell ref="BN118:BP118"/>
    <mergeCell ref="BQ118:BS118"/>
    <mergeCell ref="BT118:BV118"/>
    <mergeCell ref="BW118:BY118"/>
    <mergeCell ref="BZ118:CB118"/>
    <mergeCell ref="CI115:CK116"/>
    <mergeCell ref="CL115:CN116"/>
    <mergeCell ref="CO115:CQ116"/>
    <mergeCell ref="CR115:CT116"/>
    <mergeCell ref="CU115:CW116"/>
    <mergeCell ref="CX115:CZ116"/>
    <mergeCell ref="BQ115:BS116"/>
    <mergeCell ref="BT115:BV116"/>
    <mergeCell ref="BW115:BY116"/>
    <mergeCell ref="BZ115:CB116"/>
    <mergeCell ref="CC115:CE116"/>
    <mergeCell ref="CF115:CH116"/>
    <mergeCell ref="CU118:CW118"/>
    <mergeCell ref="CX118:CZ118"/>
    <mergeCell ref="DA118:DC118"/>
    <mergeCell ref="DD118:DF118"/>
    <mergeCell ref="C119:D120"/>
    <mergeCell ref="G119:R120"/>
    <mergeCell ref="T119:AC120"/>
    <mergeCell ref="AF119:AI120"/>
    <mergeCell ref="AL119:AO120"/>
    <mergeCell ref="CC118:CE118"/>
    <mergeCell ref="CF118:CH118"/>
    <mergeCell ref="CI118:CK118"/>
    <mergeCell ref="CL118:CN118"/>
    <mergeCell ref="CO118:CQ118"/>
    <mergeCell ref="CR118:CT118"/>
    <mergeCell ref="DA115:DC116"/>
    <mergeCell ref="DD115:DF116"/>
    <mergeCell ref="DD119:DF120"/>
    <mergeCell ref="DH119:DK120"/>
    <mergeCell ref="DL119:DS120"/>
    <mergeCell ref="C121:D121"/>
    <mergeCell ref="AL121:AO121"/>
    <mergeCell ref="BK121:BM121"/>
    <mergeCell ref="BN121:BP121"/>
    <mergeCell ref="BQ121:BS121"/>
    <mergeCell ref="CL119:CN120"/>
    <mergeCell ref="CO119:CQ120"/>
    <mergeCell ref="CR119:CT120"/>
    <mergeCell ref="CU119:CW120"/>
    <mergeCell ref="CX119:CZ120"/>
    <mergeCell ref="DA119:DC120"/>
    <mergeCell ref="BT119:BV120"/>
    <mergeCell ref="BW119:BY120"/>
    <mergeCell ref="BZ119:CB120"/>
    <mergeCell ref="CC119:CE120"/>
    <mergeCell ref="CF119:CH120"/>
    <mergeCell ref="CI119:CK120"/>
    <mergeCell ref="BK119:BM120"/>
    <mergeCell ref="BN119:BP120"/>
    <mergeCell ref="BQ119:BS120"/>
    <mergeCell ref="CO122:CQ122"/>
    <mergeCell ref="CR122:CT122"/>
    <mergeCell ref="CU122:CW122"/>
    <mergeCell ref="CX122:CZ122"/>
    <mergeCell ref="DA122:DC122"/>
    <mergeCell ref="DD122:DF122"/>
    <mergeCell ref="BW122:BY122"/>
    <mergeCell ref="BZ122:CB122"/>
    <mergeCell ref="CC122:CE122"/>
    <mergeCell ref="CF122:CH122"/>
    <mergeCell ref="CI122:CK122"/>
    <mergeCell ref="CL122:CN122"/>
    <mergeCell ref="DD121:DF121"/>
    <mergeCell ref="DH121:DK121"/>
    <mergeCell ref="DL121:DS121"/>
    <mergeCell ref="AL122:AO122"/>
    <mergeCell ref="BK122:BM122"/>
    <mergeCell ref="BN122:BP122"/>
    <mergeCell ref="BQ122:BS122"/>
    <mergeCell ref="BT122:BV122"/>
    <mergeCell ref="CL121:CN121"/>
    <mergeCell ref="CO121:CQ121"/>
    <mergeCell ref="CR121:CT121"/>
    <mergeCell ref="CU121:CW121"/>
    <mergeCell ref="CX121:CZ121"/>
    <mergeCell ref="DA121:DC121"/>
    <mergeCell ref="BT121:BV121"/>
    <mergeCell ref="BW121:BY121"/>
    <mergeCell ref="BZ121:CB121"/>
    <mergeCell ref="CC121:CE121"/>
    <mergeCell ref="CF121:CH121"/>
    <mergeCell ref="CI121:CK121"/>
    <mergeCell ref="AL126:AO126"/>
    <mergeCell ref="C127:D128"/>
    <mergeCell ref="G127:R128"/>
    <mergeCell ref="T127:AJ128"/>
    <mergeCell ref="AL127:AO128"/>
    <mergeCell ref="DD123:DF124"/>
    <mergeCell ref="DH123:DK124"/>
    <mergeCell ref="DL123:DS124"/>
    <mergeCell ref="C125:D125"/>
    <mergeCell ref="AL125:AO125"/>
    <mergeCell ref="DH125:DK125"/>
    <mergeCell ref="DL125:DS125"/>
    <mergeCell ref="CL123:CN124"/>
    <mergeCell ref="CO123:CQ124"/>
    <mergeCell ref="CR123:CT124"/>
    <mergeCell ref="CU123:CW124"/>
    <mergeCell ref="CX123:CZ124"/>
    <mergeCell ref="DA123:DC124"/>
    <mergeCell ref="BT123:BV124"/>
    <mergeCell ref="BW123:BY124"/>
    <mergeCell ref="BZ123:CB124"/>
    <mergeCell ref="CC123:CE124"/>
    <mergeCell ref="CF123:CH124"/>
    <mergeCell ref="CI123:CK124"/>
    <mergeCell ref="BK123:BM124"/>
    <mergeCell ref="BN123:BP124"/>
    <mergeCell ref="BQ123:BS124"/>
    <mergeCell ref="C123:D124"/>
    <mergeCell ref="G123:R124"/>
    <mergeCell ref="T123:AC124"/>
    <mergeCell ref="AF123:AI124"/>
    <mergeCell ref="AL123:AO124"/>
    <mergeCell ref="AL130:AO130"/>
    <mergeCell ref="C131:D132"/>
    <mergeCell ref="G131:R132"/>
    <mergeCell ref="T131:AJ132"/>
    <mergeCell ref="AL131:AO132"/>
    <mergeCell ref="DL127:DS128"/>
    <mergeCell ref="C129:D129"/>
    <mergeCell ref="AL129:AO129"/>
    <mergeCell ref="DH129:DK129"/>
    <mergeCell ref="DL129:DS129"/>
    <mergeCell ref="CR127:CT128"/>
    <mergeCell ref="CU127:CW128"/>
    <mergeCell ref="CX127:CZ128"/>
    <mergeCell ref="DA127:DC128"/>
    <mergeCell ref="DD127:DF128"/>
    <mergeCell ref="DH127:DK128"/>
    <mergeCell ref="BZ127:CB128"/>
    <mergeCell ref="CC127:CE128"/>
    <mergeCell ref="CF127:CH128"/>
    <mergeCell ref="CI127:CK128"/>
    <mergeCell ref="CL127:CN128"/>
    <mergeCell ref="CO127:CQ128"/>
    <mergeCell ref="BK127:BM128"/>
    <mergeCell ref="BN127:BP128"/>
    <mergeCell ref="BQ127:BS128"/>
    <mergeCell ref="BT127:BV128"/>
    <mergeCell ref="BW127:BY128"/>
    <mergeCell ref="AL134:AO134"/>
    <mergeCell ref="C135:D136"/>
    <mergeCell ref="G135:R136"/>
    <mergeCell ref="T135:AJ136"/>
    <mergeCell ref="AL135:AO136"/>
    <mergeCell ref="DL131:DS132"/>
    <mergeCell ref="C133:D133"/>
    <mergeCell ref="AL133:AO133"/>
    <mergeCell ref="DH133:DK133"/>
    <mergeCell ref="DL133:DS133"/>
    <mergeCell ref="CR131:CT132"/>
    <mergeCell ref="CU131:CW132"/>
    <mergeCell ref="CX131:CZ132"/>
    <mergeCell ref="DA131:DC132"/>
    <mergeCell ref="DD131:DF132"/>
    <mergeCell ref="DH131:DK132"/>
    <mergeCell ref="BZ131:CB132"/>
    <mergeCell ref="CC131:CE132"/>
    <mergeCell ref="CF131:CH132"/>
    <mergeCell ref="CI131:CK132"/>
    <mergeCell ref="CL131:CN132"/>
    <mergeCell ref="CO131:CQ132"/>
    <mergeCell ref="BK131:BM132"/>
    <mergeCell ref="BN131:BP132"/>
    <mergeCell ref="BQ131:BS132"/>
    <mergeCell ref="BT131:BV132"/>
    <mergeCell ref="BW131:BY132"/>
    <mergeCell ref="AL138:AO138"/>
    <mergeCell ref="C139:D140"/>
    <mergeCell ref="G139:R140"/>
    <mergeCell ref="T139:AJ140"/>
    <mergeCell ref="AL139:AO140"/>
    <mergeCell ref="DL135:DS136"/>
    <mergeCell ref="C137:D137"/>
    <mergeCell ref="AL137:AO137"/>
    <mergeCell ref="DH137:DK137"/>
    <mergeCell ref="DL137:DS137"/>
    <mergeCell ref="CR135:CT136"/>
    <mergeCell ref="CU135:CW136"/>
    <mergeCell ref="CX135:CZ136"/>
    <mergeCell ref="DA135:DC136"/>
    <mergeCell ref="DD135:DF136"/>
    <mergeCell ref="DH135:DK136"/>
    <mergeCell ref="BZ135:CB136"/>
    <mergeCell ref="CC135:CE136"/>
    <mergeCell ref="CF135:CH136"/>
    <mergeCell ref="CI135:CK136"/>
    <mergeCell ref="CL135:CN136"/>
    <mergeCell ref="CO135:CQ136"/>
    <mergeCell ref="BK135:BM136"/>
    <mergeCell ref="BN135:BP136"/>
    <mergeCell ref="BQ135:BS136"/>
    <mergeCell ref="BT135:BV136"/>
    <mergeCell ref="BW135:BY136"/>
    <mergeCell ref="AL142:AO142"/>
    <mergeCell ref="C143:D144"/>
    <mergeCell ref="G143:R144"/>
    <mergeCell ref="T143:AJ144"/>
    <mergeCell ref="AL143:AO144"/>
    <mergeCell ref="DL139:DS140"/>
    <mergeCell ref="C141:D141"/>
    <mergeCell ref="AL141:AO141"/>
    <mergeCell ref="DH141:DK141"/>
    <mergeCell ref="DL141:DS141"/>
    <mergeCell ref="CR139:CT140"/>
    <mergeCell ref="CU139:CW140"/>
    <mergeCell ref="CX139:CZ140"/>
    <mergeCell ref="DA139:DC140"/>
    <mergeCell ref="DD139:DF140"/>
    <mergeCell ref="DH139:DK140"/>
    <mergeCell ref="BZ139:CB140"/>
    <mergeCell ref="CC139:CE140"/>
    <mergeCell ref="CF139:CH140"/>
    <mergeCell ref="CI139:CK140"/>
    <mergeCell ref="CL139:CN140"/>
    <mergeCell ref="CO139:CQ140"/>
    <mergeCell ref="BK139:BM140"/>
    <mergeCell ref="BN139:BP140"/>
    <mergeCell ref="BQ139:BS140"/>
    <mergeCell ref="BT139:BV140"/>
    <mergeCell ref="BW139:BY140"/>
    <mergeCell ref="AL146:AO146"/>
    <mergeCell ref="C147:D148"/>
    <mergeCell ref="G147:R148"/>
    <mergeCell ref="T147:AJ148"/>
    <mergeCell ref="AL147:AO148"/>
    <mergeCell ref="DL143:DS144"/>
    <mergeCell ref="AL145:AO145"/>
    <mergeCell ref="DH145:DK145"/>
    <mergeCell ref="DL145:DS145"/>
    <mergeCell ref="AR143:BG144"/>
    <mergeCell ref="CR143:CT144"/>
    <mergeCell ref="CU143:CW144"/>
    <mergeCell ref="CX143:CZ144"/>
    <mergeCell ref="DA143:DC144"/>
    <mergeCell ref="DD143:DF144"/>
    <mergeCell ref="DH143:DK144"/>
    <mergeCell ref="BZ143:CB144"/>
    <mergeCell ref="CC143:CE144"/>
    <mergeCell ref="CF143:CH144"/>
    <mergeCell ref="CI143:CK144"/>
    <mergeCell ref="CL143:CN144"/>
    <mergeCell ref="CO143:CQ144"/>
    <mergeCell ref="BK143:BM144"/>
    <mergeCell ref="BN143:BP144"/>
    <mergeCell ref="BQ143:BS144"/>
    <mergeCell ref="BT143:BV144"/>
    <mergeCell ref="BW143:BY144"/>
    <mergeCell ref="AL150:AO150"/>
    <mergeCell ref="C151:D152"/>
    <mergeCell ref="G151:R152"/>
    <mergeCell ref="T151:AJ152"/>
    <mergeCell ref="AL151:AO152"/>
    <mergeCell ref="DL147:DS148"/>
    <mergeCell ref="C149:D149"/>
    <mergeCell ref="AL149:AO149"/>
    <mergeCell ref="DH149:DK149"/>
    <mergeCell ref="DL149:DS149"/>
    <mergeCell ref="AR147:BG148"/>
    <mergeCell ref="CR147:CT148"/>
    <mergeCell ref="CU147:CW148"/>
    <mergeCell ref="CX147:CZ148"/>
    <mergeCell ref="DA147:DC148"/>
    <mergeCell ref="DD147:DF148"/>
    <mergeCell ref="DH147:DK148"/>
    <mergeCell ref="BZ147:CB148"/>
    <mergeCell ref="CC147:CE148"/>
    <mergeCell ref="CF147:CH148"/>
    <mergeCell ref="CI147:CK148"/>
    <mergeCell ref="CL147:CN148"/>
    <mergeCell ref="CO147:CQ148"/>
    <mergeCell ref="BK147:BM148"/>
    <mergeCell ref="BN147:BP148"/>
    <mergeCell ref="BQ147:BS148"/>
    <mergeCell ref="BT147:BV148"/>
    <mergeCell ref="BW147:BY148"/>
    <mergeCell ref="C154:D154"/>
    <mergeCell ref="AL154:AO154"/>
    <mergeCell ref="DH154:DK154"/>
    <mergeCell ref="DL154:DS154"/>
    <mergeCell ref="DL151:DS152"/>
    <mergeCell ref="C153:D153"/>
    <mergeCell ref="AL153:AO153"/>
    <mergeCell ref="DH153:DK153"/>
    <mergeCell ref="DL153:DS153"/>
    <mergeCell ref="AR151:BG152"/>
    <mergeCell ref="CR151:CT152"/>
    <mergeCell ref="CU151:CW152"/>
    <mergeCell ref="CX151:CZ152"/>
    <mergeCell ref="DA151:DC152"/>
    <mergeCell ref="DD151:DF152"/>
    <mergeCell ref="DH151:DK152"/>
    <mergeCell ref="BZ151:CB152"/>
    <mergeCell ref="CC151:CE152"/>
    <mergeCell ref="CF151:CH152"/>
    <mergeCell ref="CI151:CK152"/>
    <mergeCell ref="CL151:CN152"/>
    <mergeCell ref="CO151:CQ152"/>
    <mergeCell ref="BK151:BM152"/>
    <mergeCell ref="BN151:BP152"/>
    <mergeCell ref="BQ151:BS152"/>
    <mergeCell ref="BT151:BV152"/>
    <mergeCell ref="BW151:BY152"/>
    <mergeCell ref="AL158:AO158"/>
    <mergeCell ref="C159:D160"/>
    <mergeCell ref="G159:R160"/>
    <mergeCell ref="T159:AJ160"/>
    <mergeCell ref="AL159:AO160"/>
    <mergeCell ref="DH155:DK156"/>
    <mergeCell ref="DL155:DS156"/>
    <mergeCell ref="C157:D157"/>
    <mergeCell ref="AL157:AO157"/>
    <mergeCell ref="DH157:DK157"/>
    <mergeCell ref="DL157:DS157"/>
    <mergeCell ref="AR155:BG156"/>
    <mergeCell ref="CO155:CQ156"/>
    <mergeCell ref="CR155:CT156"/>
    <mergeCell ref="CU155:CW156"/>
    <mergeCell ref="CX155:CZ156"/>
    <mergeCell ref="DA155:DC156"/>
    <mergeCell ref="DD155:DF156"/>
    <mergeCell ref="BW155:BY156"/>
    <mergeCell ref="BZ155:CB156"/>
    <mergeCell ref="CC155:CE156"/>
    <mergeCell ref="CF155:CH156"/>
    <mergeCell ref="CI155:CK156"/>
    <mergeCell ref="CL155:CN156"/>
    <mergeCell ref="BK155:BM156"/>
    <mergeCell ref="BN155:BP156"/>
    <mergeCell ref="BQ155:BS156"/>
    <mergeCell ref="BT155:BV156"/>
    <mergeCell ref="C155:D156"/>
    <mergeCell ref="G155:R156"/>
    <mergeCell ref="T155:AJ156"/>
    <mergeCell ref="AL155:AO156"/>
    <mergeCell ref="C162:D162"/>
    <mergeCell ref="AL162:AO162"/>
    <mergeCell ref="DH162:DK162"/>
    <mergeCell ref="DL162:DS162"/>
    <mergeCell ref="DL159:DS160"/>
    <mergeCell ref="C161:D161"/>
    <mergeCell ref="AL161:AO161"/>
    <mergeCell ref="DH161:DK161"/>
    <mergeCell ref="DL161:DS161"/>
    <mergeCell ref="AR159:BG160"/>
    <mergeCell ref="CR159:CT160"/>
    <mergeCell ref="CU159:CW160"/>
    <mergeCell ref="CX159:CZ160"/>
    <mergeCell ref="DA159:DC160"/>
    <mergeCell ref="DD159:DF160"/>
    <mergeCell ref="DH159:DK160"/>
    <mergeCell ref="BZ159:CB160"/>
    <mergeCell ref="CC159:CE160"/>
    <mergeCell ref="CF159:CH160"/>
    <mergeCell ref="CI159:CK160"/>
    <mergeCell ref="CL159:CN160"/>
    <mergeCell ref="CO159:CQ160"/>
    <mergeCell ref="BK159:BM160"/>
    <mergeCell ref="BN159:BP160"/>
    <mergeCell ref="BQ159:BS160"/>
    <mergeCell ref="BT159:BV160"/>
    <mergeCell ref="BW159:BY160"/>
    <mergeCell ref="C166:D166"/>
    <mergeCell ref="AL166:AO166"/>
    <mergeCell ref="DH166:DK166"/>
    <mergeCell ref="DL166:DS166"/>
    <mergeCell ref="DH163:DK164"/>
    <mergeCell ref="DL163:DS164"/>
    <mergeCell ref="C165:D165"/>
    <mergeCell ref="AL165:AO165"/>
    <mergeCell ref="DH165:DK165"/>
    <mergeCell ref="DL165:DS165"/>
    <mergeCell ref="AR163:BG164"/>
    <mergeCell ref="CO163:CQ164"/>
    <mergeCell ref="CR163:CT164"/>
    <mergeCell ref="CU163:CW164"/>
    <mergeCell ref="CX163:CZ164"/>
    <mergeCell ref="DA163:DC164"/>
    <mergeCell ref="DD163:DF164"/>
    <mergeCell ref="BW163:BY164"/>
    <mergeCell ref="BZ163:CB164"/>
    <mergeCell ref="CC163:CE164"/>
    <mergeCell ref="CF163:CH164"/>
    <mergeCell ref="CI163:CK164"/>
    <mergeCell ref="CL163:CN164"/>
    <mergeCell ref="BK163:BM164"/>
    <mergeCell ref="BN163:BP164"/>
    <mergeCell ref="BQ163:BS164"/>
    <mergeCell ref="BT163:BV164"/>
    <mergeCell ref="C163:D164"/>
    <mergeCell ref="G163:R164"/>
    <mergeCell ref="T163:AJ164"/>
    <mergeCell ref="AL163:AO164"/>
    <mergeCell ref="C170:D170"/>
    <mergeCell ref="AL170:AO170"/>
    <mergeCell ref="DH170:DK170"/>
    <mergeCell ref="DL170:DS170"/>
    <mergeCell ref="DH167:DK168"/>
    <mergeCell ref="DL167:DS168"/>
    <mergeCell ref="C169:D169"/>
    <mergeCell ref="AL169:AO169"/>
    <mergeCell ref="DH169:DK169"/>
    <mergeCell ref="DL169:DS169"/>
    <mergeCell ref="AR167:BG168"/>
    <mergeCell ref="CO167:CQ168"/>
    <mergeCell ref="CR167:CT168"/>
    <mergeCell ref="CU167:CW168"/>
    <mergeCell ref="CX167:CZ168"/>
    <mergeCell ref="DA167:DC168"/>
    <mergeCell ref="DD167:DF168"/>
    <mergeCell ref="BW167:BY168"/>
    <mergeCell ref="BZ167:CB168"/>
    <mergeCell ref="CC167:CE168"/>
    <mergeCell ref="CF167:CH168"/>
    <mergeCell ref="CI167:CK168"/>
    <mergeCell ref="CL167:CN168"/>
    <mergeCell ref="BK167:BM168"/>
    <mergeCell ref="BN167:BP168"/>
    <mergeCell ref="BQ167:BS168"/>
    <mergeCell ref="BT167:BV168"/>
    <mergeCell ref="C167:D168"/>
    <mergeCell ref="G167:R168"/>
    <mergeCell ref="T167:AJ168"/>
    <mergeCell ref="AL167:AO168"/>
    <mergeCell ref="C174:D174"/>
    <mergeCell ref="AL174:AO174"/>
    <mergeCell ref="DH174:DK174"/>
    <mergeCell ref="DL174:DS174"/>
    <mergeCell ref="DH171:DK172"/>
    <mergeCell ref="DL171:DS172"/>
    <mergeCell ref="C173:D173"/>
    <mergeCell ref="AL173:AO173"/>
    <mergeCell ref="DH173:DK173"/>
    <mergeCell ref="DL173:DS173"/>
    <mergeCell ref="AR171:BG172"/>
    <mergeCell ref="CO171:CQ172"/>
    <mergeCell ref="CR171:CT172"/>
    <mergeCell ref="CU171:CW172"/>
    <mergeCell ref="CX171:CZ172"/>
    <mergeCell ref="DA171:DC172"/>
    <mergeCell ref="DD171:DF172"/>
    <mergeCell ref="BW171:BY172"/>
    <mergeCell ref="BZ171:CB172"/>
    <mergeCell ref="CC171:CE172"/>
    <mergeCell ref="CF171:CH172"/>
    <mergeCell ref="CI171:CK172"/>
    <mergeCell ref="CL171:CN172"/>
    <mergeCell ref="BK171:BM172"/>
    <mergeCell ref="BN171:BP172"/>
    <mergeCell ref="BQ171:BS172"/>
    <mergeCell ref="BT171:BV172"/>
    <mergeCell ref="C171:D172"/>
    <mergeCell ref="G171:R172"/>
    <mergeCell ref="T171:AJ172"/>
    <mergeCell ref="AL171:AO172"/>
    <mergeCell ref="C178:D178"/>
    <mergeCell ref="AL178:AO178"/>
    <mergeCell ref="DH178:DK178"/>
    <mergeCell ref="DL178:DS178"/>
    <mergeCell ref="DH175:DK176"/>
    <mergeCell ref="DL175:DS176"/>
    <mergeCell ref="C177:D177"/>
    <mergeCell ref="AL177:AO177"/>
    <mergeCell ref="DH177:DK177"/>
    <mergeCell ref="DL177:DS177"/>
    <mergeCell ref="AR175:BG176"/>
    <mergeCell ref="CO175:CQ176"/>
    <mergeCell ref="CR175:CT176"/>
    <mergeCell ref="CU175:CW176"/>
    <mergeCell ref="CX175:CZ176"/>
    <mergeCell ref="DA175:DC176"/>
    <mergeCell ref="DD175:DF176"/>
    <mergeCell ref="BW175:BY176"/>
    <mergeCell ref="BZ175:CB176"/>
    <mergeCell ref="CC175:CE176"/>
    <mergeCell ref="CF175:CH176"/>
    <mergeCell ref="CI175:CK176"/>
    <mergeCell ref="CL175:CN176"/>
    <mergeCell ref="BK175:BM176"/>
    <mergeCell ref="BN175:BP176"/>
    <mergeCell ref="BQ175:BS176"/>
    <mergeCell ref="BT175:BV176"/>
    <mergeCell ref="C175:D176"/>
    <mergeCell ref="G175:R176"/>
    <mergeCell ref="T175:AJ176"/>
    <mergeCell ref="AL175:AO176"/>
    <mergeCell ref="AL183:AO184"/>
    <mergeCell ref="C182:D182"/>
    <mergeCell ref="AL182:AO182"/>
    <mergeCell ref="DH182:DK182"/>
    <mergeCell ref="DL182:DS182"/>
    <mergeCell ref="DH179:DK180"/>
    <mergeCell ref="DL179:DS180"/>
    <mergeCell ref="C181:D181"/>
    <mergeCell ref="AL181:AO181"/>
    <mergeCell ref="DH181:DK181"/>
    <mergeCell ref="DL181:DS181"/>
    <mergeCell ref="AR179:BG180"/>
    <mergeCell ref="CO179:CQ180"/>
    <mergeCell ref="CR179:CT180"/>
    <mergeCell ref="CU179:CW180"/>
    <mergeCell ref="CX179:CZ180"/>
    <mergeCell ref="DA179:DC180"/>
    <mergeCell ref="DD179:DF180"/>
    <mergeCell ref="BW179:BY180"/>
    <mergeCell ref="BZ179:CB180"/>
    <mergeCell ref="CC179:CE180"/>
    <mergeCell ref="CF179:CH180"/>
    <mergeCell ref="CI179:CK180"/>
    <mergeCell ref="CL179:CN180"/>
    <mergeCell ref="BK179:BM180"/>
    <mergeCell ref="BN179:BP180"/>
    <mergeCell ref="BQ179:BS180"/>
    <mergeCell ref="BT179:BV180"/>
    <mergeCell ref="C179:D180"/>
    <mergeCell ref="G179:R180"/>
    <mergeCell ref="T179:AJ180"/>
    <mergeCell ref="AL179:AO180"/>
    <mergeCell ref="T187:AJ188"/>
    <mergeCell ref="AL187:AO188"/>
    <mergeCell ref="C186:D186"/>
    <mergeCell ref="AL186:AO186"/>
    <mergeCell ref="DH186:DK186"/>
    <mergeCell ref="DL186:DS186"/>
    <mergeCell ref="DH183:DK184"/>
    <mergeCell ref="DL183:DS184"/>
    <mergeCell ref="C185:D185"/>
    <mergeCell ref="AL185:AO185"/>
    <mergeCell ref="DH185:DK185"/>
    <mergeCell ref="DL185:DS185"/>
    <mergeCell ref="AR183:BG184"/>
    <mergeCell ref="CO183:CQ184"/>
    <mergeCell ref="CR183:CT184"/>
    <mergeCell ref="CU183:CW184"/>
    <mergeCell ref="CX183:CZ184"/>
    <mergeCell ref="DA183:DC184"/>
    <mergeCell ref="DD183:DF184"/>
    <mergeCell ref="BW183:BY184"/>
    <mergeCell ref="BZ183:CB184"/>
    <mergeCell ref="CC183:CE184"/>
    <mergeCell ref="CF183:CH184"/>
    <mergeCell ref="CI183:CK184"/>
    <mergeCell ref="CL183:CN184"/>
    <mergeCell ref="BK183:BM184"/>
    <mergeCell ref="BN183:BP184"/>
    <mergeCell ref="BQ183:BS184"/>
    <mergeCell ref="BT183:BV184"/>
    <mergeCell ref="C183:D184"/>
    <mergeCell ref="G183:R184"/>
    <mergeCell ref="T183:AJ184"/>
    <mergeCell ref="AL190:AO190"/>
    <mergeCell ref="DH190:DK190"/>
    <mergeCell ref="DL190:DS190"/>
    <mergeCell ref="C191:D192"/>
    <mergeCell ref="G191:R192"/>
    <mergeCell ref="T191:AJ192"/>
    <mergeCell ref="AL191:AO192"/>
    <mergeCell ref="DH187:DK188"/>
    <mergeCell ref="DL187:DS188"/>
    <mergeCell ref="C189:D189"/>
    <mergeCell ref="AL189:AO189"/>
    <mergeCell ref="DH189:DK189"/>
    <mergeCell ref="DL189:DS189"/>
    <mergeCell ref="AR187:BG188"/>
    <mergeCell ref="CO187:CQ188"/>
    <mergeCell ref="CR187:CT188"/>
    <mergeCell ref="CU187:CW188"/>
    <mergeCell ref="CX187:CZ188"/>
    <mergeCell ref="DA187:DC188"/>
    <mergeCell ref="DD187:DF188"/>
    <mergeCell ref="BW187:BY188"/>
    <mergeCell ref="BZ187:CB188"/>
    <mergeCell ref="CC187:CE188"/>
    <mergeCell ref="CF187:CH188"/>
    <mergeCell ref="CI187:CK188"/>
    <mergeCell ref="CL187:CN188"/>
    <mergeCell ref="BK187:BM188"/>
    <mergeCell ref="BN187:BP188"/>
    <mergeCell ref="BQ187:BS188"/>
    <mergeCell ref="BT187:BV188"/>
    <mergeCell ref="C187:D188"/>
    <mergeCell ref="G187:R188"/>
    <mergeCell ref="DD191:DF192"/>
    <mergeCell ref="DH191:DK192"/>
    <mergeCell ref="DL191:DS192"/>
    <mergeCell ref="AL193:AO193"/>
    <mergeCell ref="DH193:DK193"/>
    <mergeCell ref="DL193:DS193"/>
    <mergeCell ref="AR191:BG192"/>
    <mergeCell ref="CL191:CN192"/>
    <mergeCell ref="CO191:CQ192"/>
    <mergeCell ref="CR191:CT192"/>
    <mergeCell ref="CU191:CW192"/>
    <mergeCell ref="CX191:CZ192"/>
    <mergeCell ref="DA191:DC192"/>
    <mergeCell ref="BT191:BV192"/>
    <mergeCell ref="BW191:BY192"/>
    <mergeCell ref="BZ191:CB192"/>
    <mergeCell ref="CC191:CE192"/>
    <mergeCell ref="CF191:CH192"/>
    <mergeCell ref="CI191:CK192"/>
    <mergeCell ref="BK191:BM192"/>
    <mergeCell ref="BN191:BP192"/>
    <mergeCell ref="BQ191:BS192"/>
    <mergeCell ref="CU195:CW196"/>
    <mergeCell ref="CX195:CZ196"/>
    <mergeCell ref="DA195:DC196"/>
    <mergeCell ref="BT195:BV196"/>
    <mergeCell ref="BW195:BY196"/>
    <mergeCell ref="BZ195:CB196"/>
    <mergeCell ref="CC195:CE196"/>
    <mergeCell ref="CF195:CH196"/>
    <mergeCell ref="CI195:CK196"/>
    <mergeCell ref="BK195:BM196"/>
    <mergeCell ref="BN195:BP196"/>
    <mergeCell ref="BQ195:BS196"/>
    <mergeCell ref="AL194:AO194"/>
    <mergeCell ref="DH194:DK194"/>
    <mergeCell ref="DL194:DS194"/>
    <mergeCell ref="C195:D196"/>
    <mergeCell ref="G195:R196"/>
    <mergeCell ref="T195:AJ196"/>
    <mergeCell ref="AL195:AO196"/>
    <mergeCell ref="AR203:BG204"/>
    <mergeCell ref="AQ114:BH117"/>
    <mergeCell ref="A209:BI210"/>
    <mergeCell ref="A212:BI213"/>
    <mergeCell ref="AR119:BG120"/>
    <mergeCell ref="AR123:BG124"/>
    <mergeCell ref="AR127:BG128"/>
    <mergeCell ref="AR131:BG132"/>
    <mergeCell ref="AR135:BG136"/>
    <mergeCell ref="AR139:BG140"/>
    <mergeCell ref="DH203:DK203"/>
    <mergeCell ref="DL203:DS204"/>
    <mergeCell ref="AL206:AO206"/>
    <mergeCell ref="DH206:DK206"/>
    <mergeCell ref="DL206:DS206"/>
    <mergeCell ref="C203:D204"/>
    <mergeCell ref="G203:R204"/>
    <mergeCell ref="T203:AJ204"/>
    <mergeCell ref="AL203:AO204"/>
    <mergeCell ref="AL198:AO198"/>
    <mergeCell ref="DH198:DK198"/>
    <mergeCell ref="DL198:DS198"/>
    <mergeCell ref="DD195:DF196"/>
    <mergeCell ref="DH195:DK196"/>
    <mergeCell ref="DL195:DS196"/>
    <mergeCell ref="AL197:AO197"/>
    <mergeCell ref="DH197:DK197"/>
    <mergeCell ref="DL197:DS197"/>
    <mergeCell ref="AR195:BG196"/>
    <mergeCell ref="CL195:CN196"/>
    <mergeCell ref="CO195:CQ196"/>
    <mergeCell ref="CR195:CT196"/>
  </mergeCells>
  <dataValidations count="5">
    <dataValidation type="list" allowBlank="1" showInputMessage="1" showErrorMessage="1" sqref="AO31:AP33" xr:uid="{39FFE771-4D1F-437B-B45A-14576AB5ED10}">
      <formula1>"10,15,20,25,30"</formula1>
    </dataValidation>
    <dataValidation type="list" allowBlank="1" showInputMessage="1" showErrorMessage="1" sqref="CI111:CN112" xr:uid="{E50E6D09-000C-45FD-8DF2-EF89E2278E29}">
      <formula1>"EUR,USD,ZAR"</formula1>
    </dataValidation>
    <dataValidation type="list" allowBlank="1" showInputMessage="1" showErrorMessage="1" sqref="AI78 AI74 AI82 AI86" xr:uid="{B34E4A4E-A6D8-4461-9315-8DD4E83354DE}">
      <formula1>"Included,Not Included"</formula1>
    </dataValidation>
    <dataValidation type="list" allowBlank="1" showInputMessage="1" showErrorMessage="1" sqref="N74:R75" xr:uid="{10B657A0-0B7E-4BF8-9C4D-835488B10C0E}">
      <formula1>$DW$111:$DW$113</formula1>
    </dataValidation>
    <dataValidation type="list" allowBlank="1" showInputMessage="1" showErrorMessage="1" sqref="AO35:AV36" xr:uid="{FFBE5CF6-B168-4011-9E14-52E526ADB1E3}">
      <formula1>$BK$1:$BK$21</formula1>
    </dataValidation>
  </dataValidations>
  <pageMargins left="0.7" right="0.7" top="0.75" bottom="0.75" header="0.3" footer="0.3"/>
  <pageSetup paperSize="9" scale="85" fitToWidth="0" fitToHeight="0" orientation="portrait" r:id="rId1"/>
  <headerFooter>
    <oddFooter>&amp;R&amp;"Yu Gothic Medium,Regular"&amp;10Page &amp;P of &amp;N</oddFooter>
  </headerFooter>
  <rowBreaks count="1" manualBreakCount="1">
    <brk id="108" max="6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7FC25-11E9-4ED6-AA03-D3CDE8C7DA02}">
  <sheetPr codeName="Sheet39">
    <tabColor theme="2" tint="-0.249977111117893"/>
  </sheetPr>
  <dimension ref="A1:DT211"/>
  <sheetViews>
    <sheetView view="pageBreakPreview" topLeftCell="A176" zoomScaleNormal="100" zoomScaleSheetLayoutView="100" workbookViewId="0">
      <selection activeCell="AL199" sqref="AL199:AO200"/>
    </sheetView>
  </sheetViews>
  <sheetFormatPr defaultColWidth="1.54296875" defaultRowHeight="7.4" customHeight="1" x14ac:dyDescent="0.5"/>
  <cols>
    <col min="1" max="2" width="1.54296875" style="24"/>
    <col min="3" max="3" width="1.453125" style="24" customWidth="1"/>
    <col min="4" max="6" width="1.54296875" style="24"/>
    <col min="7" max="7" width="1.54296875" style="24" customWidth="1"/>
    <col min="8" max="19" width="1.54296875" style="24"/>
    <col min="20" max="20" width="1.453125" style="24" customWidth="1"/>
    <col min="21" max="22" width="1.54296875" style="24"/>
    <col min="23" max="23" width="1.54296875" style="24" customWidth="1"/>
    <col min="24" max="30" width="1.54296875" style="24"/>
    <col min="31" max="31" width="1.54296875" style="24" customWidth="1"/>
    <col min="32" max="38" width="1.54296875" style="24"/>
    <col min="39" max="54" width="1.54296875" style="24" customWidth="1"/>
    <col min="55" max="55" width="1.453125" style="24" customWidth="1"/>
    <col min="56" max="61" width="1.54296875" style="24"/>
    <col min="62" max="67" width="0" style="24" hidden="1" customWidth="1"/>
    <col min="68" max="68" width="1.453125" style="24" hidden="1" customWidth="1"/>
    <col min="69" max="92" width="0" style="24" hidden="1" customWidth="1"/>
    <col min="93" max="93" width="1.453125" style="24" hidden="1" customWidth="1"/>
    <col min="94" max="100" width="0" style="24" hidden="1" customWidth="1"/>
    <col min="101" max="111" width="1.54296875" style="24" hidden="1" customWidth="1"/>
    <col min="112" max="112" width="1.54296875" style="75" hidden="1" customWidth="1"/>
    <col min="113" max="113" width="5.81640625" style="75" hidden="1" customWidth="1"/>
    <col min="114" max="114" width="0" style="75" hidden="1" customWidth="1"/>
    <col min="115" max="116" width="1.54296875" style="75"/>
    <col min="117" max="16384" width="1.54296875" style="24"/>
  </cols>
  <sheetData>
    <row r="1" spans="1:63" ht="7.4" customHeight="1" x14ac:dyDescent="0.5">
      <c r="C1" s="333" t="e" vm="5">
        <v>#VALUE!</v>
      </c>
      <c r="D1" s="333"/>
      <c r="E1" s="333"/>
      <c r="F1" s="333"/>
      <c r="G1" s="333"/>
      <c r="H1" s="333"/>
      <c r="I1" s="333"/>
      <c r="J1" s="333"/>
      <c r="K1" s="333"/>
      <c r="L1" s="333"/>
      <c r="M1" s="333"/>
      <c r="N1" s="333"/>
      <c r="O1" s="333"/>
      <c r="P1" s="333"/>
      <c r="Q1" s="333"/>
      <c r="R1" s="333"/>
      <c r="S1" s="333"/>
      <c r="T1" s="333"/>
      <c r="U1" s="333"/>
      <c r="V1" s="333"/>
      <c r="W1" s="333"/>
      <c r="X1" s="333"/>
      <c r="Y1" s="333"/>
      <c r="Z1" s="333"/>
      <c r="AA1" s="333"/>
      <c r="AB1" s="333"/>
      <c r="AC1" s="333"/>
      <c r="AD1" s="333"/>
      <c r="AE1" s="333"/>
      <c r="AF1" s="333"/>
      <c r="AG1" s="333"/>
      <c r="AH1" s="333"/>
      <c r="AI1" s="333"/>
      <c r="AN1" s="405" t="s">
        <v>0</v>
      </c>
      <c r="AO1" s="405"/>
      <c r="AP1" s="405"/>
      <c r="AQ1" s="405"/>
      <c r="AR1" s="405"/>
      <c r="AS1" s="405"/>
      <c r="AT1" s="405"/>
      <c r="AU1" s="405"/>
      <c r="AV1" s="405"/>
      <c r="AW1" s="405"/>
      <c r="AX1" s="405"/>
      <c r="AY1" s="405"/>
      <c r="AZ1" s="405"/>
      <c r="BA1" s="405"/>
      <c r="BB1" s="405"/>
      <c r="BC1" s="405"/>
      <c r="BD1" s="405"/>
      <c r="BE1" s="405"/>
      <c r="BF1" s="405"/>
      <c r="BG1" s="405"/>
      <c r="BH1" s="405"/>
      <c r="BK1" s="24" t="s">
        <v>1</v>
      </c>
    </row>
    <row r="2" spans="1:63" ht="7.4" customHeight="1" x14ac:dyDescent="0.5">
      <c r="C2" s="333"/>
      <c r="D2" s="333"/>
      <c r="E2" s="333"/>
      <c r="F2" s="333"/>
      <c r="G2" s="333"/>
      <c r="H2" s="333"/>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N2" s="405"/>
      <c r="AO2" s="405"/>
      <c r="AP2" s="405"/>
      <c r="AQ2" s="405"/>
      <c r="AR2" s="405"/>
      <c r="AS2" s="405"/>
      <c r="AT2" s="405"/>
      <c r="AU2" s="405"/>
      <c r="AV2" s="405"/>
      <c r="AW2" s="405"/>
      <c r="AX2" s="405"/>
      <c r="AY2" s="405"/>
      <c r="AZ2" s="405"/>
      <c r="BA2" s="405"/>
      <c r="BB2" s="405"/>
      <c r="BC2" s="405"/>
      <c r="BD2" s="405"/>
      <c r="BE2" s="405"/>
      <c r="BF2" s="405"/>
      <c r="BG2" s="405"/>
      <c r="BH2" s="405"/>
      <c r="BK2" s="24" t="s">
        <v>2</v>
      </c>
    </row>
    <row r="3" spans="1:63" ht="7.4" customHeight="1" x14ac:dyDescent="0.5">
      <c r="C3" s="333"/>
      <c r="D3" s="333"/>
      <c r="E3" s="333"/>
      <c r="F3" s="333"/>
      <c r="G3" s="333"/>
      <c r="H3" s="333"/>
      <c r="I3" s="333"/>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N3" s="314" t="s">
        <v>3</v>
      </c>
      <c r="AO3" s="314"/>
      <c r="AP3" s="314"/>
      <c r="AQ3" s="314"/>
      <c r="AR3" s="314"/>
      <c r="AS3" s="314"/>
      <c r="AT3" s="314"/>
      <c r="AU3" s="314"/>
      <c r="AV3" s="314"/>
      <c r="AW3" s="314"/>
      <c r="AX3" s="314"/>
      <c r="AY3" s="314"/>
      <c r="AZ3" s="314"/>
      <c r="BA3" s="314"/>
      <c r="BB3" s="314"/>
      <c r="BC3" s="314"/>
      <c r="BD3" s="314"/>
      <c r="BE3" s="314"/>
      <c r="BF3" s="314"/>
      <c r="BG3" s="314"/>
      <c r="BH3" s="314"/>
      <c r="BK3" s="24" t="s">
        <v>4</v>
      </c>
    </row>
    <row r="4" spans="1:63" ht="7.4" customHeight="1" x14ac:dyDescent="0.5">
      <c r="C4" s="333"/>
      <c r="D4" s="333"/>
      <c r="E4" s="333"/>
      <c r="F4" s="333"/>
      <c r="G4" s="333"/>
      <c r="H4" s="333"/>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N4" s="314"/>
      <c r="AO4" s="314"/>
      <c r="AP4" s="314"/>
      <c r="AQ4" s="314"/>
      <c r="AR4" s="314"/>
      <c r="AS4" s="314"/>
      <c r="AT4" s="314"/>
      <c r="AU4" s="314"/>
      <c r="AV4" s="314"/>
      <c r="AW4" s="314"/>
      <c r="AX4" s="314"/>
      <c r="AY4" s="314"/>
      <c r="AZ4" s="314"/>
      <c r="BA4" s="314"/>
      <c r="BB4" s="314"/>
      <c r="BC4" s="314"/>
      <c r="BD4" s="314"/>
      <c r="BE4" s="314"/>
      <c r="BF4" s="314"/>
      <c r="BG4" s="314"/>
      <c r="BH4" s="314"/>
      <c r="BK4" s="24" t="s">
        <v>122</v>
      </c>
    </row>
    <row r="5" spans="1:63" ht="7.4" customHeight="1" x14ac:dyDescent="0.5">
      <c r="C5" s="333"/>
      <c r="D5" s="333"/>
      <c r="E5" s="333"/>
      <c r="F5" s="333"/>
      <c r="G5" s="333"/>
      <c r="H5" s="333"/>
      <c r="I5" s="333"/>
      <c r="J5" s="333"/>
      <c r="K5" s="333"/>
      <c r="L5" s="333"/>
      <c r="M5" s="333"/>
      <c r="N5" s="333"/>
      <c r="O5" s="333"/>
      <c r="P5" s="333"/>
      <c r="Q5" s="333"/>
      <c r="R5" s="333"/>
      <c r="S5" s="333"/>
      <c r="T5" s="333"/>
      <c r="U5" s="333"/>
      <c r="V5" s="333"/>
      <c r="W5" s="333"/>
      <c r="X5" s="333"/>
      <c r="Y5" s="333"/>
      <c r="Z5" s="333"/>
      <c r="AA5" s="333"/>
      <c r="AB5" s="333"/>
      <c r="AC5" s="333"/>
      <c r="AD5" s="333"/>
      <c r="AE5" s="333"/>
      <c r="AF5" s="333"/>
      <c r="AG5" s="333"/>
      <c r="AH5" s="333"/>
      <c r="AI5" s="333"/>
      <c r="AN5" s="406" t="s">
        <v>6</v>
      </c>
      <c r="AO5" s="314"/>
      <c r="AP5" s="314"/>
      <c r="AQ5" s="314"/>
      <c r="AR5" s="314"/>
      <c r="AS5" s="314"/>
      <c r="AT5" s="314"/>
      <c r="AU5" s="314"/>
      <c r="AV5" s="314"/>
      <c r="AW5" s="314"/>
      <c r="AX5" s="314"/>
      <c r="AY5" s="314"/>
      <c r="AZ5" s="314"/>
      <c r="BA5" s="314"/>
      <c r="BB5" s="314"/>
      <c r="BC5" s="314"/>
      <c r="BD5" s="314"/>
      <c r="BE5" s="314"/>
      <c r="BF5" s="314"/>
      <c r="BG5" s="314"/>
      <c r="BH5" s="314"/>
      <c r="BK5" s="24" t="s">
        <v>5</v>
      </c>
    </row>
    <row r="6" spans="1:63" ht="7.4" customHeight="1" x14ac:dyDescent="0.5">
      <c r="C6" s="333"/>
      <c r="D6" s="333"/>
      <c r="E6" s="333"/>
      <c r="F6" s="333"/>
      <c r="G6" s="333"/>
      <c r="H6" s="333"/>
      <c r="I6" s="333"/>
      <c r="J6" s="333"/>
      <c r="K6" s="333"/>
      <c r="L6" s="333"/>
      <c r="M6" s="333"/>
      <c r="N6" s="333"/>
      <c r="O6" s="333"/>
      <c r="P6" s="333"/>
      <c r="Q6" s="333"/>
      <c r="R6" s="333"/>
      <c r="S6" s="333"/>
      <c r="T6" s="333"/>
      <c r="U6" s="333"/>
      <c r="V6" s="333"/>
      <c r="W6" s="333"/>
      <c r="X6" s="333"/>
      <c r="Y6" s="333"/>
      <c r="Z6" s="333"/>
      <c r="AA6" s="333"/>
      <c r="AB6" s="333"/>
      <c r="AC6" s="333"/>
      <c r="AD6" s="333"/>
      <c r="AE6" s="333"/>
      <c r="AF6" s="333"/>
      <c r="AG6" s="333"/>
      <c r="AH6" s="333"/>
      <c r="AI6" s="333"/>
      <c r="AN6" s="314"/>
      <c r="AO6" s="314"/>
      <c r="AP6" s="314"/>
      <c r="AQ6" s="314"/>
      <c r="AR6" s="314"/>
      <c r="AS6" s="314"/>
      <c r="AT6" s="314"/>
      <c r="AU6" s="314"/>
      <c r="AV6" s="314"/>
      <c r="AW6" s="314"/>
      <c r="AX6" s="314"/>
      <c r="AY6" s="314"/>
      <c r="AZ6" s="314"/>
      <c r="BA6" s="314"/>
      <c r="BB6" s="314"/>
      <c r="BC6" s="314"/>
      <c r="BD6" s="314"/>
      <c r="BE6" s="314"/>
      <c r="BF6" s="314"/>
      <c r="BG6" s="314"/>
      <c r="BH6" s="314"/>
      <c r="BK6" s="24" t="s">
        <v>123</v>
      </c>
    </row>
    <row r="7" spans="1:63" ht="7.4" customHeight="1" x14ac:dyDescent="0.5">
      <c r="C7" s="333"/>
      <c r="D7" s="333"/>
      <c r="E7" s="333"/>
      <c r="F7" s="333"/>
      <c r="G7" s="333"/>
      <c r="H7" s="333"/>
      <c r="I7" s="333"/>
      <c r="J7" s="333"/>
      <c r="K7" s="333"/>
      <c r="L7" s="333"/>
      <c r="M7" s="333"/>
      <c r="N7" s="333"/>
      <c r="O7" s="333"/>
      <c r="P7" s="333"/>
      <c r="Q7" s="333"/>
      <c r="R7" s="333"/>
      <c r="S7" s="333"/>
      <c r="T7" s="333"/>
      <c r="U7" s="333"/>
      <c r="V7" s="333"/>
      <c r="W7" s="333"/>
      <c r="X7" s="333"/>
      <c r="Y7" s="333"/>
      <c r="Z7" s="333"/>
      <c r="AA7" s="333"/>
      <c r="AB7" s="333"/>
      <c r="AC7" s="333"/>
      <c r="AD7" s="333"/>
      <c r="AE7" s="333"/>
      <c r="AF7" s="333"/>
      <c r="AG7" s="333"/>
      <c r="AH7" s="333"/>
      <c r="AI7" s="333"/>
      <c r="AN7" s="405" t="s">
        <v>9</v>
      </c>
      <c r="AO7" s="405"/>
      <c r="AP7" s="405"/>
      <c r="AQ7" s="405"/>
      <c r="AR7" s="405"/>
      <c r="AS7" s="405"/>
      <c r="AT7" s="405"/>
      <c r="AU7" s="405"/>
      <c r="AV7" s="405"/>
      <c r="AW7" s="405"/>
      <c r="AX7" s="405"/>
      <c r="AY7" s="405"/>
      <c r="AZ7" s="405"/>
      <c r="BA7" s="405"/>
      <c r="BB7" s="405"/>
      <c r="BC7" s="405"/>
      <c r="BD7" s="405"/>
      <c r="BE7" s="405"/>
      <c r="BF7" s="405"/>
      <c r="BG7" s="405"/>
      <c r="BH7" s="405"/>
      <c r="BK7" s="24" t="s">
        <v>8</v>
      </c>
    </row>
    <row r="8" spans="1:63" ht="7.4" customHeight="1" x14ac:dyDescent="0.5">
      <c r="C8" s="333"/>
      <c r="D8" s="333"/>
      <c r="E8" s="333"/>
      <c r="F8" s="333"/>
      <c r="G8" s="333"/>
      <c r="H8" s="333"/>
      <c r="I8" s="333"/>
      <c r="J8" s="333"/>
      <c r="K8" s="333"/>
      <c r="L8" s="333"/>
      <c r="M8" s="333"/>
      <c r="N8" s="333"/>
      <c r="O8" s="333"/>
      <c r="P8" s="333"/>
      <c r="Q8" s="333"/>
      <c r="R8" s="333"/>
      <c r="S8" s="333"/>
      <c r="T8" s="333"/>
      <c r="U8" s="333"/>
      <c r="V8" s="333"/>
      <c r="W8" s="333"/>
      <c r="X8" s="333"/>
      <c r="Y8" s="333"/>
      <c r="Z8" s="333"/>
      <c r="AA8" s="333"/>
      <c r="AB8" s="333"/>
      <c r="AC8" s="333"/>
      <c r="AD8" s="333"/>
      <c r="AE8" s="333"/>
      <c r="AF8" s="333"/>
      <c r="AG8" s="333"/>
      <c r="AH8" s="333"/>
      <c r="AI8" s="333"/>
      <c r="AN8" s="405"/>
      <c r="AO8" s="405"/>
      <c r="AP8" s="405"/>
      <c r="AQ8" s="405"/>
      <c r="AR8" s="405"/>
      <c r="AS8" s="405"/>
      <c r="AT8" s="405"/>
      <c r="AU8" s="405"/>
      <c r="AV8" s="405"/>
      <c r="AW8" s="405"/>
      <c r="AX8" s="405"/>
      <c r="AY8" s="405"/>
      <c r="AZ8" s="405"/>
      <c r="BA8" s="405"/>
      <c r="BB8" s="405"/>
      <c r="BC8" s="405"/>
      <c r="BD8" s="405"/>
      <c r="BE8" s="405"/>
      <c r="BF8" s="405"/>
      <c r="BG8" s="405"/>
      <c r="BH8" s="405"/>
      <c r="BK8" s="24" t="s">
        <v>10</v>
      </c>
    </row>
    <row r="9" spans="1:63" ht="7.4" customHeight="1" x14ac:dyDescent="0.5">
      <c r="C9" s="404"/>
      <c r="D9" s="404"/>
      <c r="E9" s="404"/>
      <c r="F9" s="404"/>
      <c r="G9" s="404"/>
      <c r="H9" s="404"/>
      <c r="I9" s="404"/>
      <c r="J9" s="404"/>
      <c r="K9" s="404"/>
      <c r="L9" s="404"/>
      <c r="M9" s="404"/>
      <c r="N9" s="404"/>
      <c r="O9" s="404"/>
      <c r="P9" s="404"/>
      <c r="Q9" s="404"/>
      <c r="R9" s="404"/>
      <c r="S9" s="404"/>
      <c r="T9" s="404"/>
      <c r="U9" s="404"/>
      <c r="V9" s="404"/>
      <c r="W9" s="404"/>
      <c r="X9" s="404"/>
      <c r="Y9" s="404"/>
      <c r="Z9" s="404"/>
      <c r="AA9" s="404"/>
      <c r="AB9" s="404"/>
      <c r="AC9" s="404"/>
      <c r="AD9" s="404"/>
      <c r="AE9" s="404"/>
      <c r="AF9" s="404"/>
      <c r="AG9" s="404"/>
      <c r="AH9" s="404"/>
      <c r="AI9" s="404"/>
      <c r="BK9" s="24" t="s">
        <v>11</v>
      </c>
    </row>
    <row r="10" spans="1:63" ht="7.4" customHeight="1" x14ac:dyDescent="0.5">
      <c r="A10" s="407" t="s">
        <v>13</v>
      </c>
      <c r="B10" s="407"/>
      <c r="C10" s="407"/>
      <c r="D10" s="407"/>
      <c r="E10" s="407"/>
      <c r="F10" s="407"/>
      <c r="G10" s="407"/>
      <c r="H10" s="407"/>
      <c r="I10" s="407"/>
      <c r="J10" s="407"/>
      <c r="K10" s="407"/>
      <c r="L10" s="407"/>
      <c r="M10" s="407"/>
      <c r="N10" s="407"/>
      <c r="O10" s="407"/>
      <c r="P10" s="407"/>
      <c r="Q10" s="407"/>
      <c r="R10" s="407"/>
      <c r="S10" s="407"/>
      <c r="T10" s="407"/>
      <c r="U10" s="407"/>
      <c r="V10" s="407"/>
      <c r="W10" s="407"/>
      <c r="X10" s="407"/>
      <c r="Y10" s="407"/>
      <c r="Z10" s="407"/>
      <c r="AA10" s="407"/>
      <c r="AB10" s="407"/>
      <c r="AC10" s="407"/>
      <c r="AD10" s="407"/>
      <c r="AE10" s="407"/>
      <c r="AF10" s="407"/>
      <c r="AG10" s="407"/>
      <c r="AH10" s="407"/>
      <c r="AI10" s="407"/>
      <c r="AJ10" s="407"/>
      <c r="AK10" s="407"/>
      <c r="AL10" s="407"/>
      <c r="AM10" s="30"/>
      <c r="AN10" s="30"/>
      <c r="AO10" s="30"/>
      <c r="AP10" s="30"/>
      <c r="AQ10" s="30"/>
      <c r="AR10" s="30"/>
      <c r="AS10" s="30"/>
      <c r="AT10" s="30"/>
      <c r="AU10" s="30"/>
      <c r="AV10" s="30"/>
      <c r="AW10" s="30"/>
      <c r="AX10" s="30"/>
      <c r="AY10" s="30"/>
      <c r="AZ10" s="30"/>
      <c r="BA10" s="30"/>
      <c r="BB10" s="30"/>
      <c r="BC10" s="30"/>
      <c r="BD10" s="30"/>
      <c r="BE10" s="30"/>
      <c r="BF10" s="30"/>
      <c r="BG10" s="30"/>
      <c r="BH10" s="30"/>
      <c r="BI10" s="31"/>
      <c r="BK10" s="24" t="s">
        <v>12</v>
      </c>
    </row>
    <row r="11" spans="1:63" ht="7.4" customHeight="1" x14ac:dyDescent="0.5">
      <c r="A11" s="407"/>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407"/>
      <c r="AE11" s="407"/>
      <c r="AF11" s="407"/>
      <c r="AG11" s="407"/>
      <c r="AH11" s="407"/>
      <c r="AI11" s="407"/>
      <c r="AJ11" s="407"/>
      <c r="AK11" s="407"/>
      <c r="AL11" s="407"/>
      <c r="AM11" s="33"/>
      <c r="AN11" s="408" t="s">
        <v>15</v>
      </c>
      <c r="AO11" s="408"/>
      <c r="AP11" s="408"/>
      <c r="AQ11" s="408"/>
      <c r="AR11" s="408"/>
      <c r="AS11" s="408"/>
      <c r="AT11" s="408"/>
      <c r="AU11" s="408"/>
      <c r="AV11" s="408"/>
      <c r="AW11" s="33"/>
      <c r="AX11" s="409" t="s">
        <v>151</v>
      </c>
      <c r="AY11" s="409"/>
      <c r="AZ11" s="409"/>
      <c r="BA11" s="409"/>
      <c r="BB11" s="409"/>
      <c r="BC11" s="409"/>
      <c r="BD11" s="409"/>
      <c r="BE11" s="409"/>
      <c r="BF11" s="409"/>
      <c r="BG11" s="409"/>
      <c r="BH11" s="409"/>
      <c r="BI11" s="34"/>
      <c r="BK11" s="24" t="s">
        <v>125</v>
      </c>
    </row>
    <row r="12" spans="1:63" ht="7.4" customHeight="1" x14ac:dyDescent="0.5">
      <c r="A12" s="407"/>
      <c r="B12" s="407"/>
      <c r="C12" s="407"/>
      <c r="D12" s="407"/>
      <c r="E12" s="407"/>
      <c r="F12" s="407"/>
      <c r="G12" s="407"/>
      <c r="H12" s="407"/>
      <c r="I12" s="407"/>
      <c r="J12" s="407"/>
      <c r="K12" s="407"/>
      <c r="L12" s="407"/>
      <c r="M12" s="407"/>
      <c r="N12" s="407"/>
      <c r="O12" s="407"/>
      <c r="P12" s="407"/>
      <c r="Q12" s="407"/>
      <c r="R12" s="407"/>
      <c r="S12" s="407"/>
      <c r="T12" s="407"/>
      <c r="U12" s="407"/>
      <c r="V12" s="407"/>
      <c r="W12" s="407"/>
      <c r="X12" s="407"/>
      <c r="Y12" s="407"/>
      <c r="Z12" s="407"/>
      <c r="AA12" s="407"/>
      <c r="AB12" s="407"/>
      <c r="AC12" s="407"/>
      <c r="AD12" s="407"/>
      <c r="AE12" s="407"/>
      <c r="AF12" s="407"/>
      <c r="AG12" s="407"/>
      <c r="AH12" s="407"/>
      <c r="AI12" s="407"/>
      <c r="AJ12" s="407"/>
      <c r="AK12" s="407"/>
      <c r="AL12" s="407"/>
      <c r="AM12" s="33"/>
      <c r="AN12" s="408"/>
      <c r="AO12" s="408"/>
      <c r="AP12" s="408"/>
      <c r="AQ12" s="408"/>
      <c r="AR12" s="408"/>
      <c r="AS12" s="408"/>
      <c r="AT12" s="408"/>
      <c r="AU12" s="408"/>
      <c r="AV12" s="408"/>
      <c r="AW12" s="33"/>
      <c r="AX12" s="409"/>
      <c r="AY12" s="409"/>
      <c r="AZ12" s="409"/>
      <c r="BA12" s="409"/>
      <c r="BB12" s="409"/>
      <c r="BC12" s="409"/>
      <c r="BD12" s="409"/>
      <c r="BE12" s="409"/>
      <c r="BF12" s="409"/>
      <c r="BG12" s="409"/>
      <c r="BH12" s="409"/>
      <c r="BI12" s="34"/>
      <c r="BK12" s="24" t="s">
        <v>14</v>
      </c>
    </row>
    <row r="13" spans="1:63" ht="7.4" customHeight="1" x14ac:dyDescent="0.5">
      <c r="A13" s="407"/>
      <c r="B13" s="407"/>
      <c r="C13" s="407"/>
      <c r="D13" s="407"/>
      <c r="E13" s="407"/>
      <c r="F13" s="407"/>
      <c r="G13" s="407"/>
      <c r="H13" s="407"/>
      <c r="I13" s="407"/>
      <c r="J13" s="407"/>
      <c r="K13" s="407"/>
      <c r="L13" s="407"/>
      <c r="M13" s="407"/>
      <c r="N13" s="407"/>
      <c r="O13" s="407"/>
      <c r="P13" s="407"/>
      <c r="Q13" s="407"/>
      <c r="R13" s="407"/>
      <c r="S13" s="407"/>
      <c r="T13" s="407"/>
      <c r="U13" s="407"/>
      <c r="V13" s="407"/>
      <c r="W13" s="407"/>
      <c r="X13" s="407"/>
      <c r="Y13" s="407"/>
      <c r="Z13" s="407"/>
      <c r="AA13" s="407"/>
      <c r="AB13" s="407"/>
      <c r="AC13" s="407"/>
      <c r="AD13" s="407"/>
      <c r="AE13" s="407"/>
      <c r="AF13" s="407"/>
      <c r="AG13" s="407"/>
      <c r="AH13" s="407"/>
      <c r="AI13" s="407"/>
      <c r="AJ13" s="407"/>
      <c r="AK13" s="407"/>
      <c r="AL13" s="407"/>
      <c r="AM13" s="33"/>
      <c r="AN13" s="408" t="s">
        <v>19</v>
      </c>
      <c r="AO13" s="408"/>
      <c r="AP13" s="408"/>
      <c r="AQ13" s="408"/>
      <c r="AR13" s="408"/>
      <c r="AS13" s="408"/>
      <c r="AT13" s="408"/>
      <c r="AU13" s="408"/>
      <c r="AV13" s="408"/>
      <c r="AW13" s="33"/>
      <c r="AX13" s="410" t="s">
        <v>20</v>
      </c>
      <c r="AY13" s="410"/>
      <c r="AZ13" s="410"/>
      <c r="BA13" s="410"/>
      <c r="BB13" s="410"/>
      <c r="BC13" s="410"/>
      <c r="BD13" s="410"/>
      <c r="BE13" s="410"/>
      <c r="BF13" s="410"/>
      <c r="BG13" s="410"/>
      <c r="BH13" s="410"/>
      <c r="BI13" s="34"/>
      <c r="BK13" s="24" t="s">
        <v>126</v>
      </c>
    </row>
    <row r="14" spans="1:63" ht="7.4" customHeight="1" x14ac:dyDescent="0.5">
      <c r="A14" s="407"/>
      <c r="B14" s="407"/>
      <c r="C14" s="407"/>
      <c r="D14" s="407"/>
      <c r="E14" s="407"/>
      <c r="F14" s="407"/>
      <c r="G14" s="407"/>
      <c r="H14" s="407"/>
      <c r="I14" s="407"/>
      <c r="J14" s="407"/>
      <c r="K14" s="407"/>
      <c r="L14" s="407"/>
      <c r="M14" s="407"/>
      <c r="N14" s="407"/>
      <c r="O14" s="407"/>
      <c r="P14" s="407"/>
      <c r="Q14" s="407"/>
      <c r="R14" s="407"/>
      <c r="S14" s="407"/>
      <c r="T14" s="407"/>
      <c r="U14" s="407"/>
      <c r="V14" s="407"/>
      <c r="W14" s="407"/>
      <c r="X14" s="407"/>
      <c r="Y14" s="407"/>
      <c r="Z14" s="407"/>
      <c r="AA14" s="407"/>
      <c r="AB14" s="407"/>
      <c r="AC14" s="407"/>
      <c r="AD14" s="407"/>
      <c r="AE14" s="407"/>
      <c r="AF14" s="407"/>
      <c r="AG14" s="407"/>
      <c r="AH14" s="407"/>
      <c r="AI14" s="407"/>
      <c r="AJ14" s="407"/>
      <c r="AK14" s="407"/>
      <c r="AL14" s="407"/>
      <c r="AM14" s="33"/>
      <c r="AN14" s="408"/>
      <c r="AO14" s="408"/>
      <c r="AP14" s="408"/>
      <c r="AQ14" s="408"/>
      <c r="AR14" s="408"/>
      <c r="AS14" s="408"/>
      <c r="AT14" s="408"/>
      <c r="AU14" s="408"/>
      <c r="AV14" s="408"/>
      <c r="AW14" s="33"/>
      <c r="AX14" s="410"/>
      <c r="AY14" s="410"/>
      <c r="AZ14" s="410"/>
      <c r="BA14" s="410"/>
      <c r="BB14" s="410"/>
      <c r="BC14" s="410"/>
      <c r="BD14" s="410"/>
      <c r="BE14" s="410"/>
      <c r="BF14" s="410"/>
      <c r="BG14" s="410"/>
      <c r="BH14" s="410"/>
      <c r="BI14" s="34"/>
      <c r="BK14" s="24" t="s">
        <v>17</v>
      </c>
    </row>
    <row r="15" spans="1:63" ht="7.4" customHeight="1" x14ac:dyDescent="0.5">
      <c r="A15" s="407"/>
      <c r="B15" s="407"/>
      <c r="C15" s="407"/>
      <c r="D15" s="407"/>
      <c r="E15" s="407"/>
      <c r="F15" s="407"/>
      <c r="G15" s="407"/>
      <c r="H15" s="407"/>
      <c r="I15" s="407"/>
      <c r="J15" s="407"/>
      <c r="K15" s="407"/>
      <c r="L15" s="407"/>
      <c r="M15" s="407"/>
      <c r="N15" s="407"/>
      <c r="O15" s="407"/>
      <c r="P15" s="407"/>
      <c r="Q15" s="407"/>
      <c r="R15" s="407"/>
      <c r="S15" s="407"/>
      <c r="T15" s="407"/>
      <c r="U15" s="407"/>
      <c r="V15" s="407"/>
      <c r="W15" s="407"/>
      <c r="X15" s="407"/>
      <c r="Y15" s="407"/>
      <c r="Z15" s="407"/>
      <c r="AA15" s="407"/>
      <c r="AB15" s="407"/>
      <c r="AC15" s="407"/>
      <c r="AD15" s="407"/>
      <c r="AE15" s="407"/>
      <c r="AF15" s="407"/>
      <c r="AG15" s="407"/>
      <c r="AH15" s="407"/>
      <c r="AI15" s="407"/>
      <c r="AJ15" s="407"/>
      <c r="AK15" s="407"/>
      <c r="AL15" s="407"/>
      <c r="AM15" s="36"/>
      <c r="AN15" s="36"/>
      <c r="AO15" s="36"/>
      <c r="AP15" s="36"/>
      <c r="AQ15" s="36"/>
      <c r="AR15" s="36"/>
      <c r="AS15" s="36"/>
      <c r="AT15" s="36"/>
      <c r="AU15" s="36"/>
      <c r="AV15" s="36"/>
      <c r="AW15" s="36"/>
      <c r="AX15" s="36"/>
      <c r="AY15" s="36"/>
      <c r="AZ15" s="36"/>
      <c r="BA15" s="36"/>
      <c r="BB15" s="36"/>
      <c r="BC15" s="36"/>
      <c r="BD15" s="36"/>
      <c r="BE15" s="36"/>
      <c r="BF15" s="36"/>
      <c r="BG15" s="36"/>
      <c r="BH15" s="36"/>
      <c r="BI15" s="37"/>
      <c r="BK15" s="24" t="s">
        <v>127</v>
      </c>
    </row>
    <row r="16" spans="1:63" ht="7.4" customHeight="1" x14ac:dyDescent="0.5">
      <c r="A16" s="58"/>
      <c r="B16" s="59"/>
      <c r="C16" s="59"/>
      <c r="D16" s="59"/>
      <c r="E16" s="59"/>
      <c r="F16" s="59"/>
      <c r="G16" s="59"/>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60"/>
      <c r="BK16" s="24" t="s">
        <v>18</v>
      </c>
    </row>
    <row r="17" spans="1:70" ht="7.4" customHeight="1" x14ac:dyDescent="0.5">
      <c r="A17" s="61"/>
      <c r="B17" s="62"/>
      <c r="C17" s="400" t="s">
        <v>25</v>
      </c>
      <c r="D17" s="400"/>
      <c r="E17" s="400"/>
      <c r="F17" s="400"/>
      <c r="G17" s="401"/>
      <c r="H17" s="401"/>
      <c r="I17" s="401"/>
      <c r="J17" s="401"/>
      <c r="K17" s="401"/>
      <c r="L17" s="401"/>
      <c r="M17" s="401"/>
      <c r="N17" s="401"/>
      <c r="O17" s="401"/>
      <c r="P17" s="401"/>
      <c r="Q17" s="401"/>
      <c r="R17" s="401"/>
      <c r="S17" s="401"/>
      <c r="T17" s="401"/>
      <c r="U17" s="401"/>
      <c r="V17" s="401"/>
      <c r="W17" s="401"/>
      <c r="X17" s="401"/>
      <c r="Y17" s="400" t="s">
        <v>26</v>
      </c>
      <c r="Z17" s="400"/>
      <c r="AA17" s="400"/>
      <c r="AB17" s="400"/>
      <c r="AC17" s="400"/>
      <c r="AD17" s="401"/>
      <c r="AE17" s="401"/>
      <c r="AF17" s="401"/>
      <c r="AG17" s="401"/>
      <c r="AH17" s="401"/>
      <c r="AI17" s="401"/>
      <c r="AJ17" s="401"/>
      <c r="AK17" s="401"/>
      <c r="AL17" s="401"/>
      <c r="AM17" s="401"/>
      <c r="AN17" s="401"/>
      <c r="AO17" s="401"/>
      <c r="AP17" s="401"/>
      <c r="AQ17" s="401"/>
      <c r="AR17" s="401"/>
      <c r="AS17" s="401"/>
      <c r="AT17" s="400" t="s">
        <v>27</v>
      </c>
      <c r="AU17" s="400"/>
      <c r="AV17" s="400"/>
      <c r="AW17" s="400"/>
      <c r="AX17" s="402">
        <f ca="1">TODAY()</f>
        <v>45960</v>
      </c>
      <c r="AY17" s="402"/>
      <c r="AZ17" s="402"/>
      <c r="BA17" s="402"/>
      <c r="BB17" s="402"/>
      <c r="BC17" s="402"/>
      <c r="BD17" s="402"/>
      <c r="BE17" s="402"/>
      <c r="BF17" s="402"/>
      <c r="BG17" s="402"/>
      <c r="BH17" s="402"/>
      <c r="BI17" s="63"/>
      <c r="BK17" s="24" t="s">
        <v>21</v>
      </c>
    </row>
    <row r="18" spans="1:70" ht="7.4" customHeight="1" x14ac:dyDescent="0.5">
      <c r="A18" s="61"/>
      <c r="B18" s="62"/>
      <c r="C18" s="400"/>
      <c r="D18" s="400"/>
      <c r="E18" s="400"/>
      <c r="F18" s="400"/>
      <c r="G18" s="401"/>
      <c r="H18" s="401"/>
      <c r="I18" s="401"/>
      <c r="J18" s="401"/>
      <c r="K18" s="401"/>
      <c r="L18" s="401"/>
      <c r="M18" s="401"/>
      <c r="N18" s="401"/>
      <c r="O18" s="401"/>
      <c r="P18" s="401"/>
      <c r="Q18" s="401"/>
      <c r="R18" s="401"/>
      <c r="S18" s="401"/>
      <c r="T18" s="401"/>
      <c r="U18" s="401"/>
      <c r="V18" s="401"/>
      <c r="W18" s="401"/>
      <c r="X18" s="401"/>
      <c r="Y18" s="400"/>
      <c r="Z18" s="400"/>
      <c r="AA18" s="400"/>
      <c r="AB18" s="400"/>
      <c r="AC18" s="400"/>
      <c r="AD18" s="401"/>
      <c r="AE18" s="401"/>
      <c r="AF18" s="401"/>
      <c r="AG18" s="401"/>
      <c r="AH18" s="401"/>
      <c r="AI18" s="401"/>
      <c r="AJ18" s="401"/>
      <c r="AK18" s="401"/>
      <c r="AL18" s="401"/>
      <c r="AM18" s="401"/>
      <c r="AN18" s="401"/>
      <c r="AO18" s="401"/>
      <c r="AP18" s="401"/>
      <c r="AQ18" s="401"/>
      <c r="AR18" s="401"/>
      <c r="AS18" s="401"/>
      <c r="AT18" s="400"/>
      <c r="AU18" s="400"/>
      <c r="AV18" s="400"/>
      <c r="AW18" s="400"/>
      <c r="AX18" s="403"/>
      <c r="AY18" s="402"/>
      <c r="AZ18" s="402"/>
      <c r="BA18" s="402"/>
      <c r="BB18" s="402"/>
      <c r="BC18" s="402"/>
      <c r="BD18" s="402"/>
      <c r="BE18" s="402"/>
      <c r="BF18" s="402"/>
      <c r="BG18" s="402"/>
      <c r="BH18" s="402"/>
      <c r="BI18" s="63"/>
      <c r="BK18" s="24" t="s">
        <v>22</v>
      </c>
    </row>
    <row r="19" spans="1:70" ht="7.4" customHeight="1" x14ac:dyDescent="0.5">
      <c r="A19" s="64"/>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6"/>
      <c r="BK19" s="24" t="s">
        <v>23</v>
      </c>
    </row>
    <row r="20" spans="1:70" ht="7.4" customHeight="1" x14ac:dyDescent="0.5">
      <c r="A20" s="38"/>
      <c r="B20" s="39"/>
      <c r="C20" s="39"/>
      <c r="D20" s="39"/>
      <c r="E20" s="39"/>
      <c r="F20" s="39"/>
      <c r="G20" s="39"/>
      <c r="H20" s="39"/>
      <c r="I20" s="39"/>
      <c r="J20" s="39"/>
      <c r="K20" s="39"/>
      <c r="L20" s="39"/>
      <c r="M20" s="39"/>
      <c r="N20" s="39"/>
      <c r="O20" s="39"/>
      <c r="P20" s="39"/>
      <c r="Q20" s="39"/>
      <c r="R20" s="39"/>
      <c r="S20" s="67"/>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9"/>
      <c r="AR20" s="39"/>
      <c r="AS20" s="39"/>
      <c r="AT20" s="39"/>
      <c r="AU20" s="39"/>
      <c r="AV20" s="39"/>
      <c r="AW20" s="39"/>
      <c r="AX20" s="39"/>
      <c r="AY20" s="39"/>
      <c r="AZ20" s="39"/>
      <c r="BA20" s="39"/>
      <c r="BB20" s="39"/>
      <c r="BC20" s="39"/>
      <c r="BD20" s="39"/>
      <c r="BE20" s="39"/>
      <c r="BF20" s="39"/>
      <c r="BG20" s="39"/>
      <c r="BH20" s="39"/>
      <c r="BI20" s="40"/>
      <c r="BK20" s="24" t="s">
        <v>24</v>
      </c>
    </row>
    <row r="21" spans="1:70" ht="7.4" customHeight="1" x14ac:dyDescent="0.5">
      <c r="A21" s="42"/>
      <c r="S21" s="70"/>
      <c r="T21" s="509" t="str">
        <f>"Roof Top Raised Railless ("&amp;$AO$35&amp;")"</f>
        <v>Roof Top Raised Railless (IBR)</v>
      </c>
      <c r="U21" s="509"/>
      <c r="V21" s="509"/>
      <c r="W21" s="509"/>
      <c r="X21" s="509"/>
      <c r="Y21" s="509"/>
      <c r="Z21" s="509"/>
      <c r="AA21" s="509"/>
      <c r="AB21" s="509"/>
      <c r="AC21" s="509"/>
      <c r="AD21" s="509"/>
      <c r="AE21" s="509"/>
      <c r="AF21" s="509"/>
      <c r="AG21" s="509"/>
      <c r="AH21" s="509"/>
      <c r="AI21" s="509"/>
      <c r="AJ21" s="509"/>
      <c r="AK21" s="509"/>
      <c r="AL21" s="509"/>
      <c r="AM21" s="509"/>
      <c r="AN21" s="509"/>
      <c r="AO21" s="509"/>
      <c r="AP21" s="509"/>
      <c r="AQ21" s="71"/>
      <c r="BI21" s="41"/>
      <c r="BK21" s="24" t="s">
        <v>28</v>
      </c>
    </row>
    <row r="22" spans="1:70" ht="7.4" customHeight="1" x14ac:dyDescent="0.5">
      <c r="A22" s="42"/>
      <c r="S22" s="70"/>
      <c r="T22" s="509"/>
      <c r="U22" s="509"/>
      <c r="V22" s="509"/>
      <c r="W22" s="509"/>
      <c r="X22" s="509"/>
      <c r="Y22" s="509"/>
      <c r="Z22" s="509"/>
      <c r="AA22" s="509"/>
      <c r="AB22" s="509"/>
      <c r="AC22" s="509"/>
      <c r="AD22" s="509"/>
      <c r="AE22" s="509"/>
      <c r="AF22" s="509"/>
      <c r="AG22" s="509"/>
      <c r="AH22" s="509"/>
      <c r="AI22" s="509"/>
      <c r="AJ22" s="509"/>
      <c r="AK22" s="509"/>
      <c r="AL22" s="509"/>
      <c r="AM22" s="509"/>
      <c r="AN22" s="509"/>
      <c r="AO22" s="509"/>
      <c r="AP22" s="509"/>
      <c r="AQ22" s="71"/>
      <c r="BI22" s="41"/>
    </row>
    <row r="23" spans="1:70" ht="7.4" customHeight="1" x14ac:dyDescent="0.5">
      <c r="A23" s="42"/>
      <c r="S23" s="72"/>
      <c r="T23" s="73"/>
      <c r="U23" s="73"/>
      <c r="V23" s="73"/>
      <c r="W23" s="73"/>
      <c r="X23" s="73"/>
      <c r="Y23" s="73"/>
      <c r="Z23" s="73"/>
      <c r="AA23" s="73"/>
      <c r="AB23" s="73"/>
      <c r="AC23" s="73"/>
      <c r="AD23" s="73"/>
      <c r="AE23" s="73"/>
      <c r="AF23" s="73"/>
      <c r="AG23" s="73"/>
      <c r="AH23" s="73"/>
      <c r="AI23" s="73"/>
      <c r="AJ23" s="73"/>
      <c r="AK23" s="73"/>
      <c r="AL23" s="73"/>
      <c r="AM23" s="73"/>
      <c r="AN23" s="73"/>
      <c r="AO23" s="73"/>
      <c r="AP23" s="73"/>
      <c r="AQ23" s="74"/>
      <c r="BI23" s="41"/>
    </row>
    <row r="24" spans="1:70" ht="7.4" customHeight="1" x14ac:dyDescent="0.5">
      <c r="A24" s="42"/>
      <c r="BI24" s="41"/>
    </row>
    <row r="25" spans="1:70" ht="7.4" customHeight="1" x14ac:dyDescent="0.5">
      <c r="A25" s="42"/>
      <c r="B25" s="299" t="s">
        <v>59</v>
      </c>
      <c r="C25" s="363"/>
      <c r="D25" s="363"/>
      <c r="E25" s="363"/>
      <c r="F25" s="363"/>
      <c r="G25" s="363"/>
      <c r="H25" s="363"/>
      <c r="I25" s="363"/>
      <c r="J25" s="363"/>
      <c r="K25" s="363"/>
      <c r="L25" s="363"/>
      <c r="M25" s="363"/>
      <c r="N25" s="363"/>
      <c r="O25" s="363"/>
      <c r="P25" s="363"/>
      <c r="Q25" s="363"/>
      <c r="R25" s="363"/>
      <c r="S25" s="363"/>
      <c r="T25" s="363"/>
      <c r="U25" s="363"/>
      <c r="V25" s="363"/>
      <c r="W25" s="363"/>
      <c r="X25" s="363"/>
      <c r="Y25" s="363"/>
      <c r="Z25" s="363"/>
      <c r="AA25" s="363"/>
      <c r="AB25" s="363"/>
      <c r="AC25" s="364"/>
      <c r="AE25" s="299" t="s">
        <v>60</v>
      </c>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4"/>
      <c r="BI25" s="41"/>
    </row>
    <row r="26" spans="1:70" ht="7.4" customHeight="1" x14ac:dyDescent="0.5">
      <c r="A26" s="42"/>
      <c r="B26" s="365"/>
      <c r="C26" s="366"/>
      <c r="D26" s="366"/>
      <c r="E26" s="366"/>
      <c r="F26" s="366"/>
      <c r="G26" s="366"/>
      <c r="H26" s="366"/>
      <c r="I26" s="366"/>
      <c r="J26" s="366"/>
      <c r="K26" s="366"/>
      <c r="L26" s="366"/>
      <c r="M26" s="366"/>
      <c r="N26" s="366"/>
      <c r="O26" s="366"/>
      <c r="P26" s="366"/>
      <c r="Q26" s="366"/>
      <c r="R26" s="366"/>
      <c r="S26" s="366"/>
      <c r="T26" s="366"/>
      <c r="U26" s="366"/>
      <c r="V26" s="366"/>
      <c r="W26" s="366"/>
      <c r="X26" s="366"/>
      <c r="Y26" s="366"/>
      <c r="Z26" s="366"/>
      <c r="AA26" s="366"/>
      <c r="AB26" s="366"/>
      <c r="AC26" s="367"/>
      <c r="AE26" s="365"/>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7"/>
      <c r="BI26" s="41"/>
    </row>
    <row r="27" spans="1:70" ht="7.4" customHeight="1" x14ac:dyDescent="0.5">
      <c r="A27" s="42"/>
      <c r="B27" s="368"/>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70"/>
      <c r="AE27" s="368"/>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70"/>
      <c r="BI27" s="41"/>
    </row>
    <row r="28" spans="1:70" ht="7.4" customHeight="1" x14ac:dyDescent="0.5">
      <c r="A28" s="42"/>
      <c r="B28" s="58"/>
      <c r="C28" s="503" t="s">
        <v>61</v>
      </c>
      <c r="D28" s="503"/>
      <c r="E28" s="503"/>
      <c r="F28" s="503"/>
      <c r="G28" s="503"/>
      <c r="H28" s="503"/>
      <c r="I28" s="503"/>
      <c r="J28" s="503"/>
      <c r="K28" s="503"/>
      <c r="L28" s="503"/>
      <c r="M28" s="503"/>
      <c r="N28" s="503"/>
      <c r="O28" s="503"/>
      <c r="P28" s="503"/>
      <c r="Q28" s="503"/>
      <c r="R28" s="504"/>
      <c r="S28" s="39"/>
      <c r="T28" s="380" t="str">
        <f>(J43*BC43)/1000 &amp; " kWp"</f>
        <v>60 kWp</v>
      </c>
      <c r="U28" s="380"/>
      <c r="V28" s="380"/>
      <c r="W28" s="380"/>
      <c r="X28" s="380"/>
      <c r="Y28" s="380"/>
      <c r="Z28" s="380"/>
      <c r="AA28" s="380"/>
      <c r="AB28" s="380"/>
      <c r="AC28" s="381"/>
      <c r="AD28" s="108"/>
      <c r="AE28" s="137"/>
      <c r="AF28" s="503" t="s">
        <v>62</v>
      </c>
      <c r="AG28" s="503"/>
      <c r="AH28" s="503"/>
      <c r="AI28" s="503"/>
      <c r="AJ28" s="503"/>
      <c r="AK28" s="503"/>
      <c r="AL28" s="503"/>
      <c r="AM28" s="504"/>
      <c r="AN28" s="77"/>
      <c r="AO28" s="489" t="s">
        <v>63</v>
      </c>
      <c r="AP28" s="489"/>
      <c r="AQ28" s="489"/>
      <c r="AR28" s="489"/>
      <c r="AS28" s="489"/>
      <c r="AT28" s="489"/>
      <c r="AU28" s="489"/>
      <c r="AV28" s="489"/>
      <c r="AW28" s="489"/>
      <c r="AX28" s="489"/>
      <c r="AY28" s="489"/>
      <c r="AZ28" s="489"/>
      <c r="BA28" s="489"/>
      <c r="BB28" s="489"/>
      <c r="BC28" s="489"/>
      <c r="BD28" s="489"/>
      <c r="BE28" s="489"/>
      <c r="BF28" s="489"/>
      <c r="BG28" s="489"/>
      <c r="BH28" s="490"/>
      <c r="BI28" s="124"/>
    </row>
    <row r="29" spans="1:70" ht="7.4" customHeight="1" x14ac:dyDescent="0.5">
      <c r="A29" s="42"/>
      <c r="B29" s="61"/>
      <c r="C29" s="400"/>
      <c r="D29" s="400"/>
      <c r="E29" s="400"/>
      <c r="F29" s="400"/>
      <c r="G29" s="400"/>
      <c r="H29" s="400"/>
      <c r="I29" s="400"/>
      <c r="J29" s="400"/>
      <c r="K29" s="400"/>
      <c r="L29" s="400"/>
      <c r="M29" s="400"/>
      <c r="N29" s="400"/>
      <c r="O29" s="400"/>
      <c r="P29" s="400"/>
      <c r="Q29" s="400"/>
      <c r="R29" s="448"/>
      <c r="S29" s="108"/>
      <c r="T29" s="382"/>
      <c r="U29" s="382"/>
      <c r="V29" s="382"/>
      <c r="W29" s="382"/>
      <c r="X29" s="382"/>
      <c r="Y29" s="382"/>
      <c r="Z29" s="382"/>
      <c r="AA29" s="382"/>
      <c r="AB29" s="382"/>
      <c r="AC29" s="383"/>
      <c r="AD29" s="25"/>
      <c r="AE29" s="139"/>
      <c r="AF29" s="400"/>
      <c r="AG29" s="400"/>
      <c r="AH29" s="400"/>
      <c r="AI29" s="400"/>
      <c r="AJ29" s="400"/>
      <c r="AK29" s="400"/>
      <c r="AL29" s="400"/>
      <c r="AM29" s="448"/>
      <c r="AN29" s="25"/>
      <c r="AO29" s="405"/>
      <c r="AP29" s="405"/>
      <c r="AQ29" s="405"/>
      <c r="AR29" s="405"/>
      <c r="AS29" s="405"/>
      <c r="AT29" s="405"/>
      <c r="AU29" s="405"/>
      <c r="AV29" s="405"/>
      <c r="AW29" s="405"/>
      <c r="AX29" s="405"/>
      <c r="AY29" s="405"/>
      <c r="AZ29" s="405"/>
      <c r="BA29" s="405"/>
      <c r="BB29" s="405"/>
      <c r="BC29" s="405"/>
      <c r="BD29" s="405"/>
      <c r="BE29" s="405"/>
      <c r="BF29" s="405"/>
      <c r="BG29" s="405"/>
      <c r="BH29" s="411"/>
      <c r="BI29" s="41"/>
    </row>
    <row r="30" spans="1:70" ht="7.4" customHeight="1" x14ac:dyDescent="0.5">
      <c r="A30" s="42"/>
      <c r="B30" s="61"/>
      <c r="C30" s="400"/>
      <c r="D30" s="400"/>
      <c r="E30" s="400"/>
      <c r="F30" s="400"/>
      <c r="G30" s="400"/>
      <c r="H30" s="400"/>
      <c r="I30" s="400"/>
      <c r="J30" s="400"/>
      <c r="K30" s="400"/>
      <c r="L30" s="400"/>
      <c r="M30" s="400"/>
      <c r="N30" s="400"/>
      <c r="O30" s="400"/>
      <c r="P30" s="400"/>
      <c r="Q30" s="400"/>
      <c r="R30" s="448"/>
      <c r="T30" s="388"/>
      <c r="U30" s="388"/>
      <c r="V30" s="388"/>
      <c r="W30" s="388"/>
      <c r="X30" s="388"/>
      <c r="Y30" s="388"/>
      <c r="Z30" s="388"/>
      <c r="AA30" s="388"/>
      <c r="AB30" s="388"/>
      <c r="AC30" s="389"/>
      <c r="AD30" s="25"/>
      <c r="AE30" s="139"/>
      <c r="AF30" s="400"/>
      <c r="AG30" s="400"/>
      <c r="AH30" s="400"/>
      <c r="AI30" s="400"/>
      <c r="AJ30" s="400"/>
      <c r="AK30" s="400"/>
      <c r="AL30" s="400"/>
      <c r="AM30" s="448"/>
      <c r="AN30" s="79"/>
      <c r="AO30" s="491"/>
      <c r="AP30" s="491"/>
      <c r="AQ30" s="491"/>
      <c r="AR30" s="491"/>
      <c r="AS30" s="491"/>
      <c r="AT30" s="491"/>
      <c r="AU30" s="491"/>
      <c r="AV30" s="491"/>
      <c r="AW30" s="491"/>
      <c r="AX30" s="491"/>
      <c r="AY30" s="491"/>
      <c r="AZ30" s="491"/>
      <c r="BA30" s="491"/>
      <c r="BB30" s="491"/>
      <c r="BC30" s="491"/>
      <c r="BD30" s="491"/>
      <c r="BE30" s="491"/>
      <c r="BF30" s="491"/>
      <c r="BG30" s="491"/>
      <c r="BH30" s="492"/>
      <c r="BI30" s="41"/>
      <c r="BK30" s="311">
        <v>10</v>
      </c>
      <c r="BL30" s="311"/>
      <c r="BM30" s="311">
        <v>1162</v>
      </c>
      <c r="BN30" s="311"/>
      <c r="BO30" s="311"/>
      <c r="BP30" s="311">
        <v>1310</v>
      </c>
      <c r="BQ30" s="311"/>
      <c r="BR30" s="311"/>
    </row>
    <row r="31" spans="1:70" ht="7.4" customHeight="1" x14ac:dyDescent="0.5">
      <c r="A31" s="42"/>
      <c r="B31" s="61"/>
      <c r="C31" s="400" t="s">
        <v>65</v>
      </c>
      <c r="D31" s="400"/>
      <c r="E31" s="400"/>
      <c r="F31" s="400"/>
      <c r="G31" s="400"/>
      <c r="H31" s="400"/>
      <c r="I31" s="400"/>
      <c r="J31" s="400"/>
      <c r="K31" s="400"/>
      <c r="L31" s="400"/>
      <c r="M31" s="400"/>
      <c r="N31" s="400"/>
      <c r="O31" s="400"/>
      <c r="P31" s="400"/>
      <c r="Q31" s="400"/>
      <c r="R31" s="448"/>
      <c r="S31" s="39"/>
      <c r="T31" s="489" t="s">
        <v>152</v>
      </c>
      <c r="U31" s="489"/>
      <c r="V31" s="489"/>
      <c r="W31" s="489"/>
      <c r="X31" s="489"/>
      <c r="Y31" s="489"/>
      <c r="Z31" s="489"/>
      <c r="AA31" s="489"/>
      <c r="AB31" s="489"/>
      <c r="AC31" s="490"/>
      <c r="AD31" s="25"/>
      <c r="AE31" s="139"/>
      <c r="AF31" s="400" t="s">
        <v>67</v>
      </c>
      <c r="AG31" s="400"/>
      <c r="AH31" s="400"/>
      <c r="AI31" s="400"/>
      <c r="AJ31" s="400"/>
      <c r="AK31" s="400"/>
      <c r="AL31" s="400"/>
      <c r="AM31" s="448"/>
      <c r="AN31" s="77"/>
      <c r="AO31" s="493">
        <v>10</v>
      </c>
      <c r="AP31" s="493"/>
      <c r="AQ31" s="495" t="s">
        <v>68</v>
      </c>
      <c r="AR31" s="495"/>
      <c r="AS31" s="495"/>
      <c r="AT31" s="495"/>
      <c r="AU31" s="495"/>
      <c r="AV31" s="495"/>
      <c r="AW31" s="495"/>
      <c r="AX31" s="380">
        <f>LOOKUP(AO31,BK30:BK35,IF(AE45&lt;1150,BM30:BM35,BP30:BP35))</f>
        <v>1162</v>
      </c>
      <c r="AY31" s="380"/>
      <c r="AZ31" s="380"/>
      <c r="BA31" s="497" t="s">
        <v>69</v>
      </c>
      <c r="BB31" s="497"/>
      <c r="BC31" s="481" t="s">
        <v>130</v>
      </c>
      <c r="BD31" s="481"/>
      <c r="BE31" s="481"/>
      <c r="BF31" s="481"/>
      <c r="BG31" s="481"/>
      <c r="BH31" s="482"/>
      <c r="BI31" s="41"/>
      <c r="BK31" s="311">
        <v>15</v>
      </c>
      <c r="BL31" s="311"/>
      <c r="BM31" s="311">
        <v>1140</v>
      </c>
      <c r="BN31" s="311"/>
      <c r="BO31" s="311"/>
      <c r="BP31" s="311">
        <v>1285</v>
      </c>
      <c r="BQ31" s="311"/>
      <c r="BR31" s="311"/>
    </row>
    <row r="32" spans="1:70" ht="7.4" customHeight="1" x14ac:dyDescent="0.5">
      <c r="A32" s="42"/>
      <c r="B32" s="61"/>
      <c r="C32" s="400"/>
      <c r="D32" s="400"/>
      <c r="E32" s="400"/>
      <c r="F32" s="400"/>
      <c r="G32" s="400"/>
      <c r="H32" s="400"/>
      <c r="I32" s="400"/>
      <c r="J32" s="400"/>
      <c r="K32" s="400"/>
      <c r="L32" s="400"/>
      <c r="M32" s="400"/>
      <c r="N32" s="400"/>
      <c r="O32" s="400"/>
      <c r="P32" s="400"/>
      <c r="Q32" s="400"/>
      <c r="R32" s="448"/>
      <c r="S32" s="25"/>
      <c r="T32" s="405"/>
      <c r="U32" s="405"/>
      <c r="V32" s="405"/>
      <c r="W32" s="405"/>
      <c r="X32" s="405"/>
      <c r="Y32" s="405"/>
      <c r="Z32" s="405"/>
      <c r="AA32" s="405"/>
      <c r="AB32" s="405"/>
      <c r="AC32" s="411"/>
      <c r="AD32" s="25"/>
      <c r="AE32" s="139"/>
      <c r="AF32" s="400"/>
      <c r="AG32" s="400"/>
      <c r="AH32" s="400"/>
      <c r="AI32" s="400"/>
      <c r="AJ32" s="400"/>
      <c r="AK32" s="400"/>
      <c r="AL32" s="400"/>
      <c r="AM32" s="448"/>
      <c r="AN32" s="25"/>
      <c r="AO32" s="480"/>
      <c r="AP32" s="480"/>
      <c r="AQ32" s="314"/>
      <c r="AR32" s="314"/>
      <c r="AS32" s="314"/>
      <c r="AT32" s="314"/>
      <c r="AU32" s="314"/>
      <c r="AV32" s="314"/>
      <c r="AW32" s="314"/>
      <c r="AX32" s="382"/>
      <c r="AY32" s="382"/>
      <c r="AZ32" s="382"/>
      <c r="BA32" s="498"/>
      <c r="BB32" s="498"/>
      <c r="BC32" s="483"/>
      <c r="BD32" s="483"/>
      <c r="BE32" s="483"/>
      <c r="BF32" s="483"/>
      <c r="BG32" s="483"/>
      <c r="BH32" s="484"/>
      <c r="BI32" s="41"/>
      <c r="BK32" s="311">
        <v>20</v>
      </c>
      <c r="BL32" s="311"/>
      <c r="BM32" s="311">
        <v>1109</v>
      </c>
      <c r="BN32" s="311"/>
      <c r="BO32" s="311"/>
      <c r="BP32" s="311">
        <v>1250</v>
      </c>
      <c r="BQ32" s="311"/>
      <c r="BR32" s="311"/>
    </row>
    <row r="33" spans="1:70" ht="7.4" customHeight="1" x14ac:dyDescent="0.5">
      <c r="A33" s="42"/>
      <c r="B33" s="64"/>
      <c r="C33" s="487"/>
      <c r="D33" s="487"/>
      <c r="E33" s="487"/>
      <c r="F33" s="487"/>
      <c r="G33" s="487"/>
      <c r="H33" s="487"/>
      <c r="I33" s="487"/>
      <c r="J33" s="487"/>
      <c r="K33" s="487"/>
      <c r="L33" s="487"/>
      <c r="M33" s="487"/>
      <c r="N33" s="487"/>
      <c r="O33" s="487"/>
      <c r="P33" s="487"/>
      <c r="Q33" s="487"/>
      <c r="R33" s="488"/>
      <c r="S33" s="51"/>
      <c r="T33" s="491"/>
      <c r="U33" s="491"/>
      <c r="V33" s="491"/>
      <c r="W33" s="491"/>
      <c r="X33" s="491"/>
      <c r="Y33" s="491"/>
      <c r="Z33" s="491"/>
      <c r="AA33" s="491"/>
      <c r="AB33" s="491"/>
      <c r="AC33" s="492"/>
      <c r="AD33" s="25"/>
      <c r="AE33" s="139"/>
      <c r="AF33" s="400"/>
      <c r="AG33" s="400"/>
      <c r="AH33" s="400"/>
      <c r="AI33" s="400"/>
      <c r="AJ33" s="400"/>
      <c r="AK33" s="400"/>
      <c r="AL33" s="400"/>
      <c r="AM33" s="448"/>
      <c r="AN33" s="135"/>
      <c r="AO33" s="494"/>
      <c r="AP33" s="494"/>
      <c r="AQ33" s="496"/>
      <c r="AR33" s="496"/>
      <c r="AS33" s="496"/>
      <c r="AT33" s="496"/>
      <c r="AU33" s="496"/>
      <c r="AV33" s="496"/>
      <c r="AW33" s="496"/>
      <c r="AX33" s="388"/>
      <c r="AY33" s="388"/>
      <c r="AZ33" s="388"/>
      <c r="BA33" s="499"/>
      <c r="BB33" s="499"/>
      <c r="BC33" s="485"/>
      <c r="BD33" s="485"/>
      <c r="BE33" s="485"/>
      <c r="BF33" s="485"/>
      <c r="BG33" s="485"/>
      <c r="BH33" s="486"/>
      <c r="BI33" s="41"/>
      <c r="BK33" s="311">
        <v>25</v>
      </c>
      <c r="BL33" s="311"/>
      <c r="BM33" s="311">
        <v>1069</v>
      </c>
      <c r="BN33" s="311"/>
      <c r="BO33" s="311"/>
      <c r="BP33" s="311">
        <v>1205</v>
      </c>
      <c r="BQ33" s="311"/>
      <c r="BR33" s="311"/>
    </row>
    <row r="34" spans="1:70" ht="7.4" customHeight="1" x14ac:dyDescent="0.5">
      <c r="A34" s="42"/>
      <c r="C34" s="79"/>
      <c r="D34" s="79"/>
      <c r="E34" s="79"/>
      <c r="F34" s="79"/>
      <c r="G34" s="79"/>
      <c r="H34" s="79"/>
      <c r="I34" s="79"/>
      <c r="J34" s="79"/>
      <c r="K34" s="79"/>
      <c r="L34" s="79"/>
      <c r="M34" s="79"/>
      <c r="N34" s="79"/>
      <c r="O34" s="79"/>
      <c r="P34" s="79"/>
      <c r="Q34" s="79"/>
      <c r="R34" s="79"/>
      <c r="T34" s="141"/>
      <c r="U34" s="141"/>
      <c r="V34" s="141"/>
      <c r="W34" s="141"/>
      <c r="X34" s="141"/>
      <c r="Y34" s="141"/>
      <c r="Z34" s="141"/>
      <c r="AA34" s="141"/>
      <c r="AB34" s="141"/>
      <c r="AC34" s="141"/>
      <c r="AD34" s="108"/>
      <c r="AE34" s="142"/>
      <c r="AF34" s="400" t="s">
        <v>132</v>
      </c>
      <c r="AG34" s="400"/>
      <c r="AH34" s="400"/>
      <c r="AI34" s="400"/>
      <c r="AJ34" s="400"/>
      <c r="AK34" s="400"/>
      <c r="AL34" s="400"/>
      <c r="AM34" s="448"/>
      <c r="AN34" s="79"/>
      <c r="AO34" s="79"/>
      <c r="AP34" s="79"/>
      <c r="AQ34" s="79"/>
      <c r="AR34" s="79"/>
      <c r="AS34" s="79"/>
      <c r="AT34" s="79"/>
      <c r="AU34" s="79"/>
      <c r="AV34" s="79"/>
      <c r="AW34" s="79"/>
      <c r="AX34" s="79"/>
      <c r="AY34" s="79"/>
      <c r="AZ34" s="79"/>
      <c r="BA34" s="79"/>
      <c r="BB34" s="79"/>
      <c r="BC34" s="143"/>
      <c r="BD34" s="143"/>
      <c r="BE34" s="143"/>
      <c r="BF34" s="143"/>
      <c r="BG34" s="143"/>
      <c r="BH34" s="144"/>
      <c r="BI34" s="124"/>
      <c r="BK34" s="311"/>
      <c r="BL34" s="311"/>
      <c r="BM34" s="311"/>
      <c r="BN34" s="311"/>
      <c r="BO34" s="311"/>
      <c r="BP34" s="311"/>
      <c r="BQ34" s="311"/>
      <c r="BR34" s="311"/>
    </row>
    <row r="35" spans="1:70" ht="7.4" customHeight="1" x14ac:dyDescent="0.5">
      <c r="A35" s="42"/>
      <c r="C35" s="79"/>
      <c r="D35" s="79"/>
      <c r="E35" s="79"/>
      <c r="F35" s="79"/>
      <c r="G35" s="79"/>
      <c r="H35" s="79"/>
      <c r="I35" s="79"/>
      <c r="J35" s="79"/>
      <c r="K35" s="79"/>
      <c r="L35" s="79"/>
      <c r="M35" s="79"/>
      <c r="N35" s="79"/>
      <c r="O35" s="79"/>
      <c r="P35" s="79"/>
      <c r="Q35" s="79"/>
      <c r="R35" s="79"/>
      <c r="S35" s="293"/>
      <c r="T35" s="141"/>
      <c r="U35" s="141"/>
      <c r="V35" s="141"/>
      <c r="W35" s="141"/>
      <c r="X35" s="141"/>
      <c r="Y35" s="141"/>
      <c r="Z35" s="141"/>
      <c r="AA35" s="141"/>
      <c r="AB35" s="141"/>
      <c r="AC35" s="141"/>
      <c r="AD35" s="25"/>
      <c r="AE35" s="139"/>
      <c r="AF35" s="400"/>
      <c r="AG35" s="400"/>
      <c r="AH35" s="400"/>
      <c r="AI35" s="400"/>
      <c r="AJ35" s="400"/>
      <c r="AK35" s="400"/>
      <c r="AL35" s="400"/>
      <c r="AM35" s="448"/>
      <c r="AN35" s="25"/>
      <c r="AO35" s="347" t="s">
        <v>14</v>
      </c>
      <c r="AP35" s="347"/>
      <c r="AQ35" s="347"/>
      <c r="AR35" s="347"/>
      <c r="AS35" s="347"/>
      <c r="AT35" s="347"/>
      <c r="AU35" s="347"/>
      <c r="AV35" s="347"/>
      <c r="AW35" s="347"/>
      <c r="AX35" s="108"/>
      <c r="AY35" s="108"/>
      <c r="AZ35" s="108"/>
      <c r="BA35" s="224"/>
      <c r="BB35" s="224"/>
      <c r="BC35" s="225"/>
      <c r="BD35" s="225"/>
      <c r="BE35" s="225"/>
      <c r="BF35" s="225"/>
      <c r="BG35" s="225"/>
      <c r="BH35" s="226"/>
      <c r="BI35" s="41"/>
      <c r="BK35" s="311"/>
      <c r="BL35" s="311"/>
      <c r="BM35" s="311"/>
      <c r="BN35" s="311"/>
      <c r="BO35" s="311"/>
      <c r="BP35" s="311"/>
      <c r="BQ35" s="311"/>
      <c r="BR35" s="311"/>
    </row>
    <row r="36" spans="1:70" ht="7.4" customHeight="1" x14ac:dyDescent="0.5">
      <c r="A36" s="42"/>
      <c r="C36" s="79"/>
      <c r="D36" s="79"/>
      <c r="E36" s="79"/>
      <c r="F36" s="79"/>
      <c r="G36" s="79"/>
      <c r="H36" s="79"/>
      <c r="I36" s="79"/>
      <c r="J36" s="79"/>
      <c r="K36" s="79"/>
      <c r="L36" s="79"/>
      <c r="M36" s="79"/>
      <c r="N36" s="79"/>
      <c r="O36" s="79"/>
      <c r="P36" s="79"/>
      <c r="Q36" s="79"/>
      <c r="R36" s="79"/>
      <c r="S36" s="293"/>
      <c r="T36" s="141"/>
      <c r="U36" s="141"/>
      <c r="V36" s="141"/>
      <c r="W36" s="141"/>
      <c r="X36" s="141"/>
      <c r="Y36" s="141"/>
      <c r="Z36" s="141"/>
      <c r="AA36" s="141"/>
      <c r="AB36" s="141"/>
      <c r="AC36" s="141"/>
      <c r="AD36" s="25"/>
      <c r="AE36" s="139"/>
      <c r="AF36" s="400"/>
      <c r="AG36" s="400"/>
      <c r="AH36" s="400"/>
      <c r="AI36" s="400"/>
      <c r="AJ36" s="400"/>
      <c r="AK36" s="400"/>
      <c r="AL36" s="400"/>
      <c r="AM36" s="448"/>
      <c r="AN36" s="25"/>
      <c r="AO36" s="347"/>
      <c r="AP36" s="347"/>
      <c r="AQ36" s="347"/>
      <c r="AR36" s="347"/>
      <c r="AS36" s="347"/>
      <c r="AT36" s="347"/>
      <c r="AU36" s="347"/>
      <c r="AV36" s="347"/>
      <c r="AW36" s="347"/>
      <c r="AX36" s="108"/>
      <c r="AY36" s="108"/>
      <c r="AZ36" s="108"/>
      <c r="BA36" s="224"/>
      <c r="BB36" s="224"/>
      <c r="BC36" s="225"/>
      <c r="BD36" s="225"/>
      <c r="BE36" s="225"/>
      <c r="BF36" s="225"/>
      <c r="BG36" s="225"/>
      <c r="BH36" s="226"/>
      <c r="BI36" s="41"/>
      <c r="BK36" s="75"/>
      <c r="BL36" s="75"/>
      <c r="BM36" s="75"/>
      <c r="BN36" s="75"/>
      <c r="BO36" s="75"/>
      <c r="BP36" s="75"/>
      <c r="BQ36" s="75"/>
      <c r="BR36" s="75"/>
    </row>
    <row r="37" spans="1:70" ht="7.4" customHeight="1" x14ac:dyDescent="0.5">
      <c r="A37" s="42"/>
      <c r="C37" s="79"/>
      <c r="D37" s="79"/>
      <c r="E37" s="79"/>
      <c r="F37" s="79"/>
      <c r="G37" s="79"/>
      <c r="H37" s="79"/>
      <c r="I37" s="79"/>
      <c r="J37" s="79"/>
      <c r="K37" s="79"/>
      <c r="L37" s="79"/>
      <c r="M37" s="79"/>
      <c r="N37" s="79"/>
      <c r="O37" s="79"/>
      <c r="P37" s="79"/>
      <c r="Q37" s="79"/>
      <c r="R37" s="79"/>
      <c r="T37" s="141"/>
      <c r="U37" s="141"/>
      <c r="V37" s="141"/>
      <c r="W37" s="141"/>
      <c r="X37" s="141"/>
      <c r="Y37" s="141"/>
      <c r="Z37" s="141"/>
      <c r="AA37" s="141"/>
      <c r="AB37" s="141"/>
      <c r="AC37" s="141"/>
      <c r="AD37" s="25"/>
      <c r="AE37" s="145"/>
      <c r="AF37" s="487"/>
      <c r="AG37" s="487"/>
      <c r="AH37" s="487"/>
      <c r="AI37" s="487"/>
      <c r="AJ37" s="487"/>
      <c r="AK37" s="487"/>
      <c r="AL37" s="487"/>
      <c r="AM37" s="488"/>
      <c r="AN37" s="135"/>
      <c r="AO37" s="135"/>
      <c r="AP37" s="135"/>
      <c r="AQ37" s="51"/>
      <c r="AR37" s="51"/>
      <c r="AS37" s="135"/>
      <c r="AT37" s="135"/>
      <c r="AU37" s="135"/>
      <c r="AV37" s="135"/>
      <c r="AW37" s="135"/>
      <c r="AX37" s="135"/>
      <c r="AY37" s="135"/>
      <c r="AZ37" s="135"/>
      <c r="BA37" s="135"/>
      <c r="BB37" s="135"/>
      <c r="BC37" s="146"/>
      <c r="BD37" s="146"/>
      <c r="BE37" s="146"/>
      <c r="BF37" s="146"/>
      <c r="BG37" s="146"/>
      <c r="BH37" s="147"/>
      <c r="BI37" s="41"/>
    </row>
    <row r="38" spans="1:70" ht="7.4" customHeight="1" x14ac:dyDescent="0.5">
      <c r="A38" s="42"/>
      <c r="X38" s="25"/>
      <c r="Y38" s="25"/>
      <c r="Z38" s="25"/>
      <c r="AA38" s="25"/>
      <c r="AB38" s="25"/>
      <c r="AC38" s="25"/>
      <c r="AD38" s="25"/>
      <c r="AE38" s="25"/>
      <c r="AF38" s="25"/>
      <c r="AG38" s="25"/>
      <c r="AH38" s="25"/>
      <c r="AI38" s="25"/>
      <c r="AJ38" s="25"/>
      <c r="AL38" s="79"/>
      <c r="AM38" s="79"/>
      <c r="AN38" s="79"/>
      <c r="AO38" s="79"/>
      <c r="AP38" s="79"/>
      <c r="AQ38" s="79"/>
      <c r="AR38" s="79"/>
      <c r="AS38" s="79"/>
      <c r="AV38" s="79"/>
      <c r="AW38" s="79"/>
      <c r="AX38" s="79"/>
      <c r="AY38" s="79"/>
      <c r="AZ38" s="79"/>
      <c r="BA38" s="79"/>
      <c r="BB38" s="79"/>
      <c r="BC38" s="79"/>
      <c r="BD38" s="79"/>
      <c r="BE38" s="79"/>
      <c r="BF38" s="79"/>
      <c r="BG38" s="79"/>
      <c r="BH38" s="79"/>
      <c r="BI38" s="41"/>
    </row>
    <row r="39" spans="1:70" ht="7.4" customHeight="1" x14ac:dyDescent="0.5">
      <c r="A39" s="42"/>
      <c r="B39" s="299" t="s">
        <v>73</v>
      </c>
      <c r="C39" s="363"/>
      <c r="D39" s="363"/>
      <c r="E39" s="363"/>
      <c r="F39" s="363"/>
      <c r="G39" s="363"/>
      <c r="H39" s="363"/>
      <c r="I39" s="363"/>
      <c r="J39" s="363"/>
      <c r="K39" s="363"/>
      <c r="L39" s="363"/>
      <c r="M39" s="363"/>
      <c r="N39" s="363"/>
      <c r="O39" s="363"/>
      <c r="P39" s="363"/>
      <c r="Q39" s="363"/>
      <c r="R39" s="363"/>
      <c r="S39" s="363"/>
      <c r="T39" s="363"/>
      <c r="U39" s="363"/>
      <c r="V39" s="363"/>
      <c r="W39" s="363"/>
      <c r="X39" s="363"/>
      <c r="Y39" s="363"/>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363"/>
      <c r="BC39" s="363"/>
      <c r="BD39" s="363"/>
      <c r="BE39" s="363"/>
      <c r="BF39" s="363"/>
      <c r="BG39" s="363"/>
      <c r="BH39" s="364"/>
      <c r="BI39" s="41"/>
    </row>
    <row r="40" spans="1:70" ht="7.4" customHeight="1" x14ac:dyDescent="0.5">
      <c r="A40" s="42"/>
      <c r="B40" s="365"/>
      <c r="C40" s="366"/>
      <c r="D40" s="366"/>
      <c r="E40" s="366"/>
      <c r="F40" s="366"/>
      <c r="G40" s="366"/>
      <c r="H40" s="366"/>
      <c r="I40" s="366"/>
      <c r="J40" s="366"/>
      <c r="K40" s="366"/>
      <c r="L40" s="366"/>
      <c r="M40" s="366"/>
      <c r="N40" s="366"/>
      <c r="O40" s="366"/>
      <c r="P40" s="366"/>
      <c r="Q40" s="366"/>
      <c r="R40" s="366"/>
      <c r="S40" s="366"/>
      <c r="T40" s="366"/>
      <c r="U40" s="366"/>
      <c r="V40" s="366"/>
      <c r="W40" s="366"/>
      <c r="X40" s="366"/>
      <c r="Y40" s="366"/>
      <c r="Z40" s="366"/>
      <c r="AA40" s="366"/>
      <c r="AB40" s="366"/>
      <c r="AC40" s="366"/>
      <c r="AD40" s="366"/>
      <c r="AE40" s="366"/>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7"/>
      <c r="BI40" s="41"/>
    </row>
    <row r="41" spans="1:70" ht="7.4" customHeight="1" x14ac:dyDescent="0.5">
      <c r="A41" s="42"/>
      <c r="B41" s="368"/>
      <c r="C41" s="369"/>
      <c r="D41" s="369"/>
      <c r="E41" s="369"/>
      <c r="F41" s="369"/>
      <c r="G41" s="369"/>
      <c r="H41" s="369"/>
      <c r="I41" s="369"/>
      <c r="J41" s="369"/>
      <c r="K41" s="369"/>
      <c r="L41" s="369"/>
      <c r="M41" s="369"/>
      <c r="N41" s="369"/>
      <c r="O41" s="369"/>
      <c r="P41" s="369"/>
      <c r="Q41" s="369"/>
      <c r="R41" s="369"/>
      <c r="S41" s="369"/>
      <c r="T41" s="369"/>
      <c r="U41" s="369"/>
      <c r="V41" s="369"/>
      <c r="W41" s="369"/>
      <c r="X41" s="369"/>
      <c r="Y41" s="369"/>
      <c r="Z41" s="369"/>
      <c r="AA41" s="369"/>
      <c r="AB41" s="369"/>
      <c r="AC41" s="369"/>
      <c r="AD41" s="369"/>
      <c r="AE41" s="369"/>
      <c r="AF41" s="369"/>
      <c r="AG41" s="369"/>
      <c r="AH41" s="369"/>
      <c r="AI41" s="369"/>
      <c r="AJ41" s="369"/>
      <c r="AK41" s="369"/>
      <c r="AL41" s="369"/>
      <c r="AM41" s="369"/>
      <c r="AN41" s="369"/>
      <c r="AO41" s="369"/>
      <c r="AP41" s="369"/>
      <c r="AQ41" s="369"/>
      <c r="AR41" s="369"/>
      <c r="AS41" s="369"/>
      <c r="AT41" s="369"/>
      <c r="AU41" s="369"/>
      <c r="AV41" s="369"/>
      <c r="AW41" s="369"/>
      <c r="AX41" s="369"/>
      <c r="AY41" s="369"/>
      <c r="AZ41" s="369"/>
      <c r="BA41" s="369"/>
      <c r="BB41" s="369"/>
      <c r="BC41" s="369"/>
      <c r="BD41" s="369"/>
      <c r="BE41" s="369"/>
      <c r="BF41" s="369"/>
      <c r="BG41" s="369"/>
      <c r="BH41" s="370"/>
      <c r="BI41" s="41"/>
    </row>
    <row r="42" spans="1:70" ht="7.4" customHeight="1" x14ac:dyDescent="0.5">
      <c r="A42" s="42"/>
      <c r="B42" s="58"/>
      <c r="C42" s="59"/>
      <c r="D42" s="59"/>
      <c r="E42" s="59"/>
      <c r="F42" s="59"/>
      <c r="G42" s="59"/>
      <c r="H42" s="60"/>
      <c r="I42" s="38"/>
      <c r="J42" s="39"/>
      <c r="K42" s="39"/>
      <c r="L42" s="39"/>
      <c r="M42" s="39"/>
      <c r="N42" s="39"/>
      <c r="O42" s="39"/>
      <c r="P42" s="58"/>
      <c r="Q42" s="59"/>
      <c r="R42" s="59"/>
      <c r="S42" s="148"/>
      <c r="T42" s="148"/>
      <c r="U42" s="149"/>
      <c r="V42" s="39"/>
      <c r="W42" s="89"/>
      <c r="X42" s="89"/>
      <c r="Y42" s="89"/>
      <c r="Z42" s="89"/>
      <c r="AA42" s="39"/>
      <c r="AB42" s="39"/>
      <c r="AC42" s="89"/>
      <c r="AD42" s="89"/>
      <c r="AE42" s="89"/>
      <c r="AF42" s="89"/>
      <c r="AG42" s="89"/>
      <c r="AH42" s="39"/>
      <c r="AI42" s="77"/>
      <c r="AJ42" s="77"/>
      <c r="AK42" s="77"/>
      <c r="AL42" s="77"/>
      <c r="AM42" s="77"/>
      <c r="AN42" s="77"/>
      <c r="AO42" s="77"/>
      <c r="AP42" s="77"/>
      <c r="AQ42" s="39"/>
      <c r="AR42" s="39"/>
      <c r="AS42" s="77"/>
      <c r="AT42" s="77"/>
      <c r="AU42" s="58"/>
      <c r="AV42" s="59"/>
      <c r="AW42" s="59"/>
      <c r="AX42" s="148"/>
      <c r="AY42" s="148"/>
      <c r="AZ42" s="148"/>
      <c r="BA42" s="150"/>
      <c r="BB42" s="39"/>
      <c r="BC42" s="39"/>
      <c r="BD42" s="39"/>
      <c r="BE42" s="77"/>
      <c r="BF42" s="77"/>
      <c r="BG42" s="77"/>
      <c r="BH42" s="138"/>
      <c r="BI42" s="41"/>
    </row>
    <row r="43" spans="1:70" ht="7.4" customHeight="1" x14ac:dyDescent="0.5">
      <c r="A43" s="42"/>
      <c r="B43" s="61"/>
      <c r="C43" s="344" t="s">
        <v>74</v>
      </c>
      <c r="D43" s="344"/>
      <c r="E43" s="344"/>
      <c r="F43" s="344"/>
      <c r="G43" s="344"/>
      <c r="H43" s="63"/>
      <c r="I43" s="42"/>
      <c r="J43" s="311">
        <f>M54*M58+P54*P58+S54*S58+V54*V58+Y54*Y58+AB54*AB58+AE54*AE58+AH54*AH58+AK54*AK58+AN54*AN58+AQ54*AQ58+AT54*AT58+AW54*AW58+AZ54*AZ58+BC54*BC58+BF54*BF58</f>
        <v>100</v>
      </c>
      <c r="K43" s="311"/>
      <c r="L43" s="311"/>
      <c r="M43" s="311"/>
      <c r="N43" s="311"/>
      <c r="P43" s="61"/>
      <c r="Q43" s="344" t="s">
        <v>75</v>
      </c>
      <c r="R43" s="344"/>
      <c r="S43" s="344"/>
      <c r="T43" s="344"/>
      <c r="U43" s="151"/>
      <c r="W43" s="453" t="s">
        <v>134</v>
      </c>
      <c r="X43" s="453"/>
      <c r="Y43" s="453"/>
      <c r="Z43" s="453"/>
      <c r="AA43" s="453"/>
      <c r="AB43" s="453"/>
      <c r="AC43" s="453"/>
      <c r="AD43" s="453"/>
      <c r="AE43" s="453"/>
      <c r="AF43" s="453"/>
      <c r="AG43" s="453"/>
      <c r="AH43" s="453"/>
      <c r="AI43" s="453"/>
      <c r="AJ43" s="453"/>
      <c r="AK43" s="453"/>
      <c r="AL43" s="453"/>
      <c r="AM43" s="453"/>
      <c r="AN43" s="453"/>
      <c r="AO43" s="453"/>
      <c r="AP43" s="453"/>
      <c r="AQ43" s="453"/>
      <c r="AR43" s="453"/>
      <c r="AS43" s="453"/>
      <c r="AT43" s="79"/>
      <c r="AU43" s="61"/>
      <c r="AV43" s="400" t="s">
        <v>77</v>
      </c>
      <c r="AW43" s="400"/>
      <c r="AX43" s="400"/>
      <c r="AY43" s="400"/>
      <c r="AZ43" s="400"/>
      <c r="BA43" s="152"/>
      <c r="BC43" s="471">
        <v>600</v>
      </c>
      <c r="BD43" s="471"/>
      <c r="BE43" s="471"/>
      <c r="BF43" s="471"/>
      <c r="BG43" s="471"/>
      <c r="BH43" s="124"/>
      <c r="BI43" s="41"/>
    </row>
    <row r="44" spans="1:70" ht="7.4" customHeight="1" x14ac:dyDescent="0.5">
      <c r="A44" s="42"/>
      <c r="B44" s="61"/>
      <c r="C44" s="344"/>
      <c r="D44" s="344"/>
      <c r="E44" s="344"/>
      <c r="F44" s="344"/>
      <c r="G44" s="344"/>
      <c r="H44" s="63"/>
      <c r="I44" s="42"/>
      <c r="J44" s="311"/>
      <c r="K44" s="311"/>
      <c r="L44" s="311"/>
      <c r="M44" s="311"/>
      <c r="N44" s="311"/>
      <c r="P44" s="61"/>
      <c r="Q44" s="344"/>
      <c r="R44" s="344"/>
      <c r="S44" s="344"/>
      <c r="T44" s="344"/>
      <c r="U44" s="151"/>
      <c r="W44" s="453"/>
      <c r="X44" s="453"/>
      <c r="Y44" s="453"/>
      <c r="Z44" s="453"/>
      <c r="AA44" s="453"/>
      <c r="AB44" s="453"/>
      <c r="AC44" s="453"/>
      <c r="AD44" s="453"/>
      <c r="AE44" s="453"/>
      <c r="AF44" s="453"/>
      <c r="AG44" s="453"/>
      <c r="AH44" s="453"/>
      <c r="AI44" s="453"/>
      <c r="AJ44" s="453"/>
      <c r="AK44" s="453"/>
      <c r="AL44" s="453"/>
      <c r="AM44" s="453"/>
      <c r="AN44" s="453"/>
      <c r="AO44" s="453"/>
      <c r="AP44" s="453"/>
      <c r="AQ44" s="453"/>
      <c r="AR44" s="453"/>
      <c r="AS44" s="453"/>
      <c r="AT44" s="79"/>
      <c r="AU44" s="61"/>
      <c r="AV44" s="400"/>
      <c r="AW44" s="400"/>
      <c r="AX44" s="400"/>
      <c r="AY44" s="400"/>
      <c r="AZ44" s="400"/>
      <c r="BA44" s="152"/>
      <c r="BC44" s="471"/>
      <c r="BD44" s="471"/>
      <c r="BE44" s="471"/>
      <c r="BF44" s="471"/>
      <c r="BG44" s="471"/>
      <c r="BH44" s="124"/>
      <c r="BI44" s="41"/>
    </row>
    <row r="45" spans="1:70" ht="7.4" customHeight="1" x14ac:dyDescent="0.5">
      <c r="A45" s="42"/>
      <c r="B45" s="61"/>
      <c r="C45" s="344"/>
      <c r="D45" s="344"/>
      <c r="E45" s="344"/>
      <c r="F45" s="344"/>
      <c r="G45" s="344"/>
      <c r="H45" s="63"/>
      <c r="I45" s="42"/>
      <c r="J45" s="311"/>
      <c r="K45" s="311"/>
      <c r="L45" s="311"/>
      <c r="M45" s="311"/>
      <c r="N45" s="311"/>
      <c r="P45" s="61"/>
      <c r="Q45" s="344"/>
      <c r="R45" s="344"/>
      <c r="S45" s="344"/>
      <c r="T45" s="344"/>
      <c r="U45" s="151"/>
      <c r="W45" s="472">
        <v>2278</v>
      </c>
      <c r="X45" s="472"/>
      <c r="Y45" s="472"/>
      <c r="Z45" s="472"/>
      <c r="AA45" s="153" t="s">
        <v>78</v>
      </c>
      <c r="AB45" s="153"/>
      <c r="AC45" s="154"/>
      <c r="AD45" s="154"/>
      <c r="AE45" s="472">
        <v>1134</v>
      </c>
      <c r="AF45" s="472"/>
      <c r="AG45" s="472"/>
      <c r="AH45" s="472"/>
      <c r="AI45" s="155" t="s">
        <v>79</v>
      </c>
      <c r="AJ45" s="155"/>
      <c r="AK45" s="155"/>
      <c r="AL45" s="155"/>
      <c r="AM45" s="472">
        <v>30</v>
      </c>
      <c r="AN45" s="472"/>
      <c r="AO45" s="472"/>
      <c r="AP45" s="472"/>
      <c r="AQ45" s="153" t="s">
        <v>80</v>
      </c>
      <c r="AR45" s="153"/>
      <c r="AS45" s="155"/>
      <c r="AT45" s="79"/>
      <c r="AU45" s="61"/>
      <c r="AV45" s="400"/>
      <c r="AW45" s="400"/>
      <c r="AX45" s="400"/>
      <c r="AY45" s="400"/>
      <c r="AZ45" s="400"/>
      <c r="BA45" s="152"/>
      <c r="BC45" s="471"/>
      <c r="BD45" s="471"/>
      <c r="BE45" s="471"/>
      <c r="BF45" s="471"/>
      <c r="BG45" s="471"/>
      <c r="BH45" s="124"/>
      <c r="BI45" s="41"/>
    </row>
    <row r="46" spans="1:70" ht="7.4" customHeight="1" x14ac:dyDescent="0.5">
      <c r="A46" s="42"/>
      <c r="B46" s="64"/>
      <c r="C46" s="65"/>
      <c r="D46" s="65"/>
      <c r="E46" s="65"/>
      <c r="F46" s="65"/>
      <c r="G46" s="65"/>
      <c r="H46" s="66"/>
      <c r="I46" s="50"/>
      <c r="J46" s="51"/>
      <c r="K46" s="51"/>
      <c r="L46" s="51"/>
      <c r="M46" s="51"/>
      <c r="N46" s="51"/>
      <c r="O46" s="51"/>
      <c r="P46" s="64"/>
      <c r="Q46" s="65"/>
      <c r="R46" s="65"/>
      <c r="S46" s="96"/>
      <c r="T46" s="96"/>
      <c r="U46" s="156"/>
      <c r="V46" s="51"/>
      <c r="W46" s="97"/>
      <c r="X46" s="97"/>
      <c r="Y46" s="97"/>
      <c r="Z46" s="97"/>
      <c r="AA46" s="51"/>
      <c r="AB46" s="51"/>
      <c r="AC46" s="97"/>
      <c r="AD46" s="97"/>
      <c r="AE46" s="97"/>
      <c r="AF46" s="97"/>
      <c r="AG46" s="97"/>
      <c r="AH46" s="51"/>
      <c r="AI46" s="135"/>
      <c r="AJ46" s="135"/>
      <c r="AK46" s="135"/>
      <c r="AL46" s="135"/>
      <c r="AM46" s="135"/>
      <c r="AN46" s="135"/>
      <c r="AO46" s="135"/>
      <c r="AP46" s="135"/>
      <c r="AQ46" s="51"/>
      <c r="AR46" s="51"/>
      <c r="AS46" s="135"/>
      <c r="AT46" s="135"/>
      <c r="AU46" s="64"/>
      <c r="AV46" s="65"/>
      <c r="AW46" s="65"/>
      <c r="AX46" s="96"/>
      <c r="AY46" s="96"/>
      <c r="AZ46" s="96"/>
      <c r="BA46" s="157"/>
      <c r="BB46" s="51"/>
      <c r="BC46" s="51"/>
      <c r="BD46" s="51"/>
      <c r="BE46" s="135"/>
      <c r="BF46" s="135"/>
      <c r="BG46" s="135"/>
      <c r="BH46" s="158"/>
      <c r="BI46" s="41"/>
    </row>
    <row r="47" spans="1:70" ht="7.4" customHeight="1" x14ac:dyDescent="0.5">
      <c r="A47" s="42"/>
      <c r="X47" s="25"/>
      <c r="Y47" s="25"/>
      <c r="Z47" s="25"/>
      <c r="AA47" s="25"/>
      <c r="AB47" s="25"/>
      <c r="AC47" s="25"/>
      <c r="AD47" s="25"/>
      <c r="AE47" s="25"/>
      <c r="AF47" s="25"/>
      <c r="AG47" s="25"/>
      <c r="AI47" s="79"/>
      <c r="AJ47" s="79"/>
      <c r="AK47" s="79"/>
      <c r="AL47" s="79"/>
      <c r="AM47" s="79"/>
      <c r="AN47" s="79"/>
      <c r="AO47" s="79"/>
      <c r="AP47" s="79"/>
      <c r="AS47" s="79"/>
      <c r="AT47" s="79"/>
      <c r="AU47" s="79"/>
      <c r="AV47" s="79"/>
      <c r="AW47" s="79"/>
      <c r="AX47" s="79"/>
      <c r="AY47" s="79"/>
      <c r="AZ47" s="79"/>
      <c r="BA47" s="79"/>
      <c r="BB47" s="79"/>
      <c r="BC47" s="79"/>
      <c r="BD47" s="79"/>
      <c r="BE47" s="79"/>
      <c r="BF47" s="79"/>
      <c r="BG47" s="79"/>
      <c r="BH47" s="79"/>
      <c r="BI47" s="41"/>
    </row>
    <row r="48" spans="1:70" ht="7.4" customHeight="1" x14ac:dyDescent="0.5">
      <c r="A48" s="42"/>
      <c r="B48" s="299" t="s">
        <v>81</v>
      </c>
      <c r="C48" s="363"/>
      <c r="D48" s="363"/>
      <c r="E48" s="363"/>
      <c r="F48" s="363"/>
      <c r="G48" s="363"/>
      <c r="H48" s="363"/>
      <c r="I48" s="363"/>
      <c r="J48" s="363"/>
      <c r="K48" s="363"/>
      <c r="L48" s="363"/>
      <c r="M48" s="363"/>
      <c r="N48" s="363"/>
      <c r="O48" s="363"/>
      <c r="P48" s="363"/>
      <c r="Q48" s="363"/>
      <c r="R48" s="363"/>
      <c r="S48" s="363"/>
      <c r="T48" s="363"/>
      <c r="U48" s="363"/>
      <c r="V48" s="363"/>
      <c r="W48" s="363"/>
      <c r="X48" s="363"/>
      <c r="Y48" s="363"/>
      <c r="Z48" s="363"/>
      <c r="AA48" s="363"/>
      <c r="AB48" s="363"/>
      <c r="AC48" s="363"/>
      <c r="AD48" s="363"/>
      <c r="AE48" s="363"/>
      <c r="AF48" s="363"/>
      <c r="AG48" s="363"/>
      <c r="AH48" s="363"/>
      <c r="AI48" s="363"/>
      <c r="AJ48" s="363"/>
      <c r="AK48" s="363"/>
      <c r="AL48" s="363"/>
      <c r="AM48" s="363"/>
      <c r="AN48" s="363"/>
      <c r="AO48" s="363"/>
      <c r="AP48" s="363"/>
      <c r="AQ48" s="363"/>
      <c r="AR48" s="363"/>
      <c r="AS48" s="363"/>
      <c r="AT48" s="363"/>
      <c r="AU48" s="363"/>
      <c r="AV48" s="363"/>
      <c r="AW48" s="363"/>
      <c r="AX48" s="363"/>
      <c r="AY48" s="363"/>
      <c r="AZ48" s="363"/>
      <c r="BA48" s="363"/>
      <c r="BB48" s="363"/>
      <c r="BC48" s="363"/>
      <c r="BD48" s="363"/>
      <c r="BE48" s="363"/>
      <c r="BF48" s="363"/>
      <c r="BG48" s="363"/>
      <c r="BH48" s="364"/>
      <c r="BI48" s="41"/>
    </row>
    <row r="49" spans="1:61" ht="7.4" customHeight="1" x14ac:dyDescent="0.5">
      <c r="A49" s="42"/>
      <c r="B49" s="365"/>
      <c r="C49" s="366"/>
      <c r="D49" s="366"/>
      <c r="E49" s="366"/>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7"/>
      <c r="BI49" s="41"/>
    </row>
    <row r="50" spans="1:61" ht="7.4" customHeight="1" x14ac:dyDescent="0.5">
      <c r="A50" s="42"/>
      <c r="B50" s="368"/>
      <c r="C50" s="369"/>
      <c r="D50" s="369"/>
      <c r="E50" s="369"/>
      <c r="F50" s="369"/>
      <c r="G50" s="369"/>
      <c r="H50" s="369"/>
      <c r="I50" s="369"/>
      <c r="J50" s="369"/>
      <c r="K50" s="369"/>
      <c r="L50" s="369"/>
      <c r="M50" s="369"/>
      <c r="N50" s="369"/>
      <c r="O50" s="369"/>
      <c r="P50" s="369"/>
      <c r="Q50" s="369"/>
      <c r="R50" s="369"/>
      <c r="S50" s="369"/>
      <c r="T50" s="369"/>
      <c r="U50" s="369"/>
      <c r="V50" s="369"/>
      <c r="W50" s="369"/>
      <c r="X50" s="369"/>
      <c r="Y50" s="369"/>
      <c r="Z50" s="369"/>
      <c r="AA50" s="369"/>
      <c r="AB50" s="369"/>
      <c r="AC50" s="369"/>
      <c r="AD50" s="369"/>
      <c r="AE50" s="369"/>
      <c r="AF50" s="369"/>
      <c r="AG50" s="369"/>
      <c r="AH50" s="369"/>
      <c r="AI50" s="369"/>
      <c r="AJ50" s="369"/>
      <c r="AK50" s="369"/>
      <c r="AL50" s="369"/>
      <c r="AM50" s="369"/>
      <c r="AN50" s="369"/>
      <c r="AO50" s="369"/>
      <c r="AP50" s="369"/>
      <c r="AQ50" s="369"/>
      <c r="AR50" s="369"/>
      <c r="AS50" s="369"/>
      <c r="AT50" s="369"/>
      <c r="AU50" s="369"/>
      <c r="AV50" s="369"/>
      <c r="AW50" s="369"/>
      <c r="AX50" s="369"/>
      <c r="AY50" s="369"/>
      <c r="AZ50" s="369"/>
      <c r="BA50" s="369"/>
      <c r="BB50" s="369"/>
      <c r="BC50" s="369"/>
      <c r="BD50" s="369"/>
      <c r="BE50" s="369"/>
      <c r="BF50" s="369"/>
      <c r="BG50" s="369"/>
      <c r="BH50" s="370"/>
      <c r="BI50" s="41"/>
    </row>
    <row r="51" spans="1:61" ht="7.4" customHeight="1" x14ac:dyDescent="0.5">
      <c r="A51" s="42"/>
      <c r="B51" s="61"/>
      <c r="C51" s="159"/>
      <c r="D51" s="159"/>
      <c r="E51" s="159"/>
      <c r="F51" s="159"/>
      <c r="G51" s="159"/>
      <c r="H51" s="159"/>
      <c r="I51" s="159"/>
      <c r="J51" s="159"/>
      <c r="K51" s="159"/>
      <c r="L51" s="151"/>
      <c r="M51" s="473">
        <v>1</v>
      </c>
      <c r="N51" s="474"/>
      <c r="O51" s="475"/>
      <c r="P51" s="473">
        <v>2</v>
      </c>
      <c r="Q51" s="474" t="s">
        <v>107</v>
      </c>
      <c r="R51" s="475"/>
      <c r="S51" s="473">
        <v>3</v>
      </c>
      <c r="T51" s="474" t="s">
        <v>108</v>
      </c>
      <c r="U51" s="475"/>
      <c r="V51" s="473">
        <v>4</v>
      </c>
      <c r="W51" s="474" t="s">
        <v>109</v>
      </c>
      <c r="X51" s="475"/>
      <c r="Y51" s="473">
        <v>5</v>
      </c>
      <c r="Z51" s="474" t="s">
        <v>110</v>
      </c>
      <c r="AA51" s="475"/>
      <c r="AB51" s="473">
        <v>6</v>
      </c>
      <c r="AC51" s="474" t="s">
        <v>111</v>
      </c>
      <c r="AD51" s="475"/>
      <c r="AE51" s="473">
        <v>7</v>
      </c>
      <c r="AF51" s="474" t="s">
        <v>112</v>
      </c>
      <c r="AG51" s="475"/>
      <c r="AH51" s="473">
        <v>8</v>
      </c>
      <c r="AI51" s="474" t="s">
        <v>113</v>
      </c>
      <c r="AJ51" s="475"/>
      <c r="AK51" s="473">
        <v>9</v>
      </c>
      <c r="AL51" s="474" t="s">
        <v>114</v>
      </c>
      <c r="AM51" s="475"/>
      <c r="AN51" s="473">
        <v>10</v>
      </c>
      <c r="AO51" s="474" t="s">
        <v>115</v>
      </c>
      <c r="AP51" s="475"/>
      <c r="AQ51" s="473">
        <v>11</v>
      </c>
      <c r="AR51" s="474" t="s">
        <v>116</v>
      </c>
      <c r="AS51" s="475"/>
      <c r="AT51" s="473">
        <v>12</v>
      </c>
      <c r="AU51" s="474" t="s">
        <v>117</v>
      </c>
      <c r="AV51" s="475"/>
      <c r="AW51" s="473">
        <v>13</v>
      </c>
      <c r="AX51" s="474" t="s">
        <v>118</v>
      </c>
      <c r="AY51" s="475"/>
      <c r="AZ51" s="473">
        <v>14</v>
      </c>
      <c r="BA51" s="474" t="s">
        <v>119</v>
      </c>
      <c r="BB51" s="475"/>
      <c r="BC51" s="473">
        <v>15</v>
      </c>
      <c r="BD51" s="474"/>
      <c r="BE51" s="475"/>
      <c r="BF51" s="473">
        <v>16</v>
      </c>
      <c r="BG51" s="474"/>
      <c r="BH51" s="475"/>
      <c r="BI51" s="41"/>
    </row>
    <row r="52" spans="1:61" ht="7.4" customHeight="1" x14ac:dyDescent="0.5">
      <c r="A52" s="42"/>
      <c r="B52" s="61"/>
      <c r="C52" s="159"/>
      <c r="D52" s="159"/>
      <c r="E52" s="159"/>
      <c r="F52" s="159"/>
      <c r="G52" s="159"/>
      <c r="H52" s="159"/>
      <c r="I52" s="159"/>
      <c r="J52" s="159"/>
      <c r="K52" s="159"/>
      <c r="L52" s="151"/>
      <c r="M52" s="473"/>
      <c r="N52" s="474"/>
      <c r="O52" s="475"/>
      <c r="P52" s="473"/>
      <c r="Q52" s="474"/>
      <c r="R52" s="475"/>
      <c r="S52" s="473"/>
      <c r="T52" s="474"/>
      <c r="U52" s="475"/>
      <c r="V52" s="473"/>
      <c r="W52" s="474"/>
      <c r="X52" s="475"/>
      <c r="Y52" s="473"/>
      <c r="Z52" s="474"/>
      <c r="AA52" s="475"/>
      <c r="AB52" s="473"/>
      <c r="AC52" s="474"/>
      <c r="AD52" s="475"/>
      <c r="AE52" s="473"/>
      <c r="AF52" s="474"/>
      <c r="AG52" s="475"/>
      <c r="AH52" s="473"/>
      <c r="AI52" s="474"/>
      <c r="AJ52" s="475"/>
      <c r="AK52" s="473"/>
      <c r="AL52" s="474"/>
      <c r="AM52" s="475"/>
      <c r="AN52" s="473"/>
      <c r="AO52" s="474"/>
      <c r="AP52" s="475"/>
      <c r="AQ52" s="473"/>
      <c r="AR52" s="474"/>
      <c r="AS52" s="475"/>
      <c r="AT52" s="473"/>
      <c r="AU52" s="474"/>
      <c r="AV52" s="475"/>
      <c r="AW52" s="473"/>
      <c r="AX52" s="474"/>
      <c r="AY52" s="475"/>
      <c r="AZ52" s="473"/>
      <c r="BA52" s="474"/>
      <c r="BB52" s="475"/>
      <c r="BC52" s="473"/>
      <c r="BD52" s="474"/>
      <c r="BE52" s="475"/>
      <c r="BF52" s="473"/>
      <c r="BG52" s="474"/>
      <c r="BH52" s="475"/>
      <c r="BI52" s="41"/>
    </row>
    <row r="53" spans="1:61" ht="7.4" customHeight="1" x14ac:dyDescent="0.5">
      <c r="A53" s="42"/>
      <c r="B53" s="61"/>
      <c r="C53" s="159"/>
      <c r="D53" s="159"/>
      <c r="E53" s="159"/>
      <c r="F53" s="159"/>
      <c r="G53" s="62"/>
      <c r="H53" s="160"/>
      <c r="I53" s="160"/>
      <c r="J53" s="160"/>
      <c r="K53" s="160"/>
      <c r="L53" s="152"/>
      <c r="M53" s="81"/>
      <c r="N53" s="77"/>
      <c r="O53" s="40"/>
      <c r="P53" s="81"/>
      <c r="Q53" s="77"/>
      <c r="R53" s="40"/>
      <c r="S53" s="81"/>
      <c r="T53" s="77"/>
      <c r="U53" s="40"/>
      <c r="V53" s="81"/>
      <c r="W53" s="77"/>
      <c r="X53" s="40"/>
      <c r="Y53" s="81"/>
      <c r="Z53" s="77"/>
      <c r="AA53" s="40"/>
      <c r="AB53" s="81"/>
      <c r="AC53" s="77"/>
      <c r="AD53" s="40"/>
      <c r="AE53" s="81"/>
      <c r="AF53" s="77"/>
      <c r="AG53" s="40"/>
      <c r="AH53" s="81"/>
      <c r="AI53" s="77"/>
      <c r="AJ53" s="40"/>
      <c r="AK53" s="81"/>
      <c r="AL53" s="77"/>
      <c r="AM53" s="40"/>
      <c r="AN53" s="81"/>
      <c r="AO53" s="77"/>
      <c r="AP53" s="40"/>
      <c r="AQ53" s="81"/>
      <c r="AR53" s="77"/>
      <c r="AS53" s="40"/>
      <c r="AT53" s="81"/>
      <c r="AU53" s="77"/>
      <c r="AV53" s="40"/>
      <c r="AW53" s="81"/>
      <c r="AX53" s="77"/>
      <c r="AY53" s="40"/>
      <c r="AZ53" s="81"/>
      <c r="BA53" s="77"/>
      <c r="BB53" s="40"/>
      <c r="BC53" s="81"/>
      <c r="BD53" s="77"/>
      <c r="BE53" s="40"/>
      <c r="BF53" s="81"/>
      <c r="BG53" s="77"/>
      <c r="BH53" s="40"/>
      <c r="BI53" s="41"/>
    </row>
    <row r="54" spans="1:61" ht="7.4" customHeight="1" x14ac:dyDescent="0.5">
      <c r="A54" s="42"/>
      <c r="B54" s="61"/>
      <c r="C54" s="400" t="s">
        <v>135</v>
      </c>
      <c r="D54" s="400"/>
      <c r="E54" s="400"/>
      <c r="F54" s="400"/>
      <c r="G54" s="400"/>
      <c r="H54" s="400"/>
      <c r="I54" s="400"/>
      <c r="J54" s="400"/>
      <c r="K54" s="400"/>
      <c r="L54" s="448"/>
      <c r="M54" s="349">
        <v>10</v>
      </c>
      <c r="N54" s="318"/>
      <c r="O54" s="350"/>
      <c r="P54" s="349">
        <v>0</v>
      </c>
      <c r="Q54" s="318" t="s">
        <v>153</v>
      </c>
      <c r="R54" s="350"/>
      <c r="S54" s="349">
        <v>0</v>
      </c>
      <c r="T54" s="318" t="s">
        <v>153</v>
      </c>
      <c r="U54" s="350"/>
      <c r="V54" s="349">
        <v>0</v>
      </c>
      <c r="W54" s="318" t="s">
        <v>153</v>
      </c>
      <c r="X54" s="350"/>
      <c r="Y54" s="349">
        <v>0</v>
      </c>
      <c r="Z54" s="318" t="s">
        <v>153</v>
      </c>
      <c r="AA54" s="350"/>
      <c r="AB54" s="349">
        <v>0</v>
      </c>
      <c r="AC54" s="318" t="s">
        <v>153</v>
      </c>
      <c r="AD54" s="350"/>
      <c r="AE54" s="349">
        <v>0</v>
      </c>
      <c r="AF54" s="318"/>
      <c r="AG54" s="350"/>
      <c r="AH54" s="349">
        <v>0</v>
      </c>
      <c r="AI54" s="318" t="s">
        <v>153</v>
      </c>
      <c r="AJ54" s="350"/>
      <c r="AK54" s="349">
        <v>0</v>
      </c>
      <c r="AL54" s="318" t="s">
        <v>153</v>
      </c>
      <c r="AM54" s="350"/>
      <c r="AN54" s="349">
        <v>0</v>
      </c>
      <c r="AO54" s="318" t="s">
        <v>153</v>
      </c>
      <c r="AP54" s="350"/>
      <c r="AQ54" s="349">
        <v>0</v>
      </c>
      <c r="AR54" s="318" t="s">
        <v>153</v>
      </c>
      <c r="AS54" s="350"/>
      <c r="AT54" s="349">
        <v>0</v>
      </c>
      <c r="AU54" s="318" t="s">
        <v>153</v>
      </c>
      <c r="AV54" s="350"/>
      <c r="AW54" s="349">
        <v>0</v>
      </c>
      <c r="AX54" s="318" t="s">
        <v>153</v>
      </c>
      <c r="AY54" s="350"/>
      <c r="AZ54" s="349">
        <v>0</v>
      </c>
      <c r="BA54" s="318" t="s">
        <v>153</v>
      </c>
      <c r="BB54" s="350"/>
      <c r="BC54" s="349">
        <v>0</v>
      </c>
      <c r="BD54" s="318"/>
      <c r="BE54" s="350"/>
      <c r="BF54" s="349">
        <v>0</v>
      </c>
      <c r="BG54" s="318"/>
      <c r="BH54" s="350"/>
      <c r="BI54" s="41"/>
    </row>
    <row r="55" spans="1:61" ht="7.4" customHeight="1" x14ac:dyDescent="0.5">
      <c r="A55" s="42"/>
      <c r="B55" s="61"/>
      <c r="C55" s="400"/>
      <c r="D55" s="400"/>
      <c r="E55" s="400"/>
      <c r="F55" s="400"/>
      <c r="G55" s="400"/>
      <c r="H55" s="400"/>
      <c r="I55" s="400"/>
      <c r="J55" s="400"/>
      <c r="K55" s="400"/>
      <c r="L55" s="448"/>
      <c r="M55" s="349"/>
      <c r="N55" s="318"/>
      <c r="O55" s="350"/>
      <c r="P55" s="349"/>
      <c r="Q55" s="318"/>
      <c r="R55" s="350"/>
      <c r="S55" s="349"/>
      <c r="T55" s="318"/>
      <c r="U55" s="350"/>
      <c r="V55" s="349"/>
      <c r="W55" s="318"/>
      <c r="X55" s="350"/>
      <c r="Y55" s="349"/>
      <c r="Z55" s="318"/>
      <c r="AA55" s="350"/>
      <c r="AB55" s="349"/>
      <c r="AC55" s="318"/>
      <c r="AD55" s="350"/>
      <c r="AE55" s="349"/>
      <c r="AF55" s="318"/>
      <c r="AG55" s="350"/>
      <c r="AH55" s="349"/>
      <c r="AI55" s="318"/>
      <c r="AJ55" s="350"/>
      <c r="AK55" s="349"/>
      <c r="AL55" s="318"/>
      <c r="AM55" s="350"/>
      <c r="AN55" s="349"/>
      <c r="AO55" s="318"/>
      <c r="AP55" s="350"/>
      <c r="AQ55" s="349"/>
      <c r="AR55" s="318"/>
      <c r="AS55" s="350"/>
      <c r="AT55" s="349"/>
      <c r="AU55" s="318"/>
      <c r="AV55" s="350"/>
      <c r="AW55" s="349"/>
      <c r="AX55" s="318"/>
      <c r="AY55" s="350"/>
      <c r="AZ55" s="349"/>
      <c r="BA55" s="318"/>
      <c r="BB55" s="350"/>
      <c r="BC55" s="349"/>
      <c r="BD55" s="318"/>
      <c r="BE55" s="350"/>
      <c r="BF55" s="349"/>
      <c r="BG55" s="318"/>
      <c r="BH55" s="350"/>
      <c r="BI55" s="41"/>
    </row>
    <row r="56" spans="1:61" ht="7.4" customHeight="1" x14ac:dyDescent="0.5">
      <c r="A56" s="42"/>
      <c r="B56" s="61"/>
      <c r="C56" s="159"/>
      <c r="D56" s="159"/>
      <c r="E56" s="159"/>
      <c r="F56" s="159"/>
      <c r="G56" s="62"/>
      <c r="H56" s="160"/>
      <c r="I56" s="160"/>
      <c r="J56" s="160"/>
      <c r="K56" s="160"/>
      <c r="L56" s="152"/>
      <c r="M56" s="161"/>
      <c r="N56" s="162"/>
      <c r="O56" s="163"/>
      <c r="P56" s="161"/>
      <c r="Q56" s="162"/>
      <c r="R56" s="163"/>
      <c r="S56" s="161"/>
      <c r="T56" s="162"/>
      <c r="U56" s="163"/>
      <c r="V56" s="161"/>
      <c r="W56" s="162"/>
      <c r="X56" s="163"/>
      <c r="Y56" s="161"/>
      <c r="Z56" s="162"/>
      <c r="AA56" s="163"/>
      <c r="AB56" s="164"/>
      <c r="AC56" s="165"/>
      <c r="AD56" s="166"/>
      <c r="AE56" s="164"/>
      <c r="AF56" s="165"/>
      <c r="AG56" s="166"/>
      <c r="AH56" s="164"/>
      <c r="AI56" s="165"/>
      <c r="AJ56" s="166"/>
      <c r="AK56" s="164"/>
      <c r="AL56" s="165"/>
      <c r="AM56" s="166"/>
      <c r="AN56" s="164"/>
      <c r="AO56" s="165"/>
      <c r="AP56" s="166"/>
      <c r="AQ56" s="164"/>
      <c r="AR56" s="165"/>
      <c r="AS56" s="166"/>
      <c r="AT56" s="164"/>
      <c r="AU56" s="165"/>
      <c r="AV56" s="166"/>
      <c r="AW56" s="164"/>
      <c r="AX56" s="165"/>
      <c r="AY56" s="166"/>
      <c r="AZ56" s="164"/>
      <c r="BA56" s="165"/>
      <c r="BB56" s="166"/>
      <c r="BC56" s="164"/>
      <c r="BD56" s="165"/>
      <c r="BE56" s="166"/>
      <c r="BF56" s="164"/>
      <c r="BG56" s="165"/>
      <c r="BH56" s="166"/>
      <c r="BI56" s="41"/>
    </row>
    <row r="57" spans="1:61" ht="7.4" customHeight="1" x14ac:dyDescent="0.5">
      <c r="A57" s="42"/>
      <c r="B57" s="61"/>
      <c r="C57" s="159"/>
      <c r="D57" s="159"/>
      <c r="E57" s="159"/>
      <c r="F57" s="159"/>
      <c r="G57" s="62"/>
      <c r="H57" s="160"/>
      <c r="I57" s="160"/>
      <c r="J57" s="160"/>
      <c r="K57" s="160"/>
      <c r="L57" s="152"/>
      <c r="M57" s="167"/>
      <c r="N57" s="168"/>
      <c r="O57" s="169"/>
      <c r="P57" s="167"/>
      <c r="Q57" s="168"/>
      <c r="R57" s="169"/>
      <c r="S57" s="167"/>
      <c r="T57" s="168"/>
      <c r="U57" s="169"/>
      <c r="V57" s="167"/>
      <c r="W57" s="168"/>
      <c r="X57" s="169"/>
      <c r="Y57" s="167"/>
      <c r="Z57" s="168"/>
      <c r="AA57" s="169"/>
      <c r="AB57" s="170"/>
      <c r="AC57" s="171"/>
      <c r="AD57" s="172"/>
      <c r="AE57" s="170"/>
      <c r="AF57" s="171"/>
      <c r="AG57" s="172"/>
      <c r="AH57" s="170"/>
      <c r="AI57" s="171"/>
      <c r="AJ57" s="172"/>
      <c r="AK57" s="170"/>
      <c r="AL57" s="171"/>
      <c r="AM57" s="172"/>
      <c r="AN57" s="170"/>
      <c r="AO57" s="171"/>
      <c r="AP57" s="172"/>
      <c r="AQ57" s="170"/>
      <c r="AR57" s="171"/>
      <c r="AS57" s="172"/>
      <c r="AT57" s="170"/>
      <c r="AU57" s="171"/>
      <c r="AV57" s="172"/>
      <c r="AW57" s="170"/>
      <c r="AX57" s="171"/>
      <c r="AY57" s="172"/>
      <c r="AZ57" s="170"/>
      <c r="BA57" s="171"/>
      <c r="BB57" s="172"/>
      <c r="BC57" s="170"/>
      <c r="BD57" s="171"/>
      <c r="BE57" s="172"/>
      <c r="BF57" s="170"/>
      <c r="BG57" s="171"/>
      <c r="BH57" s="172"/>
      <c r="BI57" s="41"/>
    </row>
    <row r="58" spans="1:61" ht="7.4" customHeight="1" x14ac:dyDescent="0.5">
      <c r="A58" s="42"/>
      <c r="B58" s="61"/>
      <c r="C58" s="400" t="s">
        <v>136</v>
      </c>
      <c r="D58" s="400"/>
      <c r="E58" s="400"/>
      <c r="F58" s="400"/>
      <c r="G58" s="400"/>
      <c r="H58" s="400"/>
      <c r="I58" s="400"/>
      <c r="J58" s="400"/>
      <c r="K58" s="400"/>
      <c r="L58" s="448"/>
      <c r="M58" s="349">
        <v>10</v>
      </c>
      <c r="N58" s="318" t="s">
        <v>154</v>
      </c>
      <c r="O58" s="350"/>
      <c r="P58" s="349">
        <v>0</v>
      </c>
      <c r="Q58" s="318" t="s">
        <v>154</v>
      </c>
      <c r="R58" s="350"/>
      <c r="S58" s="349">
        <v>0</v>
      </c>
      <c r="T58" s="318" t="s">
        <v>154</v>
      </c>
      <c r="U58" s="350"/>
      <c r="V58" s="349">
        <v>0</v>
      </c>
      <c r="W58" s="318" t="s">
        <v>154</v>
      </c>
      <c r="X58" s="350"/>
      <c r="Y58" s="349">
        <v>0</v>
      </c>
      <c r="Z58" s="318" t="s">
        <v>154</v>
      </c>
      <c r="AA58" s="350"/>
      <c r="AB58" s="349">
        <v>0</v>
      </c>
      <c r="AC58" s="318" t="s">
        <v>154</v>
      </c>
      <c r="AD58" s="350"/>
      <c r="AE58" s="349">
        <v>0</v>
      </c>
      <c r="AF58" s="318"/>
      <c r="AG58" s="350"/>
      <c r="AH58" s="349">
        <v>0</v>
      </c>
      <c r="AI58" s="318" t="s">
        <v>154</v>
      </c>
      <c r="AJ58" s="350"/>
      <c r="AK58" s="349">
        <v>0</v>
      </c>
      <c r="AL58" s="318" t="s">
        <v>154</v>
      </c>
      <c r="AM58" s="350"/>
      <c r="AN58" s="349">
        <v>0</v>
      </c>
      <c r="AO58" s="318" t="s">
        <v>154</v>
      </c>
      <c r="AP58" s="350"/>
      <c r="AQ58" s="349">
        <v>0</v>
      </c>
      <c r="AR58" s="318" t="s">
        <v>154</v>
      </c>
      <c r="AS58" s="350"/>
      <c r="AT58" s="349">
        <v>0</v>
      </c>
      <c r="AU58" s="318" t="s">
        <v>154</v>
      </c>
      <c r="AV58" s="350"/>
      <c r="AW58" s="349">
        <v>0</v>
      </c>
      <c r="AX58" s="318" t="s">
        <v>154</v>
      </c>
      <c r="AY58" s="350"/>
      <c r="AZ58" s="349">
        <v>0</v>
      </c>
      <c r="BA58" s="318" t="s">
        <v>154</v>
      </c>
      <c r="BB58" s="350"/>
      <c r="BC58" s="349">
        <v>0</v>
      </c>
      <c r="BD58" s="318"/>
      <c r="BE58" s="350"/>
      <c r="BF58" s="349">
        <v>0</v>
      </c>
      <c r="BG58" s="318"/>
      <c r="BH58" s="350"/>
      <c r="BI58" s="41"/>
    </row>
    <row r="59" spans="1:61" ht="7.4" customHeight="1" x14ac:dyDescent="0.5">
      <c r="A59" s="42"/>
      <c r="B59" s="61"/>
      <c r="C59" s="400"/>
      <c r="D59" s="400"/>
      <c r="E59" s="400"/>
      <c r="F59" s="400"/>
      <c r="G59" s="400"/>
      <c r="H59" s="400"/>
      <c r="I59" s="400"/>
      <c r="J59" s="400"/>
      <c r="K59" s="400"/>
      <c r="L59" s="448"/>
      <c r="M59" s="349"/>
      <c r="N59" s="318"/>
      <c r="O59" s="350"/>
      <c r="P59" s="349"/>
      <c r="Q59" s="318"/>
      <c r="R59" s="350"/>
      <c r="S59" s="349"/>
      <c r="T59" s="318"/>
      <c r="U59" s="350"/>
      <c r="V59" s="349"/>
      <c r="W59" s="318"/>
      <c r="X59" s="350"/>
      <c r="Y59" s="349"/>
      <c r="Z59" s="318"/>
      <c r="AA59" s="350"/>
      <c r="AB59" s="349"/>
      <c r="AC59" s="318"/>
      <c r="AD59" s="350"/>
      <c r="AE59" s="349"/>
      <c r="AF59" s="318"/>
      <c r="AG59" s="350"/>
      <c r="AH59" s="349"/>
      <c r="AI59" s="318"/>
      <c r="AJ59" s="350"/>
      <c r="AK59" s="349"/>
      <c r="AL59" s="318"/>
      <c r="AM59" s="350"/>
      <c r="AN59" s="349"/>
      <c r="AO59" s="318"/>
      <c r="AP59" s="350"/>
      <c r="AQ59" s="349"/>
      <c r="AR59" s="318"/>
      <c r="AS59" s="350"/>
      <c r="AT59" s="349"/>
      <c r="AU59" s="318"/>
      <c r="AV59" s="350"/>
      <c r="AW59" s="349"/>
      <c r="AX59" s="318"/>
      <c r="AY59" s="350"/>
      <c r="AZ59" s="349"/>
      <c r="BA59" s="318"/>
      <c r="BB59" s="350"/>
      <c r="BC59" s="349"/>
      <c r="BD59" s="318"/>
      <c r="BE59" s="350"/>
      <c r="BF59" s="349"/>
      <c r="BG59" s="318"/>
      <c r="BH59" s="350"/>
      <c r="BI59" s="41"/>
    </row>
    <row r="60" spans="1:61" ht="7.4" customHeight="1" x14ac:dyDescent="0.5">
      <c r="A60" s="42"/>
      <c r="B60" s="64"/>
      <c r="C60" s="96"/>
      <c r="D60" s="96"/>
      <c r="E60" s="96"/>
      <c r="F60" s="96"/>
      <c r="G60" s="65"/>
      <c r="H60" s="173"/>
      <c r="I60" s="173"/>
      <c r="J60" s="173"/>
      <c r="K60" s="173"/>
      <c r="L60" s="157"/>
      <c r="M60" s="174"/>
      <c r="N60" s="135"/>
      <c r="O60" s="52"/>
      <c r="P60" s="174"/>
      <c r="Q60" s="135"/>
      <c r="R60" s="52"/>
      <c r="S60" s="174"/>
      <c r="T60" s="135"/>
      <c r="U60" s="52"/>
      <c r="V60" s="174"/>
      <c r="W60" s="135"/>
      <c r="X60" s="52"/>
      <c r="Y60" s="174"/>
      <c r="Z60" s="135"/>
      <c r="AA60" s="52"/>
      <c r="AB60" s="174"/>
      <c r="AC60" s="135"/>
      <c r="AD60" s="52"/>
      <c r="AE60" s="174"/>
      <c r="AF60" s="135"/>
      <c r="AG60" s="52"/>
      <c r="AH60" s="174"/>
      <c r="AI60" s="135"/>
      <c r="AJ60" s="52"/>
      <c r="AK60" s="174"/>
      <c r="AL60" s="135"/>
      <c r="AM60" s="52"/>
      <c r="AN60" s="174"/>
      <c r="AO60" s="135"/>
      <c r="AP60" s="52"/>
      <c r="AQ60" s="174"/>
      <c r="AR60" s="135"/>
      <c r="AS60" s="52"/>
      <c r="AT60" s="174"/>
      <c r="AU60" s="135"/>
      <c r="AV60" s="52"/>
      <c r="AW60" s="174"/>
      <c r="AX60" s="135"/>
      <c r="AY60" s="52"/>
      <c r="AZ60" s="174"/>
      <c r="BA60" s="135"/>
      <c r="BB60" s="52"/>
      <c r="BC60" s="174"/>
      <c r="BD60" s="135"/>
      <c r="BE60" s="52"/>
      <c r="BF60" s="174"/>
      <c r="BG60" s="135"/>
      <c r="BH60" s="52"/>
      <c r="BI60" s="41"/>
    </row>
    <row r="61" spans="1:61" ht="7.4" customHeight="1" x14ac:dyDescent="0.5">
      <c r="A61" s="42"/>
      <c r="R61" s="25"/>
      <c r="S61" s="25"/>
      <c r="T61" s="25"/>
      <c r="U61" s="25"/>
      <c r="V61" s="25"/>
      <c r="W61" s="25"/>
      <c r="X61" s="25"/>
      <c r="Y61" s="25"/>
      <c r="Z61" s="25"/>
      <c r="AS61" s="79"/>
      <c r="AT61" s="79"/>
      <c r="AU61" s="79"/>
      <c r="AV61" s="79"/>
      <c r="AW61" s="79"/>
      <c r="AX61" s="79"/>
      <c r="AY61" s="79"/>
      <c r="AZ61" s="79"/>
      <c r="BA61" s="79"/>
      <c r="BB61" s="79"/>
      <c r="BE61" s="79"/>
      <c r="BF61" s="79"/>
      <c r="BG61" s="79"/>
      <c r="BH61" s="79"/>
      <c r="BI61" s="41"/>
    </row>
    <row r="62" spans="1:61" ht="7.4" customHeight="1" x14ac:dyDescent="0.5">
      <c r="A62" s="42"/>
      <c r="B62" s="29"/>
      <c r="C62" s="363" t="s">
        <v>83</v>
      </c>
      <c r="D62" s="363"/>
      <c r="E62" s="363"/>
      <c r="F62" s="363"/>
      <c r="G62" s="363"/>
      <c r="H62" s="363"/>
      <c r="I62" s="363"/>
      <c r="J62" s="363"/>
      <c r="K62" s="363"/>
      <c r="L62" s="363"/>
      <c r="M62" s="363"/>
      <c r="N62" s="363"/>
      <c r="O62" s="363"/>
      <c r="P62" s="363"/>
      <c r="Q62" s="363"/>
      <c r="R62" s="363"/>
      <c r="S62" s="363"/>
      <c r="T62" s="363"/>
      <c r="U62" s="31"/>
      <c r="AQ62" s="79"/>
      <c r="AR62" s="29"/>
      <c r="AS62" s="363" t="s">
        <v>37</v>
      </c>
      <c r="AT62" s="363"/>
      <c r="AU62" s="363"/>
      <c r="AV62" s="363"/>
      <c r="AW62" s="363"/>
      <c r="AX62" s="363"/>
      <c r="AY62" s="363"/>
      <c r="AZ62" s="363"/>
      <c r="BA62" s="363"/>
      <c r="BB62" s="363"/>
      <c r="BC62" s="363"/>
      <c r="BD62" s="363"/>
      <c r="BE62" s="363"/>
      <c r="BF62" s="363"/>
      <c r="BG62" s="363"/>
      <c r="BH62" s="31"/>
      <c r="BI62" s="41"/>
    </row>
    <row r="63" spans="1:61" ht="7.4" customHeight="1" x14ac:dyDescent="0.5">
      <c r="A63" s="42"/>
      <c r="B63" s="32"/>
      <c r="C63" s="366"/>
      <c r="D63" s="366"/>
      <c r="E63" s="366"/>
      <c r="F63" s="366"/>
      <c r="G63" s="366"/>
      <c r="H63" s="366"/>
      <c r="I63" s="366"/>
      <c r="J63" s="366"/>
      <c r="K63" s="366"/>
      <c r="L63" s="366"/>
      <c r="M63" s="366"/>
      <c r="N63" s="366"/>
      <c r="O63" s="366"/>
      <c r="P63" s="366"/>
      <c r="Q63" s="366"/>
      <c r="R63" s="366"/>
      <c r="S63" s="366"/>
      <c r="T63" s="366"/>
      <c r="U63" s="175"/>
      <c r="AQ63" s="79"/>
      <c r="AR63" s="32"/>
      <c r="AS63" s="366"/>
      <c r="AT63" s="366"/>
      <c r="AU63" s="366"/>
      <c r="AV63" s="366"/>
      <c r="AW63" s="366"/>
      <c r="AX63" s="366"/>
      <c r="AY63" s="366"/>
      <c r="AZ63" s="366"/>
      <c r="BA63" s="366"/>
      <c r="BB63" s="366"/>
      <c r="BC63" s="366"/>
      <c r="BD63" s="366"/>
      <c r="BE63" s="366"/>
      <c r="BF63" s="366"/>
      <c r="BG63" s="366"/>
      <c r="BH63" s="175"/>
      <c r="BI63" s="41"/>
    </row>
    <row r="64" spans="1:61" ht="7.4" customHeight="1" x14ac:dyDescent="0.5">
      <c r="A64" s="42"/>
      <c r="B64" s="32"/>
      <c r="C64" s="369"/>
      <c r="D64" s="369"/>
      <c r="E64" s="369"/>
      <c r="F64" s="369"/>
      <c r="G64" s="369"/>
      <c r="H64" s="369"/>
      <c r="I64" s="369"/>
      <c r="J64" s="369"/>
      <c r="K64" s="369"/>
      <c r="L64" s="369"/>
      <c r="M64" s="369"/>
      <c r="N64" s="369"/>
      <c r="O64" s="369"/>
      <c r="P64" s="369"/>
      <c r="Q64" s="369"/>
      <c r="R64" s="369"/>
      <c r="S64" s="369"/>
      <c r="T64" s="369"/>
      <c r="U64" s="34"/>
      <c r="AQ64" s="79"/>
      <c r="AR64" s="35"/>
      <c r="AS64" s="369"/>
      <c r="AT64" s="369"/>
      <c r="AU64" s="369"/>
      <c r="AV64" s="369"/>
      <c r="AW64" s="369"/>
      <c r="AX64" s="369"/>
      <c r="AY64" s="369"/>
      <c r="AZ64" s="369"/>
      <c r="BA64" s="369"/>
      <c r="BB64" s="369"/>
      <c r="BC64" s="369"/>
      <c r="BD64" s="369"/>
      <c r="BE64" s="369"/>
      <c r="BF64" s="369"/>
      <c r="BG64" s="369"/>
      <c r="BH64" s="34"/>
      <c r="BI64" s="41"/>
    </row>
    <row r="65" spans="1:61" ht="7.4" customHeight="1" x14ac:dyDescent="0.5">
      <c r="A65" s="42"/>
      <c r="B65" s="58"/>
      <c r="C65" s="511" t="s">
        <v>91</v>
      </c>
      <c r="D65" s="511"/>
      <c r="E65" s="511"/>
      <c r="F65" s="511"/>
      <c r="G65" s="511"/>
      <c r="H65" s="511"/>
      <c r="I65" s="511"/>
      <c r="J65" s="511"/>
      <c r="K65" s="511"/>
      <c r="L65" s="511"/>
      <c r="M65" s="512"/>
      <c r="N65" s="38"/>
      <c r="O65" s="39"/>
      <c r="P65" s="39"/>
      <c r="Q65" s="39"/>
      <c r="R65" s="89"/>
      <c r="S65" s="89"/>
      <c r="T65" s="89"/>
      <c r="U65" s="176"/>
      <c r="AQ65" s="79"/>
      <c r="AR65" s="61"/>
      <c r="AS65" s="62"/>
      <c r="AT65" s="62"/>
      <c r="AU65" s="62"/>
      <c r="AV65" s="62"/>
      <c r="AW65" s="62"/>
      <c r="AX65" s="62"/>
      <c r="AY65" s="62"/>
      <c r="AZ65" s="62"/>
      <c r="BA65" s="62"/>
      <c r="BB65" s="62"/>
      <c r="BC65" s="62"/>
      <c r="BD65" s="62"/>
      <c r="BE65" s="38"/>
      <c r="BF65" s="39"/>
      <c r="BG65" s="39"/>
      <c r="BH65" s="40"/>
      <c r="BI65" s="41"/>
    </row>
    <row r="66" spans="1:61" ht="7.4" customHeight="1" x14ac:dyDescent="0.5">
      <c r="A66" s="42"/>
      <c r="B66" s="61"/>
      <c r="C66" s="455"/>
      <c r="D66" s="455"/>
      <c r="E66" s="455"/>
      <c r="F66" s="455"/>
      <c r="G66" s="455"/>
      <c r="H66" s="455"/>
      <c r="I66" s="455"/>
      <c r="J66" s="455"/>
      <c r="K66" s="455"/>
      <c r="L66" s="455"/>
      <c r="M66" s="458"/>
      <c r="N66" s="452" t="s">
        <v>42</v>
      </c>
      <c r="O66" s="453"/>
      <c r="P66" s="453"/>
      <c r="Q66" s="453"/>
      <c r="R66" s="453"/>
      <c r="S66" s="453"/>
      <c r="T66" s="453"/>
      <c r="U66" s="454"/>
      <c r="AQ66" s="79"/>
      <c r="AR66" s="61"/>
      <c r="AS66" s="400" t="s">
        <v>89</v>
      </c>
      <c r="AT66" s="400"/>
      <c r="AU66" s="400"/>
      <c r="AV66" s="400"/>
      <c r="AW66" s="400"/>
      <c r="AX66" s="400"/>
      <c r="AY66" s="400"/>
      <c r="AZ66" s="400"/>
      <c r="BA66" s="400"/>
      <c r="BB66" s="400"/>
      <c r="BC66" s="400"/>
      <c r="BD66" s="400"/>
      <c r="BE66" s="42"/>
      <c r="BF66" s="449">
        <v>0.02</v>
      </c>
      <c r="BG66" s="449"/>
      <c r="BH66" s="450"/>
      <c r="BI66" s="41"/>
    </row>
    <row r="67" spans="1:61" ht="7.4" customHeight="1" x14ac:dyDescent="0.5">
      <c r="A67" s="42"/>
      <c r="B67" s="61"/>
      <c r="C67" s="455"/>
      <c r="D67" s="455"/>
      <c r="E67" s="455"/>
      <c r="F67" s="455"/>
      <c r="G67" s="455"/>
      <c r="H67" s="455"/>
      <c r="I67" s="455"/>
      <c r="J67" s="455"/>
      <c r="K67" s="455"/>
      <c r="L67" s="455"/>
      <c r="M67" s="458"/>
      <c r="N67" s="452"/>
      <c r="O67" s="453"/>
      <c r="P67" s="453"/>
      <c r="Q67" s="453"/>
      <c r="R67" s="453"/>
      <c r="S67" s="453"/>
      <c r="T67" s="453"/>
      <c r="U67" s="454"/>
      <c r="AQ67" s="79"/>
      <c r="AR67" s="61"/>
      <c r="AS67" s="400"/>
      <c r="AT67" s="400"/>
      <c r="AU67" s="400"/>
      <c r="AV67" s="400"/>
      <c r="AW67" s="400"/>
      <c r="AX67" s="400"/>
      <c r="AY67" s="400"/>
      <c r="AZ67" s="400"/>
      <c r="BA67" s="400"/>
      <c r="BB67" s="400"/>
      <c r="BC67" s="400"/>
      <c r="BD67" s="400"/>
      <c r="BE67" s="42"/>
      <c r="BF67" s="449"/>
      <c r="BG67" s="449"/>
      <c r="BH67" s="450"/>
      <c r="BI67" s="41"/>
    </row>
    <row r="68" spans="1:61" ht="7.4" customHeight="1" x14ac:dyDescent="0.5">
      <c r="A68" s="42"/>
      <c r="B68" s="61"/>
      <c r="C68" s="62"/>
      <c r="D68" s="62"/>
      <c r="E68" s="62"/>
      <c r="F68" s="62"/>
      <c r="G68" s="62"/>
      <c r="H68" s="62"/>
      <c r="I68" s="62"/>
      <c r="J68" s="62"/>
      <c r="K68" s="62"/>
      <c r="L68" s="62"/>
      <c r="M68" s="63"/>
      <c r="N68" s="50"/>
      <c r="O68" s="51"/>
      <c r="P68" s="51"/>
      <c r="Q68" s="51"/>
      <c r="R68" s="97"/>
      <c r="S68" s="97"/>
      <c r="T68" s="97"/>
      <c r="U68" s="98"/>
      <c r="AQ68" s="79"/>
      <c r="AR68" s="61"/>
      <c r="AS68" s="400" t="s">
        <v>90</v>
      </c>
      <c r="AT68" s="400"/>
      <c r="AU68" s="400"/>
      <c r="AV68" s="400"/>
      <c r="AW68" s="400"/>
      <c r="AX68" s="400"/>
      <c r="AY68" s="400"/>
      <c r="AZ68" s="400"/>
      <c r="BA68" s="400"/>
      <c r="BB68" s="400"/>
      <c r="BC68" s="400"/>
      <c r="BD68" s="400"/>
      <c r="BE68" s="42"/>
      <c r="BF68" s="449"/>
      <c r="BG68" s="449"/>
      <c r="BH68" s="450"/>
      <c r="BI68" s="41"/>
    </row>
    <row r="69" spans="1:61" ht="7.4" customHeight="1" x14ac:dyDescent="0.5">
      <c r="A69" s="42"/>
      <c r="B69" s="61"/>
      <c r="C69" s="455" t="s">
        <v>94</v>
      </c>
      <c r="D69" s="455"/>
      <c r="E69" s="455"/>
      <c r="F69" s="455"/>
      <c r="G69" s="455"/>
      <c r="H69" s="455"/>
      <c r="I69" s="455"/>
      <c r="J69" s="455"/>
      <c r="K69" s="455"/>
      <c r="L69" s="455"/>
      <c r="M69" s="458"/>
      <c r="N69" s="38"/>
      <c r="O69" s="39"/>
      <c r="P69" s="39"/>
      <c r="Q69" s="39"/>
      <c r="R69" s="89"/>
      <c r="S69" s="89"/>
      <c r="T69" s="89"/>
      <c r="U69" s="176"/>
      <c r="AQ69" s="79"/>
      <c r="AR69" s="61"/>
      <c r="AS69" s="400"/>
      <c r="AT69" s="400"/>
      <c r="AU69" s="400"/>
      <c r="AV69" s="400"/>
      <c r="AW69" s="400"/>
      <c r="AX69" s="400"/>
      <c r="AY69" s="400"/>
      <c r="AZ69" s="400"/>
      <c r="BA69" s="400"/>
      <c r="BB69" s="400"/>
      <c r="BC69" s="400"/>
      <c r="BD69" s="400"/>
      <c r="BE69" s="42"/>
      <c r="BF69" s="449"/>
      <c r="BG69" s="449"/>
      <c r="BH69" s="450"/>
      <c r="BI69" s="41"/>
    </row>
    <row r="70" spans="1:61" ht="7.4" customHeight="1" x14ac:dyDescent="0.5">
      <c r="A70" s="42"/>
      <c r="B70" s="61"/>
      <c r="C70" s="455"/>
      <c r="D70" s="455"/>
      <c r="E70" s="455"/>
      <c r="F70" s="455"/>
      <c r="G70" s="455"/>
      <c r="H70" s="455"/>
      <c r="I70" s="455"/>
      <c r="J70" s="455"/>
      <c r="K70" s="455"/>
      <c r="L70" s="455"/>
      <c r="M70" s="458"/>
      <c r="N70" s="452" t="s">
        <v>143</v>
      </c>
      <c r="O70" s="453"/>
      <c r="P70" s="453"/>
      <c r="Q70" s="453"/>
      <c r="R70" s="453"/>
      <c r="S70" s="453"/>
      <c r="T70" s="453"/>
      <c r="U70" s="454"/>
      <c r="AQ70" s="79"/>
      <c r="AR70" s="61"/>
      <c r="AS70" s="62"/>
      <c r="AT70" s="62"/>
      <c r="AU70" s="62"/>
      <c r="AV70" s="62"/>
      <c r="AW70" s="62"/>
      <c r="AX70" s="62"/>
      <c r="AY70" s="62"/>
      <c r="AZ70" s="62"/>
      <c r="BA70" s="62"/>
      <c r="BB70" s="62"/>
      <c r="BC70" s="62"/>
      <c r="BD70" s="62"/>
      <c r="BE70" s="50"/>
      <c r="BF70" s="51"/>
      <c r="BG70" s="51"/>
      <c r="BH70" s="52"/>
      <c r="BI70" s="41"/>
    </row>
    <row r="71" spans="1:61" ht="7.4" customHeight="1" x14ac:dyDescent="0.5">
      <c r="A71" s="42"/>
      <c r="B71" s="61"/>
      <c r="C71" s="455"/>
      <c r="D71" s="455"/>
      <c r="E71" s="455"/>
      <c r="F71" s="455"/>
      <c r="G71" s="455"/>
      <c r="H71" s="455"/>
      <c r="I71" s="455"/>
      <c r="J71" s="455"/>
      <c r="K71" s="455"/>
      <c r="L71" s="455"/>
      <c r="M71" s="458"/>
      <c r="N71" s="452"/>
      <c r="O71" s="453"/>
      <c r="P71" s="453"/>
      <c r="Q71" s="453"/>
      <c r="R71" s="453"/>
      <c r="S71" s="453"/>
      <c r="T71" s="453"/>
      <c r="U71" s="454"/>
      <c r="AQ71" s="79"/>
      <c r="AR71" s="61"/>
      <c r="AS71" s="62"/>
      <c r="AT71" s="62"/>
      <c r="AU71" s="62"/>
      <c r="AV71" s="62"/>
      <c r="AW71" s="62"/>
      <c r="AX71" s="62"/>
      <c r="AY71" s="62"/>
      <c r="AZ71" s="62"/>
      <c r="BA71" s="62"/>
      <c r="BB71" s="62"/>
      <c r="BC71" s="62"/>
      <c r="BD71" s="63"/>
      <c r="BH71" s="41"/>
      <c r="BI71" s="41"/>
    </row>
    <row r="72" spans="1:61" ht="7.4" customHeight="1" x14ac:dyDescent="0.5">
      <c r="A72" s="42"/>
      <c r="B72" s="61"/>
      <c r="C72" s="62"/>
      <c r="D72" s="62"/>
      <c r="E72" s="62"/>
      <c r="F72" s="62"/>
      <c r="G72" s="62"/>
      <c r="H72" s="62"/>
      <c r="I72" s="62"/>
      <c r="J72" s="62"/>
      <c r="K72" s="62"/>
      <c r="L72" s="62"/>
      <c r="M72" s="63"/>
      <c r="N72" s="50"/>
      <c r="O72" s="51"/>
      <c r="P72" s="51"/>
      <c r="Q72" s="51"/>
      <c r="R72" s="97"/>
      <c r="S72" s="97"/>
      <c r="T72" s="97"/>
      <c r="U72" s="98"/>
      <c r="AQ72" s="79"/>
      <c r="AR72" s="61"/>
      <c r="AS72" s="400" t="s">
        <v>93</v>
      </c>
      <c r="AT72" s="400"/>
      <c r="AU72" s="400"/>
      <c r="AV72" s="400"/>
      <c r="AW72" s="400"/>
      <c r="AX72" s="400"/>
      <c r="AY72" s="400"/>
      <c r="AZ72" s="400"/>
      <c r="BA72" s="400"/>
      <c r="BB72" s="400"/>
      <c r="BC72" s="400"/>
      <c r="BD72" s="448"/>
      <c r="BF72" s="449">
        <v>0.04</v>
      </c>
      <c r="BG72" s="449"/>
      <c r="BH72" s="450"/>
      <c r="BI72" s="41"/>
    </row>
    <row r="73" spans="1:61" ht="7.4" customHeight="1" x14ac:dyDescent="0.5">
      <c r="A73" s="42"/>
      <c r="B73" s="61"/>
      <c r="C73" s="400" t="s">
        <v>146</v>
      </c>
      <c r="D73" s="400"/>
      <c r="E73" s="400"/>
      <c r="F73" s="400"/>
      <c r="G73" s="400"/>
      <c r="H73" s="400"/>
      <c r="I73" s="400"/>
      <c r="J73" s="400"/>
      <c r="K73" s="400"/>
      <c r="L73" s="400"/>
      <c r="M73" s="448"/>
      <c r="O73" s="265"/>
      <c r="P73" s="265"/>
      <c r="Q73" s="265"/>
      <c r="R73" s="265"/>
      <c r="S73" s="265"/>
      <c r="T73" s="265"/>
      <c r="U73" s="266"/>
      <c r="AQ73" s="79"/>
      <c r="AR73" s="61"/>
      <c r="AS73" s="400"/>
      <c r="AT73" s="400"/>
      <c r="AU73" s="400"/>
      <c r="AV73" s="400"/>
      <c r="AW73" s="400"/>
      <c r="AX73" s="400"/>
      <c r="AY73" s="400"/>
      <c r="AZ73" s="400"/>
      <c r="BA73" s="400"/>
      <c r="BB73" s="400"/>
      <c r="BC73" s="400"/>
      <c r="BD73" s="448"/>
      <c r="BF73" s="449"/>
      <c r="BG73" s="449"/>
      <c r="BH73" s="450"/>
      <c r="BI73" s="41"/>
    </row>
    <row r="74" spans="1:61" ht="7.4" customHeight="1" x14ac:dyDescent="0.5">
      <c r="A74" s="42"/>
      <c r="B74" s="61"/>
      <c r="C74" s="400"/>
      <c r="D74" s="400"/>
      <c r="E74" s="400"/>
      <c r="F74" s="400"/>
      <c r="G74" s="400"/>
      <c r="H74" s="400"/>
      <c r="I74" s="400"/>
      <c r="J74" s="400"/>
      <c r="K74" s="400"/>
      <c r="L74" s="400"/>
      <c r="M74" s="448"/>
      <c r="N74" s="452" t="s">
        <v>147</v>
      </c>
      <c r="O74" s="453"/>
      <c r="P74" s="453"/>
      <c r="Q74" s="453"/>
      <c r="R74" s="453"/>
      <c r="S74" s="453"/>
      <c r="T74" s="453"/>
      <c r="U74" s="454"/>
      <c r="AQ74" s="79"/>
      <c r="AR74" s="61"/>
      <c r="AS74" s="62"/>
      <c r="AT74" s="62"/>
      <c r="AU74" s="62"/>
      <c r="AV74" s="62"/>
      <c r="AW74" s="62"/>
      <c r="AX74" s="62"/>
      <c r="AY74" s="62"/>
      <c r="AZ74" s="62"/>
      <c r="BA74" s="62"/>
      <c r="BB74" s="62"/>
      <c r="BC74" s="62"/>
      <c r="BD74" s="63"/>
      <c r="BE74" s="51"/>
      <c r="BF74" s="51"/>
      <c r="BG74" s="51"/>
      <c r="BH74" s="52"/>
      <c r="BI74" s="41"/>
    </row>
    <row r="75" spans="1:61" ht="7.4" customHeight="1" x14ac:dyDescent="0.5">
      <c r="A75" s="42"/>
      <c r="B75" s="61"/>
      <c r="C75" s="400"/>
      <c r="D75" s="400"/>
      <c r="E75" s="400"/>
      <c r="F75" s="400"/>
      <c r="G75" s="400"/>
      <c r="H75" s="400"/>
      <c r="I75" s="400"/>
      <c r="J75" s="400"/>
      <c r="K75" s="400"/>
      <c r="L75" s="400"/>
      <c r="M75" s="448"/>
      <c r="N75" s="452"/>
      <c r="O75" s="453"/>
      <c r="P75" s="453"/>
      <c r="Q75" s="453"/>
      <c r="R75" s="453"/>
      <c r="S75" s="453"/>
      <c r="T75" s="453"/>
      <c r="U75" s="454"/>
      <c r="AR75" s="61"/>
      <c r="AS75" s="62"/>
      <c r="AT75" s="62"/>
      <c r="AU75" s="62"/>
      <c r="AV75" s="62"/>
      <c r="AW75" s="62"/>
      <c r="AX75" s="62"/>
      <c r="AY75" s="62"/>
      <c r="AZ75" s="62"/>
      <c r="BA75" s="62"/>
      <c r="BB75" s="62"/>
      <c r="BC75" s="62"/>
      <c r="BD75" s="63"/>
      <c r="BE75" s="39"/>
      <c r="BF75" s="39"/>
      <c r="BG75" s="39"/>
      <c r="BH75" s="40"/>
      <c r="BI75" s="41"/>
    </row>
    <row r="76" spans="1:61" ht="7.4" customHeight="1" x14ac:dyDescent="0.5">
      <c r="A76" s="42"/>
      <c r="B76" s="64"/>
      <c r="C76" s="65"/>
      <c r="D76" s="65"/>
      <c r="E76" s="65"/>
      <c r="F76" s="65"/>
      <c r="G76" s="65"/>
      <c r="H76" s="65"/>
      <c r="I76" s="65"/>
      <c r="J76" s="65"/>
      <c r="K76" s="65"/>
      <c r="L76" s="65"/>
      <c r="M76" s="66"/>
      <c r="N76" s="267"/>
      <c r="O76" s="268"/>
      <c r="P76" s="268"/>
      <c r="Q76" s="268"/>
      <c r="R76" s="268"/>
      <c r="S76" s="268"/>
      <c r="T76" s="268"/>
      <c r="U76" s="269"/>
      <c r="AQ76" s="79"/>
      <c r="AR76" s="61"/>
      <c r="AS76" s="400" t="s">
        <v>97</v>
      </c>
      <c r="AT76" s="400"/>
      <c r="AU76" s="400"/>
      <c r="AV76" s="400"/>
      <c r="AW76" s="400"/>
      <c r="AX76" s="400"/>
      <c r="AY76" s="400"/>
      <c r="AZ76" s="400"/>
      <c r="BA76" s="400"/>
      <c r="BB76" s="400"/>
      <c r="BC76" s="400"/>
      <c r="BD76" s="448"/>
      <c r="BF76" s="449">
        <v>0.03</v>
      </c>
      <c r="BG76" s="449"/>
      <c r="BH76" s="450"/>
      <c r="BI76" s="41"/>
    </row>
    <row r="77" spans="1:61" ht="7.4" customHeight="1" x14ac:dyDescent="0.5">
      <c r="A77" s="42"/>
      <c r="AQ77" s="79"/>
      <c r="AR77" s="61"/>
      <c r="AS77" s="400"/>
      <c r="AT77" s="400"/>
      <c r="AU77" s="400"/>
      <c r="AV77" s="400"/>
      <c r="AW77" s="400"/>
      <c r="AX77" s="400"/>
      <c r="AY77" s="400"/>
      <c r="AZ77" s="400"/>
      <c r="BA77" s="400"/>
      <c r="BB77" s="400"/>
      <c r="BC77" s="400"/>
      <c r="BD77" s="448"/>
      <c r="BF77" s="449"/>
      <c r="BG77" s="449"/>
      <c r="BH77" s="450"/>
      <c r="BI77" s="41"/>
    </row>
    <row r="78" spans="1:61" ht="7.4" customHeight="1" x14ac:dyDescent="0.5">
      <c r="A78" s="42"/>
      <c r="Y78" s="25"/>
      <c r="Z78" s="25"/>
      <c r="AA78" s="25"/>
      <c r="AB78" s="25"/>
      <c r="AC78" s="25"/>
      <c r="AD78" s="25"/>
      <c r="AE78" s="25"/>
      <c r="AF78" s="25"/>
      <c r="AG78" s="25"/>
      <c r="AH78" s="25"/>
      <c r="AJ78" s="79"/>
      <c r="AK78" s="79"/>
      <c r="AL78" s="79"/>
      <c r="AM78" s="79"/>
      <c r="AN78" s="79"/>
      <c r="AO78" s="79"/>
      <c r="AP78" s="79"/>
      <c r="AQ78" s="79"/>
      <c r="AR78" s="64"/>
      <c r="AS78" s="65"/>
      <c r="AT78" s="65"/>
      <c r="AU78" s="65"/>
      <c r="AV78" s="65"/>
      <c r="AW78" s="65"/>
      <c r="AX78" s="65"/>
      <c r="AY78" s="65"/>
      <c r="AZ78" s="65"/>
      <c r="BA78" s="65"/>
      <c r="BB78" s="65"/>
      <c r="BC78" s="65"/>
      <c r="BD78" s="66"/>
      <c r="BE78" s="51"/>
      <c r="BF78" s="51"/>
      <c r="BG78" s="51"/>
      <c r="BH78" s="52"/>
      <c r="BI78" s="41"/>
    </row>
    <row r="79" spans="1:61" ht="7.4" customHeight="1" x14ac:dyDescent="0.5">
      <c r="A79" s="42"/>
      <c r="BI79" s="41"/>
    </row>
    <row r="80" spans="1:61" ht="7.4" customHeight="1" x14ac:dyDescent="0.5">
      <c r="A80" s="38"/>
      <c r="B80" s="39"/>
      <c r="C80" s="39"/>
      <c r="D80" s="39"/>
      <c r="E80" s="39"/>
      <c r="F80" s="39"/>
      <c r="G80" s="39"/>
      <c r="H80" s="39"/>
      <c r="I80" s="39"/>
      <c r="J80" s="39"/>
      <c r="K80" s="39"/>
      <c r="L80" s="39"/>
      <c r="M80" s="39"/>
      <c r="N80" s="39"/>
      <c r="O80" s="39"/>
      <c r="P80" s="39"/>
      <c r="Q80" s="39"/>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c r="BA80" s="39"/>
      <c r="BB80" s="39"/>
      <c r="BC80" s="39"/>
      <c r="BD80" s="39"/>
      <c r="BE80" s="39"/>
      <c r="BF80" s="39"/>
      <c r="BG80" s="39"/>
      <c r="BH80" s="39"/>
      <c r="BI80" s="40"/>
    </row>
    <row r="81" spans="1:61" ht="7.4" customHeight="1" x14ac:dyDescent="0.5">
      <c r="A81" s="519" t="s">
        <v>46</v>
      </c>
      <c r="B81" s="337"/>
      <c r="C81" s="337"/>
      <c r="D81" s="337"/>
      <c r="E81" s="337"/>
      <c r="F81" s="337"/>
      <c r="G81" s="337"/>
      <c r="H81" s="337"/>
      <c r="I81" s="337"/>
      <c r="J81" s="337"/>
      <c r="K81" s="337"/>
      <c r="L81" s="337"/>
      <c r="M81" s="337"/>
      <c r="N81" s="337"/>
      <c r="O81" s="337"/>
      <c r="P81" s="337"/>
      <c r="Q81" s="337"/>
      <c r="R81" s="337"/>
      <c r="S81" s="337"/>
      <c r="T81" s="337"/>
      <c r="U81" s="337"/>
      <c r="V81" s="337"/>
      <c r="W81" s="337"/>
      <c r="X81" s="337"/>
      <c r="Y81" s="337"/>
      <c r="Z81" s="337"/>
      <c r="AA81" s="337"/>
      <c r="AB81" s="337"/>
      <c r="AC81" s="337"/>
      <c r="AD81" s="337"/>
      <c r="AE81" s="337"/>
      <c r="AF81" s="337"/>
      <c r="AG81" s="337"/>
      <c r="AH81" s="337"/>
      <c r="AI81" s="337"/>
      <c r="AJ81" s="337"/>
      <c r="AK81" s="337"/>
      <c r="AL81" s="337"/>
      <c r="AM81" s="337"/>
      <c r="AN81" s="337"/>
      <c r="AO81" s="337"/>
      <c r="AP81" s="337"/>
      <c r="AQ81" s="337"/>
      <c r="AR81" s="337"/>
      <c r="AS81" s="337"/>
      <c r="AT81" s="337"/>
      <c r="AU81" s="337"/>
      <c r="AV81" s="337"/>
      <c r="AW81" s="337"/>
      <c r="AX81" s="337"/>
      <c r="AY81" s="337"/>
      <c r="AZ81" s="337"/>
      <c r="BA81" s="337"/>
      <c r="BB81" s="337"/>
      <c r="BC81" s="337"/>
      <c r="BD81" s="337"/>
      <c r="BE81" s="337"/>
      <c r="BF81" s="337"/>
      <c r="BG81" s="337"/>
      <c r="BH81" s="337"/>
      <c r="BI81" s="520"/>
    </row>
    <row r="82" spans="1:61" ht="7.4" customHeight="1" x14ac:dyDescent="0.5">
      <c r="A82" s="519"/>
      <c r="B82" s="337"/>
      <c r="C82" s="337"/>
      <c r="D82" s="337"/>
      <c r="E82" s="337"/>
      <c r="F82" s="337"/>
      <c r="G82" s="337"/>
      <c r="H82" s="337"/>
      <c r="I82" s="337"/>
      <c r="J82" s="337"/>
      <c r="K82" s="337"/>
      <c r="L82" s="337"/>
      <c r="M82" s="337"/>
      <c r="N82" s="337"/>
      <c r="O82" s="337"/>
      <c r="P82" s="337"/>
      <c r="Q82" s="337"/>
      <c r="R82" s="337"/>
      <c r="S82" s="337"/>
      <c r="T82" s="337"/>
      <c r="U82" s="337"/>
      <c r="V82" s="337"/>
      <c r="W82" s="337"/>
      <c r="X82" s="337"/>
      <c r="Y82" s="337"/>
      <c r="Z82" s="337"/>
      <c r="AA82" s="337"/>
      <c r="AB82" s="337"/>
      <c r="AC82" s="337"/>
      <c r="AD82" s="337"/>
      <c r="AE82" s="337"/>
      <c r="AF82" s="337"/>
      <c r="AG82" s="337"/>
      <c r="AH82" s="337"/>
      <c r="AI82" s="337"/>
      <c r="AJ82" s="337"/>
      <c r="AK82" s="337"/>
      <c r="AL82" s="337"/>
      <c r="AM82" s="337"/>
      <c r="AN82" s="337"/>
      <c r="AO82" s="337"/>
      <c r="AP82" s="337"/>
      <c r="AQ82" s="337"/>
      <c r="AR82" s="337"/>
      <c r="AS82" s="337"/>
      <c r="AT82" s="337"/>
      <c r="AU82" s="337"/>
      <c r="AV82" s="337"/>
      <c r="AW82" s="337"/>
      <c r="AX82" s="337"/>
      <c r="AY82" s="337"/>
      <c r="AZ82" s="337"/>
      <c r="BA82" s="337"/>
      <c r="BB82" s="337"/>
      <c r="BC82" s="337"/>
      <c r="BD82" s="337"/>
      <c r="BE82" s="337"/>
      <c r="BF82" s="337"/>
      <c r="BG82" s="337"/>
      <c r="BH82" s="337"/>
      <c r="BI82" s="520"/>
    </row>
    <row r="83" spans="1:61" ht="7.4" customHeight="1" x14ac:dyDescent="0.5">
      <c r="A83" s="42"/>
      <c r="BI83" s="41"/>
    </row>
    <row r="84" spans="1:61" ht="7.4" customHeight="1" x14ac:dyDescent="0.5">
      <c r="A84" s="42"/>
      <c r="BI84" s="41"/>
    </row>
    <row r="85" spans="1:61" ht="7.4" customHeight="1" x14ac:dyDescent="0.5">
      <c r="A85" s="42"/>
      <c r="D85" s="79"/>
      <c r="E85" s="79"/>
      <c r="F85" s="79"/>
      <c r="G85" s="79"/>
      <c r="H85" s="79"/>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79"/>
      <c r="AS85" s="79"/>
      <c r="AT85" s="79"/>
      <c r="AU85" s="79"/>
      <c r="AV85" s="79"/>
      <c r="AW85" s="79"/>
      <c r="AX85" s="79"/>
      <c r="AY85" s="79"/>
      <c r="AZ85" s="79"/>
      <c r="BA85" s="79"/>
      <c r="BB85" s="79"/>
      <c r="BC85" s="79"/>
      <c r="BD85" s="79"/>
      <c r="BE85" s="79"/>
      <c r="BF85" s="79"/>
      <c r="BG85" s="79"/>
      <c r="BH85" s="79"/>
      <c r="BI85" s="41"/>
    </row>
    <row r="86" spans="1:61" ht="7.4" customHeight="1" x14ac:dyDescent="0.5">
      <c r="A86" s="42"/>
      <c r="BI86" s="41"/>
    </row>
    <row r="87" spans="1:61" ht="7.4" customHeight="1" x14ac:dyDescent="0.5">
      <c r="A87" s="42"/>
      <c r="BI87" s="41"/>
    </row>
    <row r="88" spans="1:61" ht="7.4" customHeight="1" x14ac:dyDescent="0.5">
      <c r="D88" s="79"/>
      <c r="E88" s="79"/>
      <c r="F88" s="79"/>
      <c r="G88" s="79"/>
      <c r="H88" s="79"/>
      <c r="I88" s="79"/>
      <c r="J88" s="79"/>
      <c r="K88" s="79"/>
      <c r="L88" s="79"/>
      <c r="M88" s="79"/>
      <c r="N88" s="79"/>
      <c r="O88" s="79"/>
      <c r="P88" s="79"/>
      <c r="Q88" s="79"/>
      <c r="R88" s="79"/>
      <c r="S88" s="79"/>
      <c r="T88" s="79"/>
      <c r="U88" s="79"/>
      <c r="V88" s="79"/>
      <c r="W88" s="79"/>
      <c r="X88" s="79"/>
      <c r="Y88" s="79"/>
      <c r="Z88" s="79"/>
      <c r="AA88" s="79"/>
      <c r="AB88" s="79"/>
      <c r="AC88" s="79"/>
      <c r="AD88" s="79"/>
      <c r="AE88" s="79"/>
      <c r="AF88" s="79"/>
      <c r="AG88" s="79"/>
      <c r="AH88" s="79"/>
      <c r="AI88" s="79"/>
      <c r="AJ88" s="79"/>
      <c r="AK88" s="79"/>
      <c r="AL88" s="79"/>
      <c r="AM88" s="79"/>
      <c r="AN88" s="79"/>
      <c r="AO88" s="79"/>
      <c r="AP88" s="79"/>
      <c r="AQ88" s="79"/>
      <c r="AR88" s="79"/>
      <c r="AS88" s="79"/>
      <c r="AT88" s="79"/>
      <c r="AU88" s="79"/>
      <c r="AV88" s="79"/>
      <c r="AW88" s="79"/>
      <c r="AX88" s="79"/>
      <c r="AY88" s="79"/>
      <c r="AZ88" s="79"/>
      <c r="BA88" s="79"/>
      <c r="BB88" s="79"/>
      <c r="BC88" s="79"/>
      <c r="BD88" s="79"/>
      <c r="BE88" s="79"/>
      <c r="BF88" s="79"/>
      <c r="BG88" s="79"/>
      <c r="BH88" s="79"/>
    </row>
    <row r="89" spans="1:61" ht="7.4" customHeight="1" x14ac:dyDescent="0.5">
      <c r="D89" s="79"/>
      <c r="E89" s="79"/>
      <c r="F89" s="79"/>
      <c r="G89" s="79"/>
      <c r="H89" s="79"/>
      <c r="I89" s="79"/>
      <c r="J89" s="79"/>
      <c r="K89" s="79"/>
      <c r="L89" s="79"/>
      <c r="M89" s="79"/>
      <c r="N89" s="79"/>
      <c r="O89" s="79"/>
      <c r="P89" s="79"/>
      <c r="Q89" s="79"/>
      <c r="R89" s="79"/>
      <c r="S89" s="79"/>
      <c r="T89" s="79"/>
      <c r="U89" s="79"/>
      <c r="V89" s="79"/>
      <c r="W89" s="79"/>
      <c r="X89" s="79"/>
      <c r="Y89" s="79"/>
      <c r="Z89" s="79"/>
      <c r="AA89" s="79"/>
      <c r="AB89" s="79"/>
      <c r="AC89" s="79"/>
      <c r="AD89" s="79"/>
      <c r="AE89" s="79"/>
      <c r="AF89" s="79"/>
      <c r="AG89" s="79"/>
      <c r="AH89" s="79"/>
      <c r="AI89" s="79"/>
      <c r="AJ89" s="79"/>
      <c r="AK89" s="79"/>
      <c r="AL89" s="79"/>
      <c r="AM89" s="79"/>
      <c r="AN89" s="79"/>
      <c r="AO89" s="79"/>
      <c r="AP89" s="79"/>
      <c r="AQ89" s="79"/>
      <c r="AR89" s="79"/>
      <c r="AS89" s="79"/>
      <c r="AT89" s="79"/>
      <c r="AU89" s="79"/>
      <c r="AV89" s="79"/>
      <c r="AW89" s="79"/>
      <c r="AX89" s="79"/>
      <c r="AY89" s="79"/>
      <c r="AZ89" s="79"/>
      <c r="BA89" s="79"/>
      <c r="BB89" s="79"/>
      <c r="BC89" s="79"/>
      <c r="BD89" s="79"/>
      <c r="BE89" s="79"/>
      <c r="BF89" s="79"/>
      <c r="BG89" s="79"/>
      <c r="BH89" s="79"/>
    </row>
    <row r="90" spans="1:61" ht="7.4" customHeight="1" x14ac:dyDescent="0.5">
      <c r="D90" s="79"/>
      <c r="E90" s="79"/>
      <c r="F90" s="79"/>
      <c r="G90" s="79"/>
      <c r="H90" s="79"/>
      <c r="I90" s="79"/>
      <c r="J90" s="79"/>
      <c r="K90" s="79"/>
      <c r="L90" s="79"/>
      <c r="M90" s="79"/>
      <c r="N90" s="79"/>
      <c r="O90" s="79"/>
      <c r="P90" s="79"/>
      <c r="Q90" s="79"/>
      <c r="R90" s="79"/>
      <c r="S90" s="79"/>
      <c r="T90" s="79"/>
      <c r="U90" s="79"/>
      <c r="V90" s="79"/>
      <c r="W90" s="79"/>
      <c r="X90" s="79"/>
      <c r="Y90" s="79"/>
      <c r="Z90" s="79"/>
      <c r="AA90" s="79"/>
      <c r="AB90" s="79"/>
      <c r="AC90" s="79"/>
      <c r="AD90" s="79"/>
      <c r="AE90" s="79"/>
      <c r="AF90" s="79"/>
      <c r="AG90" s="79"/>
      <c r="AH90" s="79"/>
      <c r="AI90" s="79"/>
      <c r="AJ90" s="79"/>
      <c r="AK90" s="79"/>
      <c r="AL90" s="79"/>
      <c r="AM90" s="79"/>
      <c r="AN90" s="79"/>
      <c r="AO90" s="79"/>
      <c r="AP90" s="79"/>
      <c r="AQ90" s="79"/>
      <c r="AR90" s="79"/>
      <c r="AS90" s="79"/>
      <c r="AT90" s="79"/>
      <c r="AU90" s="79"/>
      <c r="AV90" s="79"/>
      <c r="AW90" s="79"/>
      <c r="AX90" s="79"/>
      <c r="AY90" s="79"/>
      <c r="AZ90" s="79"/>
      <c r="BA90" s="79"/>
      <c r="BB90" s="79"/>
      <c r="BC90" s="79"/>
      <c r="BD90" s="79"/>
      <c r="BE90" s="79"/>
      <c r="BF90" s="79"/>
      <c r="BG90" s="79"/>
      <c r="BH90" s="79"/>
    </row>
    <row r="91" spans="1:61" ht="7.4" customHeight="1" x14ac:dyDescent="0.5">
      <c r="D91" s="79"/>
      <c r="E91" s="79"/>
      <c r="F91" s="79"/>
      <c r="G91" s="79"/>
      <c r="H91" s="79"/>
      <c r="I91" s="79"/>
      <c r="J91" s="79"/>
      <c r="K91" s="79"/>
      <c r="L91" s="79"/>
      <c r="M91" s="79"/>
      <c r="N91" s="79"/>
      <c r="O91" s="79"/>
      <c r="P91" s="79"/>
      <c r="Q91" s="79"/>
      <c r="R91" s="79"/>
      <c r="S91" s="79"/>
      <c r="T91" s="79"/>
      <c r="U91" s="79"/>
      <c r="V91" s="79"/>
      <c r="W91" s="79"/>
      <c r="X91" s="79"/>
      <c r="Y91" s="79"/>
      <c r="Z91" s="79"/>
      <c r="AA91" s="79"/>
      <c r="AB91" s="79"/>
      <c r="AC91" s="79"/>
      <c r="AD91" s="79"/>
      <c r="AE91" s="79"/>
      <c r="AF91" s="79"/>
      <c r="AG91" s="79"/>
      <c r="AH91" s="79"/>
      <c r="AI91" s="79"/>
      <c r="AJ91" s="79"/>
      <c r="AK91" s="79"/>
      <c r="AL91" s="79"/>
      <c r="AM91" s="79"/>
      <c r="AN91" s="79"/>
      <c r="AO91" s="79"/>
      <c r="AP91" s="79"/>
      <c r="AQ91" s="79"/>
      <c r="AR91" s="79"/>
      <c r="AS91" s="79"/>
      <c r="AT91" s="79"/>
      <c r="AU91" s="79"/>
      <c r="AV91" s="79"/>
      <c r="AW91" s="79"/>
      <c r="AX91" s="79"/>
      <c r="AY91" s="79"/>
      <c r="AZ91" s="79"/>
      <c r="BA91" s="79"/>
      <c r="BB91" s="79"/>
      <c r="BC91" s="79"/>
      <c r="BD91" s="79"/>
      <c r="BE91" s="79"/>
      <c r="BF91" s="79"/>
      <c r="BG91" s="79"/>
      <c r="BH91" s="79"/>
    </row>
    <row r="92" spans="1:61" ht="7.4" customHeight="1" x14ac:dyDescent="0.5">
      <c r="D92" s="79"/>
      <c r="E92" s="79"/>
      <c r="F92" s="79"/>
      <c r="G92" s="79"/>
      <c r="H92" s="79"/>
      <c r="I92" s="79"/>
      <c r="J92" s="79"/>
      <c r="K92" s="79"/>
      <c r="L92" s="79"/>
      <c r="M92" s="79"/>
      <c r="N92" s="79"/>
      <c r="O92" s="79"/>
      <c r="P92" s="79"/>
      <c r="Q92" s="79"/>
      <c r="R92" s="79"/>
      <c r="S92" s="79"/>
      <c r="T92" s="79"/>
      <c r="U92" s="79"/>
      <c r="V92" s="79"/>
      <c r="W92" s="79"/>
      <c r="X92" s="79"/>
      <c r="Y92" s="79"/>
      <c r="Z92" s="79"/>
      <c r="AA92" s="79"/>
      <c r="AB92" s="79"/>
      <c r="AC92" s="79"/>
      <c r="AD92" s="79"/>
      <c r="AE92" s="79"/>
      <c r="AF92" s="79"/>
      <c r="AG92" s="79"/>
      <c r="AH92" s="79"/>
      <c r="AI92" s="79"/>
      <c r="AJ92" s="79"/>
      <c r="AK92" s="79"/>
      <c r="AL92" s="79"/>
      <c r="AM92" s="79"/>
      <c r="AN92" s="79"/>
      <c r="AO92" s="79"/>
      <c r="AP92" s="79"/>
      <c r="AQ92" s="79"/>
      <c r="AR92" s="79"/>
      <c r="AS92" s="79"/>
      <c r="AT92" s="79"/>
      <c r="AU92" s="79"/>
      <c r="AV92" s="79"/>
      <c r="AW92" s="79"/>
      <c r="AX92" s="79"/>
      <c r="AY92" s="79"/>
      <c r="AZ92" s="79"/>
      <c r="BA92" s="79"/>
      <c r="BB92" s="79"/>
      <c r="BC92" s="79"/>
      <c r="BD92" s="79"/>
      <c r="BE92" s="79"/>
      <c r="BF92" s="79"/>
      <c r="BG92" s="79"/>
      <c r="BH92" s="79"/>
    </row>
    <row r="93" spans="1:61" ht="7.4" customHeight="1" x14ac:dyDescent="0.5">
      <c r="D93" s="79"/>
      <c r="E93" s="79"/>
      <c r="F93" s="79"/>
      <c r="G93" s="79"/>
      <c r="H93" s="79"/>
      <c r="I93" s="79"/>
      <c r="J93" s="79"/>
      <c r="K93" s="79"/>
      <c r="L93" s="79"/>
      <c r="M93" s="79"/>
      <c r="N93" s="79"/>
      <c r="O93" s="79"/>
      <c r="P93" s="79"/>
      <c r="Q93" s="79"/>
      <c r="R93" s="79"/>
      <c r="S93" s="79"/>
      <c r="T93" s="79"/>
      <c r="U93" s="79"/>
      <c r="V93" s="79"/>
      <c r="W93" s="79"/>
      <c r="X93" s="79"/>
      <c r="Y93" s="79"/>
      <c r="Z93" s="79"/>
      <c r="AA93" s="79"/>
      <c r="AB93" s="79"/>
      <c r="AC93" s="79"/>
      <c r="AD93" s="79"/>
      <c r="AE93" s="79"/>
      <c r="AF93" s="79"/>
      <c r="AG93" s="79"/>
      <c r="AH93" s="79"/>
      <c r="AI93" s="79"/>
      <c r="AJ93" s="79"/>
      <c r="AK93" s="79"/>
      <c r="AL93" s="79"/>
      <c r="AM93" s="79"/>
      <c r="AN93" s="79"/>
      <c r="AO93" s="79"/>
      <c r="AP93" s="79"/>
      <c r="AQ93" s="79"/>
      <c r="AR93" s="79"/>
      <c r="AS93" s="79"/>
      <c r="AT93" s="79"/>
      <c r="AU93" s="79"/>
      <c r="AV93" s="79"/>
      <c r="AW93" s="79"/>
      <c r="AX93" s="79"/>
      <c r="AY93" s="79"/>
      <c r="AZ93" s="79"/>
      <c r="BA93" s="79"/>
      <c r="BB93" s="79"/>
      <c r="BC93" s="79"/>
      <c r="BD93" s="79"/>
      <c r="BE93" s="79"/>
      <c r="BF93" s="79"/>
      <c r="BG93" s="79"/>
      <c r="BH93" s="79"/>
    </row>
    <row r="94" spans="1:61" ht="7.4" customHeight="1" x14ac:dyDescent="0.5">
      <c r="D94" s="79"/>
      <c r="E94" s="79"/>
      <c r="F94" s="79"/>
      <c r="G94" s="79"/>
      <c r="H94" s="79"/>
      <c r="I94" s="79"/>
      <c r="J94" s="79"/>
      <c r="K94" s="79"/>
      <c r="L94" s="79"/>
      <c r="M94" s="79"/>
      <c r="N94" s="79"/>
      <c r="O94" s="79"/>
      <c r="P94" s="79"/>
      <c r="Q94" s="79"/>
      <c r="R94" s="79"/>
      <c r="S94" s="79"/>
      <c r="T94" s="79"/>
      <c r="U94" s="79"/>
      <c r="V94" s="79"/>
      <c r="W94" s="79"/>
      <c r="X94" s="79"/>
      <c r="Y94" s="79"/>
      <c r="Z94" s="79"/>
      <c r="AA94" s="79"/>
      <c r="AB94" s="79"/>
      <c r="AC94" s="79"/>
      <c r="AD94" s="79"/>
      <c r="AE94" s="79"/>
      <c r="AF94" s="79"/>
      <c r="AG94" s="79"/>
      <c r="AH94" s="79"/>
      <c r="AI94" s="79"/>
      <c r="AJ94" s="79"/>
      <c r="AK94" s="79"/>
      <c r="AL94" s="79"/>
      <c r="AM94" s="79"/>
      <c r="AN94" s="79"/>
      <c r="AO94" s="79"/>
      <c r="AP94" s="79"/>
      <c r="AQ94" s="79"/>
      <c r="AR94" s="79"/>
      <c r="AS94" s="79"/>
      <c r="AT94" s="79"/>
      <c r="AU94" s="79"/>
      <c r="AV94" s="79"/>
      <c r="AW94" s="79"/>
      <c r="AX94" s="79"/>
      <c r="AY94" s="79"/>
      <c r="AZ94" s="79"/>
      <c r="BA94" s="79"/>
      <c r="BB94" s="79"/>
      <c r="BC94" s="79"/>
      <c r="BD94" s="79"/>
      <c r="BE94" s="79"/>
      <c r="BF94" s="79"/>
      <c r="BG94" s="79"/>
      <c r="BH94" s="79"/>
    </row>
    <row r="95" spans="1:61" ht="7.4" customHeight="1" x14ac:dyDescent="0.5">
      <c r="D95" s="79"/>
      <c r="E95" s="79"/>
      <c r="F95" s="79"/>
      <c r="G95" s="79"/>
      <c r="H95" s="79"/>
      <c r="I95" s="79"/>
      <c r="J95" s="79"/>
      <c r="K95" s="79"/>
      <c r="L95" s="79"/>
      <c r="M95" s="79"/>
      <c r="N95" s="79"/>
      <c r="O95" s="79"/>
      <c r="P95" s="79"/>
      <c r="Q95" s="79"/>
      <c r="R95" s="79"/>
      <c r="S95" s="79"/>
      <c r="T95" s="79"/>
      <c r="U95" s="79"/>
      <c r="V95" s="79"/>
      <c r="W95" s="79"/>
      <c r="X95" s="79"/>
      <c r="Y95" s="79"/>
      <c r="Z95" s="79"/>
      <c r="AA95" s="79"/>
      <c r="AB95" s="79"/>
      <c r="AC95" s="79"/>
      <c r="AD95" s="79"/>
      <c r="AE95" s="79"/>
      <c r="AF95" s="79"/>
      <c r="AG95" s="79"/>
      <c r="AH95" s="79"/>
      <c r="AI95" s="79"/>
      <c r="AJ95" s="79"/>
      <c r="AK95" s="79"/>
      <c r="AL95" s="79"/>
      <c r="AM95" s="79"/>
      <c r="AN95" s="79"/>
      <c r="AO95" s="79"/>
      <c r="AP95" s="79"/>
      <c r="AQ95" s="79"/>
      <c r="AR95" s="79"/>
      <c r="AS95" s="79"/>
      <c r="AT95" s="79"/>
      <c r="AU95" s="79"/>
      <c r="AV95" s="79"/>
      <c r="AW95" s="79"/>
      <c r="AX95" s="79"/>
      <c r="AY95" s="79"/>
      <c r="AZ95" s="79"/>
      <c r="BA95" s="79"/>
      <c r="BB95" s="79"/>
      <c r="BC95" s="79"/>
      <c r="BD95" s="79"/>
      <c r="BE95" s="79"/>
      <c r="BF95" s="79"/>
      <c r="BG95" s="79"/>
      <c r="BH95" s="79"/>
    </row>
    <row r="96" spans="1:61" ht="7.4" customHeight="1" x14ac:dyDescent="0.5">
      <c r="D96" s="79"/>
      <c r="E96" s="79"/>
      <c r="F96" s="79"/>
      <c r="G96" s="79"/>
      <c r="H96" s="79"/>
      <c r="I96" s="79"/>
      <c r="J96" s="79"/>
      <c r="K96" s="79"/>
      <c r="L96" s="79"/>
      <c r="M96" s="79"/>
      <c r="N96" s="79"/>
      <c r="O96" s="79"/>
      <c r="P96" s="79"/>
      <c r="Q96" s="79"/>
      <c r="R96" s="79"/>
      <c r="S96" s="79"/>
      <c r="T96" s="79"/>
      <c r="U96" s="79"/>
      <c r="V96" s="79"/>
      <c r="W96" s="79"/>
      <c r="X96" s="79"/>
      <c r="Y96" s="79"/>
      <c r="Z96" s="79"/>
      <c r="AA96" s="79"/>
      <c r="AB96" s="79"/>
      <c r="AC96" s="79"/>
      <c r="AD96" s="79"/>
      <c r="AE96" s="79"/>
      <c r="AF96" s="79"/>
      <c r="AG96" s="79"/>
      <c r="AH96" s="79"/>
      <c r="AI96" s="79"/>
      <c r="AJ96" s="79"/>
      <c r="AK96" s="79"/>
      <c r="AL96" s="79"/>
      <c r="AM96" s="79"/>
      <c r="AN96" s="79"/>
      <c r="AO96" s="79"/>
      <c r="AP96" s="79"/>
      <c r="AQ96" s="79"/>
      <c r="AR96" s="79"/>
      <c r="AS96" s="79"/>
      <c r="AT96" s="79"/>
      <c r="AU96" s="79"/>
      <c r="AV96" s="79"/>
      <c r="AW96" s="79"/>
      <c r="AX96" s="79"/>
      <c r="AY96" s="79"/>
      <c r="AZ96" s="79"/>
      <c r="BA96" s="79"/>
      <c r="BB96" s="79"/>
      <c r="BC96" s="79"/>
      <c r="BD96" s="79"/>
      <c r="BE96" s="79"/>
      <c r="BF96" s="79"/>
      <c r="BG96" s="79"/>
      <c r="BH96" s="79"/>
    </row>
    <row r="97" spans="1:98" ht="7.4" customHeight="1" x14ac:dyDescent="0.5">
      <c r="D97" s="79"/>
      <c r="E97" s="79"/>
      <c r="F97" s="79"/>
      <c r="G97" s="79"/>
      <c r="H97" s="79"/>
      <c r="I97" s="79"/>
      <c r="J97" s="79"/>
      <c r="K97" s="79"/>
      <c r="L97" s="79"/>
      <c r="M97" s="79"/>
      <c r="N97" s="79"/>
      <c r="O97" s="79"/>
      <c r="P97" s="79"/>
      <c r="Q97" s="79"/>
      <c r="R97" s="79"/>
      <c r="S97" s="79"/>
      <c r="T97" s="79"/>
      <c r="U97" s="79"/>
      <c r="V97" s="79"/>
      <c r="W97" s="79"/>
      <c r="X97" s="79"/>
      <c r="Y97" s="79"/>
      <c r="Z97" s="79"/>
      <c r="AA97" s="79"/>
      <c r="AB97" s="79"/>
      <c r="AC97" s="79"/>
      <c r="AD97" s="79"/>
      <c r="AE97" s="79"/>
      <c r="AF97" s="79"/>
      <c r="AG97" s="79"/>
      <c r="AH97" s="79"/>
      <c r="AI97" s="79"/>
      <c r="AJ97" s="79"/>
      <c r="AK97" s="79"/>
      <c r="AL97" s="79"/>
      <c r="AM97" s="79"/>
      <c r="AN97" s="79"/>
      <c r="AO97" s="79"/>
      <c r="AP97" s="79"/>
      <c r="AQ97" s="79"/>
      <c r="AR97" s="79"/>
      <c r="AS97" s="79"/>
      <c r="AT97" s="79"/>
      <c r="AU97" s="79"/>
      <c r="AV97" s="79"/>
      <c r="AW97" s="79"/>
      <c r="AX97" s="79"/>
      <c r="AY97" s="79"/>
      <c r="AZ97" s="79"/>
      <c r="BA97" s="79"/>
      <c r="BB97" s="79"/>
      <c r="BC97" s="79"/>
      <c r="BD97" s="79"/>
      <c r="BE97" s="79"/>
      <c r="BF97" s="79"/>
      <c r="BG97" s="79"/>
      <c r="BH97" s="79"/>
      <c r="BK97" s="108"/>
      <c r="BL97" s="108"/>
      <c r="BM97" s="108"/>
      <c r="BN97" s="108"/>
      <c r="BO97" s="108"/>
      <c r="BP97" s="108"/>
      <c r="BQ97" s="108"/>
      <c r="BR97" s="108"/>
      <c r="BS97" s="108"/>
      <c r="BT97" s="108"/>
    </row>
    <row r="98" spans="1:98" ht="7.4" customHeight="1" x14ac:dyDescent="0.5">
      <c r="D98" s="79"/>
      <c r="E98" s="79"/>
      <c r="F98" s="79"/>
      <c r="G98" s="79"/>
      <c r="H98" s="79"/>
      <c r="I98" s="79"/>
      <c r="J98" s="79"/>
      <c r="K98" s="79"/>
      <c r="L98" s="79"/>
      <c r="M98" s="79"/>
      <c r="N98" s="79"/>
      <c r="O98" s="79"/>
      <c r="P98" s="79"/>
      <c r="Q98" s="79"/>
      <c r="R98" s="79"/>
      <c r="S98" s="79"/>
      <c r="T98" s="79"/>
      <c r="U98" s="79"/>
      <c r="V98" s="79"/>
      <c r="W98" s="79"/>
      <c r="X98" s="79"/>
      <c r="Y98" s="79"/>
      <c r="Z98" s="79"/>
      <c r="AA98" s="79"/>
      <c r="AB98" s="79"/>
      <c r="AC98" s="79"/>
      <c r="AD98" s="79"/>
      <c r="AE98" s="79"/>
      <c r="AF98" s="79"/>
      <c r="AG98" s="79"/>
      <c r="AH98" s="79"/>
      <c r="AI98" s="79"/>
      <c r="AJ98" s="79"/>
      <c r="AK98" s="79"/>
      <c r="AL98" s="79"/>
      <c r="AM98" s="79"/>
      <c r="AN98" s="79"/>
      <c r="AO98" s="79"/>
      <c r="AP98" s="79"/>
      <c r="AQ98" s="79"/>
      <c r="AR98" s="79"/>
      <c r="AS98" s="79"/>
      <c r="AT98" s="79"/>
      <c r="AU98" s="79"/>
      <c r="AV98" s="79"/>
      <c r="AW98" s="79"/>
      <c r="AX98" s="79"/>
      <c r="AY98" s="79"/>
      <c r="AZ98" s="79"/>
      <c r="BA98" s="79"/>
      <c r="BB98" s="79"/>
      <c r="BC98" s="79"/>
      <c r="BD98" s="79"/>
      <c r="BE98" s="79"/>
      <c r="BF98" s="79"/>
      <c r="BG98" s="79"/>
      <c r="BH98" s="79"/>
      <c r="BK98" s="108"/>
      <c r="BL98" s="108"/>
      <c r="BM98" s="108"/>
      <c r="BN98" s="108"/>
      <c r="BO98" s="108"/>
      <c r="BP98" s="108"/>
      <c r="BQ98" s="108"/>
      <c r="BR98" s="108"/>
      <c r="BS98" s="108"/>
      <c r="BT98" s="108"/>
    </row>
    <row r="99" spans="1:98" ht="7.4" customHeight="1" x14ac:dyDescent="0.5">
      <c r="D99" s="79"/>
      <c r="E99" s="79"/>
      <c r="F99" s="79"/>
      <c r="G99" s="79"/>
      <c r="H99" s="79"/>
      <c r="I99" s="79"/>
      <c r="J99" s="79"/>
      <c r="K99" s="79"/>
      <c r="L99" s="79"/>
      <c r="M99" s="79"/>
      <c r="N99" s="79"/>
      <c r="O99" s="79"/>
      <c r="P99" s="79"/>
      <c r="Q99" s="79"/>
      <c r="R99" s="79"/>
      <c r="S99" s="79"/>
      <c r="T99" s="79"/>
      <c r="U99" s="79"/>
      <c r="V99" s="79"/>
      <c r="W99" s="79"/>
      <c r="X99" s="79"/>
      <c r="Y99" s="79"/>
      <c r="Z99" s="79"/>
      <c r="AA99" s="79"/>
      <c r="AB99" s="79"/>
      <c r="AC99" s="79"/>
      <c r="AD99" s="79"/>
      <c r="AE99" s="79"/>
      <c r="AF99" s="79"/>
      <c r="AG99" s="79"/>
      <c r="AH99" s="79"/>
      <c r="AI99" s="79"/>
      <c r="AJ99" s="79"/>
      <c r="AK99" s="79"/>
      <c r="AL99" s="79"/>
      <c r="AM99" s="79"/>
      <c r="AN99" s="79"/>
      <c r="AO99" s="79"/>
      <c r="AP99" s="79"/>
      <c r="AQ99" s="79"/>
      <c r="AR99" s="79"/>
      <c r="AS99" s="79"/>
      <c r="AT99" s="79"/>
      <c r="AU99" s="79"/>
      <c r="AV99" s="79"/>
      <c r="AW99" s="79"/>
      <c r="AX99" s="79"/>
      <c r="AY99" s="79"/>
      <c r="AZ99" s="79"/>
      <c r="BA99" s="79"/>
      <c r="BB99" s="79"/>
      <c r="BC99" s="79"/>
      <c r="BD99" s="79"/>
      <c r="BE99" s="79"/>
      <c r="BF99" s="79"/>
      <c r="BG99" s="79"/>
      <c r="BH99" s="79"/>
      <c r="BK99" s="108"/>
      <c r="BL99" s="108"/>
      <c r="BM99" s="108"/>
      <c r="BN99" s="108"/>
      <c r="BO99" s="108"/>
      <c r="BP99" s="108"/>
      <c r="BQ99" s="108"/>
      <c r="BR99" s="108"/>
      <c r="BS99" s="108"/>
      <c r="BT99" s="108"/>
    </row>
    <row r="100" spans="1:98" ht="7.4" customHeight="1" x14ac:dyDescent="0.5">
      <c r="D100" s="79"/>
      <c r="E100" s="79"/>
      <c r="F100" s="79"/>
      <c r="G100" s="79"/>
      <c r="H100" s="79"/>
      <c r="I100" s="79"/>
      <c r="J100" s="79"/>
      <c r="K100" s="79"/>
      <c r="L100" s="79"/>
      <c r="M100" s="79"/>
      <c r="N100" s="79"/>
      <c r="O100" s="79"/>
      <c r="P100" s="79"/>
      <c r="Q100" s="79"/>
      <c r="R100" s="79"/>
      <c r="S100" s="79"/>
      <c r="T100" s="79"/>
      <c r="U100" s="79"/>
      <c r="V100" s="79"/>
      <c r="W100" s="79"/>
      <c r="X100" s="79"/>
      <c r="Y100" s="79"/>
      <c r="Z100" s="79"/>
      <c r="AA100" s="79"/>
      <c r="AB100" s="79"/>
      <c r="AC100" s="79"/>
      <c r="AD100" s="79"/>
      <c r="AE100" s="79"/>
      <c r="AF100" s="79"/>
      <c r="AG100" s="79"/>
      <c r="AH100" s="79"/>
      <c r="AI100" s="79"/>
      <c r="AJ100" s="79"/>
      <c r="AK100" s="79"/>
      <c r="AL100" s="79"/>
      <c r="AM100" s="79"/>
      <c r="AN100" s="79"/>
      <c r="AO100" s="79"/>
      <c r="AP100" s="79"/>
      <c r="AQ100" s="79"/>
      <c r="AR100" s="79"/>
      <c r="AS100" s="79"/>
      <c r="AT100" s="79"/>
      <c r="AU100" s="79"/>
      <c r="AV100" s="79"/>
      <c r="AW100" s="79"/>
      <c r="AX100" s="79"/>
      <c r="AY100" s="79"/>
      <c r="AZ100" s="79"/>
      <c r="BA100" s="79"/>
      <c r="BB100" s="79"/>
      <c r="BC100" s="79"/>
      <c r="BD100" s="79"/>
      <c r="BE100" s="79"/>
      <c r="BF100" s="79"/>
      <c r="BG100" s="79"/>
      <c r="BH100" s="79"/>
      <c r="BK100" s="108"/>
      <c r="BL100" s="108"/>
      <c r="BM100" s="108"/>
      <c r="BN100" s="108"/>
      <c r="BO100" s="108"/>
      <c r="BP100" s="108"/>
      <c r="BQ100" s="108"/>
      <c r="BR100" s="108"/>
      <c r="BS100" s="108"/>
      <c r="BT100" s="108"/>
    </row>
    <row r="101" spans="1:98" ht="7.4" customHeight="1" x14ac:dyDescent="0.5">
      <c r="D101" s="79"/>
      <c r="E101" s="79"/>
      <c r="F101" s="79"/>
      <c r="G101" s="79"/>
      <c r="H101" s="79"/>
      <c r="I101" s="79"/>
      <c r="J101" s="79"/>
      <c r="K101" s="79"/>
      <c r="L101" s="79"/>
      <c r="M101" s="79"/>
      <c r="N101" s="79"/>
      <c r="O101" s="79"/>
      <c r="P101" s="79"/>
      <c r="Q101" s="79"/>
      <c r="R101" s="79"/>
      <c r="S101" s="79"/>
      <c r="T101" s="79"/>
      <c r="U101" s="79"/>
      <c r="V101" s="79"/>
      <c r="W101" s="79"/>
      <c r="X101" s="79"/>
      <c r="Y101" s="79"/>
      <c r="Z101" s="79"/>
      <c r="AA101" s="79"/>
      <c r="AB101" s="79"/>
      <c r="AC101" s="79"/>
      <c r="AD101" s="79"/>
      <c r="AE101" s="79"/>
      <c r="AF101" s="79"/>
      <c r="AG101" s="79"/>
      <c r="AH101" s="79"/>
      <c r="AI101" s="79"/>
      <c r="AJ101" s="79"/>
      <c r="AK101" s="79"/>
      <c r="AL101" s="79"/>
      <c r="AM101" s="79"/>
      <c r="AN101" s="79"/>
      <c r="AO101" s="79"/>
      <c r="AP101" s="79"/>
      <c r="AQ101" s="79"/>
      <c r="AR101" s="79"/>
      <c r="AS101" s="79"/>
      <c r="AT101" s="79"/>
      <c r="AU101" s="79"/>
      <c r="AV101" s="79"/>
      <c r="AW101" s="79"/>
      <c r="AX101" s="79"/>
      <c r="AY101" s="79"/>
      <c r="AZ101" s="79"/>
      <c r="BA101" s="79"/>
      <c r="BB101" s="79"/>
      <c r="BC101" s="79"/>
      <c r="BD101" s="79"/>
      <c r="BE101" s="79"/>
      <c r="BF101" s="79"/>
      <c r="BG101" s="79"/>
      <c r="BH101" s="79"/>
      <c r="BK101" s="108"/>
      <c r="BL101" s="108"/>
      <c r="BM101" s="108"/>
      <c r="BN101" s="108"/>
      <c r="BO101" s="108"/>
      <c r="BP101" s="108"/>
      <c r="BQ101" s="108"/>
      <c r="BR101" s="108"/>
      <c r="BS101" s="108"/>
      <c r="BT101" s="108"/>
    </row>
    <row r="102" spans="1:98" ht="7.4" customHeight="1" x14ac:dyDescent="0.5">
      <c r="D102" s="79"/>
      <c r="E102" s="79"/>
      <c r="F102" s="79"/>
      <c r="G102" s="79"/>
      <c r="H102" s="79"/>
      <c r="I102" s="79"/>
      <c r="J102" s="79"/>
      <c r="K102" s="79"/>
      <c r="L102" s="79"/>
      <c r="M102" s="79"/>
      <c r="N102" s="79"/>
      <c r="O102" s="79"/>
      <c r="P102" s="79"/>
      <c r="Q102" s="79"/>
      <c r="R102" s="79"/>
      <c r="S102" s="79"/>
      <c r="T102" s="79"/>
      <c r="U102" s="79"/>
      <c r="V102" s="79"/>
      <c r="W102" s="79"/>
      <c r="X102" s="79"/>
      <c r="Y102" s="79"/>
      <c r="Z102" s="79"/>
      <c r="AA102" s="79"/>
      <c r="AB102" s="79"/>
      <c r="AC102" s="79"/>
      <c r="AD102" s="79"/>
      <c r="AE102" s="79"/>
      <c r="AF102" s="79"/>
      <c r="AG102" s="79"/>
      <c r="AH102" s="79"/>
      <c r="AI102" s="79"/>
      <c r="AJ102" s="79"/>
      <c r="AK102" s="79"/>
      <c r="AL102" s="79"/>
      <c r="AM102" s="79"/>
      <c r="AN102" s="79"/>
      <c r="AO102" s="79"/>
      <c r="AP102" s="79"/>
      <c r="AQ102" s="79"/>
      <c r="AR102" s="79"/>
      <c r="AS102" s="79"/>
      <c r="AT102" s="79"/>
      <c r="AU102" s="79"/>
      <c r="AV102" s="79"/>
      <c r="AW102" s="79"/>
      <c r="AX102" s="79"/>
      <c r="AY102" s="79"/>
      <c r="AZ102" s="79"/>
      <c r="BA102" s="79"/>
      <c r="BB102" s="79"/>
      <c r="BC102" s="79"/>
      <c r="BD102" s="79"/>
      <c r="BE102" s="79"/>
      <c r="BF102" s="79"/>
      <c r="BG102" s="79"/>
      <c r="BH102" s="79"/>
      <c r="BK102" s="108"/>
      <c r="BL102" s="108"/>
      <c r="BM102" s="108"/>
      <c r="BN102" s="108"/>
      <c r="BO102" s="108"/>
      <c r="BP102" s="108"/>
      <c r="BQ102" s="108"/>
      <c r="BR102" s="108"/>
      <c r="BS102" s="108"/>
      <c r="BT102" s="108"/>
    </row>
    <row r="103" spans="1:98" ht="7.4" customHeight="1" x14ac:dyDescent="0.5">
      <c r="D103" s="79"/>
      <c r="E103" s="79"/>
      <c r="F103" s="79"/>
      <c r="G103" s="79"/>
      <c r="H103" s="79"/>
      <c r="I103" s="79"/>
      <c r="J103" s="79"/>
      <c r="K103" s="79"/>
      <c r="L103" s="79"/>
      <c r="M103" s="79"/>
      <c r="N103" s="79"/>
      <c r="O103" s="79"/>
      <c r="P103" s="79"/>
      <c r="Q103" s="79"/>
      <c r="R103" s="79"/>
      <c r="S103" s="79"/>
      <c r="T103" s="79"/>
      <c r="U103" s="79"/>
      <c r="V103" s="79"/>
      <c r="W103" s="79"/>
      <c r="X103" s="79"/>
      <c r="Y103" s="79"/>
      <c r="Z103" s="79"/>
      <c r="AA103" s="79"/>
      <c r="AB103" s="79"/>
      <c r="AC103" s="79"/>
      <c r="AD103" s="79"/>
      <c r="AE103" s="79"/>
      <c r="AF103" s="79"/>
      <c r="AG103" s="79"/>
      <c r="AH103" s="79"/>
      <c r="AI103" s="79"/>
      <c r="AJ103" s="79"/>
      <c r="AK103" s="79"/>
      <c r="AL103" s="79"/>
      <c r="AM103" s="79"/>
      <c r="AN103" s="79"/>
      <c r="AO103" s="79"/>
      <c r="AP103" s="79"/>
      <c r="AQ103" s="79"/>
      <c r="AR103" s="79"/>
      <c r="AS103" s="79"/>
      <c r="AT103" s="79"/>
      <c r="AU103" s="79"/>
      <c r="AV103" s="79"/>
      <c r="AW103" s="79"/>
      <c r="AX103" s="79"/>
      <c r="AY103" s="79"/>
      <c r="AZ103" s="79"/>
      <c r="BA103" s="79"/>
      <c r="BB103" s="79"/>
      <c r="BC103" s="79"/>
      <c r="BD103" s="79"/>
      <c r="BE103" s="79"/>
      <c r="BF103" s="79"/>
      <c r="BG103" s="79"/>
      <c r="BH103" s="79"/>
      <c r="BK103" s="108"/>
      <c r="BL103" s="108"/>
      <c r="BM103" s="108"/>
      <c r="BN103" s="108"/>
      <c r="BO103" s="108"/>
      <c r="BP103" s="108"/>
      <c r="BQ103" s="108"/>
      <c r="BR103" s="108"/>
      <c r="BS103" s="108"/>
      <c r="BT103" s="108"/>
    </row>
    <row r="104" spans="1:98" ht="7.4" customHeight="1" x14ac:dyDescent="0.5">
      <c r="D104" s="79"/>
      <c r="E104" s="79"/>
      <c r="F104" s="79"/>
      <c r="G104" s="79"/>
      <c r="H104" s="79"/>
      <c r="I104" s="79"/>
      <c r="J104" s="79"/>
      <c r="K104" s="79"/>
      <c r="L104" s="79"/>
      <c r="M104" s="79"/>
      <c r="N104" s="79"/>
      <c r="O104" s="79"/>
      <c r="P104" s="79"/>
      <c r="Q104" s="79"/>
      <c r="R104" s="79"/>
      <c r="S104" s="79"/>
      <c r="T104" s="79"/>
      <c r="U104" s="79"/>
      <c r="V104" s="79"/>
      <c r="W104" s="79"/>
      <c r="X104" s="79"/>
      <c r="Y104" s="79"/>
      <c r="Z104" s="79"/>
      <c r="AA104" s="79"/>
      <c r="AB104" s="79"/>
      <c r="AC104" s="79"/>
      <c r="AD104" s="79"/>
      <c r="AE104" s="79"/>
      <c r="AF104" s="79"/>
      <c r="AG104" s="79"/>
      <c r="AH104" s="79"/>
      <c r="AI104" s="79"/>
      <c r="AJ104" s="79"/>
      <c r="AK104" s="79"/>
      <c r="AL104" s="79"/>
      <c r="AM104" s="79"/>
      <c r="AN104" s="79"/>
      <c r="AO104" s="79"/>
      <c r="AP104" s="79"/>
      <c r="AQ104" s="79"/>
      <c r="AR104" s="79"/>
      <c r="AS104" s="79"/>
      <c r="AT104" s="79"/>
      <c r="AU104" s="79"/>
      <c r="AV104" s="79"/>
      <c r="AW104" s="79"/>
      <c r="AX104" s="79"/>
      <c r="AY104" s="79"/>
      <c r="AZ104" s="79"/>
      <c r="BA104" s="79"/>
      <c r="BB104" s="79"/>
      <c r="BC104" s="79"/>
      <c r="BD104" s="79"/>
      <c r="BE104" s="79"/>
      <c r="BF104" s="79"/>
      <c r="BG104" s="79"/>
      <c r="BH104" s="79"/>
      <c r="BK104" s="108"/>
      <c r="BL104" s="108"/>
      <c r="BM104" s="108"/>
      <c r="BN104" s="108"/>
      <c r="BO104" s="108"/>
      <c r="BP104" s="108"/>
      <c r="BQ104" s="108"/>
      <c r="BR104" s="108"/>
      <c r="BS104" s="108"/>
      <c r="BT104" s="108"/>
    </row>
    <row r="105" spans="1:98" ht="7.4" customHeight="1" x14ac:dyDescent="0.5">
      <c r="D105" s="79"/>
      <c r="E105" s="79"/>
      <c r="F105" s="79"/>
      <c r="G105" s="79"/>
      <c r="H105" s="79"/>
      <c r="I105" s="79"/>
      <c r="J105" s="79"/>
      <c r="K105" s="79"/>
      <c r="L105" s="79"/>
      <c r="M105" s="79"/>
      <c r="N105" s="79"/>
      <c r="O105" s="79"/>
      <c r="P105" s="79"/>
      <c r="Q105" s="79"/>
      <c r="R105" s="79"/>
      <c r="S105" s="79"/>
      <c r="T105" s="79"/>
      <c r="U105" s="79"/>
      <c r="V105" s="79"/>
      <c r="W105" s="79"/>
      <c r="X105" s="79"/>
      <c r="Y105" s="79"/>
      <c r="Z105" s="79"/>
      <c r="AA105" s="79"/>
      <c r="AB105" s="79"/>
      <c r="AC105" s="79"/>
      <c r="AD105" s="79"/>
      <c r="AE105" s="79"/>
      <c r="AF105" s="79"/>
      <c r="AG105" s="79"/>
      <c r="AH105" s="79"/>
      <c r="AI105" s="79"/>
      <c r="AJ105" s="79"/>
      <c r="AK105" s="79"/>
      <c r="AL105" s="79"/>
      <c r="AM105" s="79"/>
      <c r="AN105" s="79"/>
      <c r="AO105" s="79"/>
      <c r="AP105" s="79"/>
      <c r="AQ105" s="79"/>
      <c r="AR105" s="79"/>
      <c r="AS105" s="79"/>
      <c r="AT105" s="79"/>
      <c r="AU105" s="79"/>
      <c r="AV105" s="79"/>
      <c r="AW105" s="79"/>
      <c r="AX105" s="79"/>
      <c r="AY105" s="79"/>
      <c r="AZ105" s="79"/>
      <c r="BA105" s="79"/>
      <c r="BB105" s="79"/>
      <c r="BC105" s="79"/>
      <c r="BD105" s="79"/>
      <c r="BE105" s="79"/>
      <c r="BF105" s="79"/>
      <c r="BG105" s="79"/>
      <c r="BH105" s="79"/>
      <c r="BK105" s="108"/>
      <c r="BL105" s="108"/>
      <c r="BM105" s="108"/>
      <c r="BN105" s="108"/>
      <c r="BO105" s="108"/>
      <c r="BP105" s="108"/>
      <c r="BQ105" s="108"/>
      <c r="BR105" s="108"/>
      <c r="BS105" s="108"/>
      <c r="BT105" s="108"/>
      <c r="BX105" s="55"/>
      <c r="BY105" s="55"/>
      <c r="BZ105" s="55"/>
      <c r="CA105" s="55"/>
      <c r="CB105" s="55"/>
      <c r="CC105" s="55"/>
      <c r="CD105" s="55"/>
      <c r="CE105" s="55"/>
      <c r="CF105" s="55"/>
      <c r="CG105" s="55"/>
      <c r="CH105" s="55"/>
      <c r="CI105" s="55"/>
      <c r="CJ105" s="55"/>
      <c r="CK105" s="55"/>
      <c r="CL105" s="55"/>
      <c r="CM105" s="55"/>
      <c r="CN105" s="55"/>
      <c r="CO105" s="55"/>
    </row>
    <row r="106" spans="1:98" ht="7.4" customHeight="1" x14ac:dyDescent="0.5">
      <c r="D106" s="79"/>
      <c r="E106" s="79"/>
      <c r="F106" s="79"/>
      <c r="G106" s="79"/>
      <c r="H106" s="79"/>
      <c r="I106" s="79"/>
      <c r="J106" s="79"/>
      <c r="K106" s="79"/>
      <c r="L106" s="79"/>
      <c r="M106" s="79"/>
      <c r="N106" s="79"/>
      <c r="O106" s="79"/>
      <c r="P106" s="79"/>
      <c r="Q106" s="79"/>
      <c r="R106" s="79"/>
      <c r="S106" s="79"/>
      <c r="T106" s="79"/>
      <c r="U106" s="79"/>
      <c r="V106" s="79"/>
      <c r="W106" s="79"/>
      <c r="X106" s="79"/>
      <c r="Y106" s="79"/>
      <c r="Z106" s="79"/>
      <c r="AA106" s="79"/>
      <c r="AB106" s="79"/>
      <c r="AC106" s="79"/>
      <c r="AD106" s="79"/>
      <c r="AE106" s="79"/>
      <c r="AF106" s="79"/>
      <c r="AG106" s="79"/>
      <c r="AH106" s="79"/>
      <c r="AI106" s="79"/>
      <c r="AJ106" s="79"/>
      <c r="AK106" s="79"/>
      <c r="AL106" s="79"/>
      <c r="AM106" s="79"/>
      <c r="AN106" s="79"/>
      <c r="AO106" s="79"/>
      <c r="AP106" s="79"/>
      <c r="AQ106" s="79"/>
      <c r="AR106" s="79"/>
      <c r="AS106" s="79"/>
      <c r="AT106" s="79"/>
      <c r="AU106" s="79"/>
      <c r="AV106" s="79"/>
      <c r="AW106" s="79"/>
      <c r="AX106" s="79"/>
      <c r="AY106" s="79"/>
      <c r="AZ106" s="79"/>
      <c r="BA106" s="79"/>
      <c r="BB106" s="79"/>
      <c r="BC106" s="79"/>
      <c r="BD106" s="79"/>
      <c r="BE106" s="79"/>
      <c r="BF106" s="79"/>
      <c r="BG106" s="79"/>
      <c r="BH106" s="79"/>
      <c r="BK106" s="333"/>
      <c r="BL106" s="333"/>
      <c r="BM106" s="333"/>
      <c r="BN106" s="333"/>
      <c r="BO106" s="333"/>
      <c r="BP106" s="333"/>
      <c r="BQ106" s="298"/>
      <c r="BR106" s="298"/>
      <c r="BS106" s="298"/>
      <c r="BT106" s="298"/>
      <c r="BU106" s="298"/>
      <c r="BV106" s="298"/>
      <c r="BW106" s="298"/>
      <c r="CJ106" s="25"/>
      <c r="CK106" s="25"/>
      <c r="CL106" s="25"/>
      <c r="CM106" s="25"/>
      <c r="CN106" s="25"/>
      <c r="CO106" s="25"/>
    </row>
    <row r="107" spans="1:98" ht="7.4" customHeight="1" x14ac:dyDescent="0.5">
      <c r="BB107" s="184"/>
      <c r="BC107" s="184"/>
      <c r="BD107" s="184"/>
      <c r="BE107" s="184"/>
      <c r="BF107" s="184"/>
      <c r="BG107" s="184"/>
      <c r="BH107" s="184"/>
      <c r="BI107" s="184"/>
      <c r="BK107" s="339"/>
      <c r="BL107" s="339"/>
      <c r="BM107" s="339"/>
      <c r="BN107" s="339"/>
      <c r="BO107" s="339"/>
      <c r="BP107" s="339"/>
      <c r="BQ107" s="340"/>
      <c r="BR107" s="340"/>
      <c r="BS107" s="340"/>
      <c r="BT107" s="340"/>
      <c r="BU107" s="340"/>
      <c r="BV107" s="340"/>
      <c r="BW107" s="340"/>
      <c r="CJ107" s="108"/>
      <c r="CK107" s="108"/>
      <c r="CL107" s="108"/>
      <c r="CM107" s="108"/>
      <c r="CN107" s="108"/>
      <c r="CO107" s="108"/>
    </row>
    <row r="108" spans="1:98" ht="7.4" customHeight="1" x14ac:dyDescent="0.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BB108" s="184"/>
      <c r="BC108" s="184"/>
      <c r="BD108" s="184"/>
      <c r="BE108" s="184"/>
      <c r="BF108" s="184"/>
      <c r="BG108" s="184"/>
      <c r="BH108" s="184"/>
      <c r="BI108" s="184"/>
      <c r="BK108" s="339"/>
      <c r="BL108" s="339"/>
      <c r="BM108" s="339"/>
      <c r="BN108" s="339"/>
      <c r="BO108" s="339"/>
      <c r="BP108" s="339"/>
      <c r="BQ108" s="340"/>
      <c r="BR108" s="340"/>
      <c r="BS108" s="340"/>
      <c r="BT108" s="340"/>
      <c r="BU108" s="340"/>
      <c r="BV108" s="340"/>
      <c r="BW108" s="340"/>
      <c r="CJ108" s="108"/>
      <c r="CK108" s="108"/>
      <c r="CL108" s="108"/>
      <c r="CM108" s="108"/>
      <c r="CN108" s="108"/>
      <c r="CO108" s="108"/>
    </row>
    <row r="109" spans="1:98" ht="7.4" customHeight="1" x14ac:dyDescent="0.5">
      <c r="A109" s="38"/>
      <c r="B109" s="39"/>
      <c r="C109" s="39"/>
      <c r="D109" s="39"/>
      <c r="E109" s="39"/>
      <c r="F109" s="39"/>
      <c r="G109" s="39"/>
      <c r="H109" s="39"/>
      <c r="I109" s="39"/>
      <c r="J109" s="39"/>
      <c r="K109" s="39"/>
      <c r="L109" s="39"/>
      <c r="M109" s="39"/>
      <c r="N109" s="39"/>
      <c r="O109" s="39"/>
      <c r="P109" s="39"/>
      <c r="Q109" s="39"/>
      <c r="R109" s="39"/>
      <c r="S109" s="67"/>
      <c r="T109" s="68"/>
      <c r="U109" s="68"/>
      <c r="V109" s="68"/>
      <c r="W109" s="68"/>
      <c r="X109" s="68"/>
      <c r="Y109" s="68"/>
      <c r="Z109" s="68"/>
      <c r="AA109" s="68"/>
      <c r="AB109" s="68"/>
      <c r="AC109" s="68"/>
      <c r="AD109" s="68"/>
      <c r="AE109" s="68"/>
      <c r="AF109" s="68"/>
      <c r="AG109" s="68"/>
      <c r="AH109" s="68"/>
      <c r="AI109" s="68"/>
      <c r="AJ109" s="68"/>
      <c r="AK109" s="68"/>
      <c r="AL109" s="68"/>
      <c r="AM109" s="68"/>
      <c r="AN109" s="68"/>
      <c r="AO109" s="68"/>
      <c r="AP109" s="68"/>
      <c r="AQ109" s="69"/>
      <c r="AR109" s="39"/>
      <c r="AS109" s="39"/>
      <c r="AT109" s="39"/>
      <c r="AU109" s="39"/>
      <c r="AV109" s="39"/>
      <c r="AW109" s="39"/>
      <c r="AX109" s="39"/>
      <c r="AY109" s="39"/>
      <c r="AZ109" s="39"/>
      <c r="BA109" s="39"/>
      <c r="BB109" s="39"/>
      <c r="BC109" s="39"/>
      <c r="BD109" s="39"/>
      <c r="BE109" s="39"/>
      <c r="BF109" s="39"/>
      <c r="BG109" s="39"/>
      <c r="BH109" s="39"/>
      <c r="BI109" s="40"/>
      <c r="BK109" s="334"/>
      <c r="BL109" s="334"/>
      <c r="BM109" s="334"/>
      <c r="BN109" s="334"/>
      <c r="BO109" s="334"/>
      <c r="BP109" s="334"/>
      <c r="BQ109" s="429"/>
      <c r="BR109" s="429"/>
      <c r="BS109" s="429"/>
      <c r="BT109" s="429"/>
      <c r="BU109" s="429"/>
      <c r="BV109" s="429"/>
      <c r="BW109" s="429"/>
      <c r="BX109" s="429"/>
      <c r="BY109" s="429"/>
      <c r="BZ109" s="429"/>
      <c r="CA109" s="429"/>
      <c r="CB109" s="429"/>
      <c r="CC109" s="334"/>
      <c r="CD109" s="334"/>
      <c r="CE109" s="334"/>
      <c r="CF109" s="334"/>
      <c r="CG109" s="334"/>
      <c r="CH109" s="334"/>
      <c r="CI109" s="333"/>
      <c r="CJ109" s="333"/>
      <c r="CK109" s="333"/>
      <c r="CL109" s="333"/>
      <c r="CM109" s="333"/>
      <c r="CN109" s="333"/>
      <c r="CO109" s="334"/>
      <c r="CP109" s="334"/>
      <c r="CQ109" s="334"/>
      <c r="CR109" s="334"/>
      <c r="CS109" s="334"/>
      <c r="CT109" s="334"/>
    </row>
    <row r="110" spans="1:98" ht="7.4" customHeight="1" x14ac:dyDescent="0.5">
      <c r="A110" s="42"/>
      <c r="S110" s="70"/>
      <c r="T110" s="509" t="str">
        <f>"Roof Top Raised Railless ("&amp;$AO$35&amp;")"</f>
        <v>Roof Top Raised Railless (IBR)</v>
      </c>
      <c r="U110" s="509"/>
      <c r="V110" s="509"/>
      <c r="W110" s="509"/>
      <c r="X110" s="509"/>
      <c r="Y110" s="509"/>
      <c r="Z110" s="509"/>
      <c r="AA110" s="509"/>
      <c r="AB110" s="509"/>
      <c r="AC110" s="509"/>
      <c r="AD110" s="509"/>
      <c r="AE110" s="509"/>
      <c r="AF110" s="509"/>
      <c r="AG110" s="509"/>
      <c r="AH110" s="509"/>
      <c r="AI110" s="509"/>
      <c r="AJ110" s="509"/>
      <c r="AK110" s="509"/>
      <c r="AL110" s="509"/>
      <c r="AM110" s="509"/>
      <c r="AN110" s="509"/>
      <c r="AO110" s="509"/>
      <c r="AP110" s="509"/>
      <c r="AQ110" s="71"/>
      <c r="BI110" s="41"/>
      <c r="BK110" s="334"/>
      <c r="BL110" s="334"/>
      <c r="BM110" s="334"/>
      <c r="BN110" s="334"/>
      <c r="BO110" s="334"/>
      <c r="BP110" s="334"/>
      <c r="BQ110" s="429"/>
      <c r="BR110" s="429"/>
      <c r="BS110" s="429"/>
      <c r="BT110" s="429"/>
      <c r="BU110" s="429"/>
      <c r="BV110" s="429"/>
      <c r="BW110" s="429"/>
      <c r="BX110" s="429"/>
      <c r="BY110" s="429"/>
      <c r="BZ110" s="429"/>
      <c r="CA110" s="429"/>
      <c r="CB110" s="429"/>
      <c r="CC110" s="334"/>
      <c r="CD110" s="334"/>
      <c r="CE110" s="334"/>
      <c r="CF110" s="334"/>
      <c r="CG110" s="334"/>
      <c r="CH110" s="334"/>
      <c r="CI110" s="333"/>
      <c r="CJ110" s="333"/>
      <c r="CK110" s="333"/>
      <c r="CL110" s="333"/>
      <c r="CM110" s="333"/>
      <c r="CN110" s="333"/>
      <c r="CO110" s="334"/>
      <c r="CP110" s="334"/>
      <c r="CQ110" s="334"/>
      <c r="CR110" s="334"/>
      <c r="CS110" s="334"/>
      <c r="CT110" s="334"/>
    </row>
    <row r="111" spans="1:98" ht="7.4" customHeight="1" x14ac:dyDescent="0.5">
      <c r="A111" s="42"/>
      <c r="S111" s="70"/>
      <c r="T111" s="509"/>
      <c r="U111" s="509"/>
      <c r="V111" s="509"/>
      <c r="W111" s="509"/>
      <c r="X111" s="509"/>
      <c r="Y111" s="509"/>
      <c r="Z111" s="509"/>
      <c r="AA111" s="509"/>
      <c r="AB111" s="509"/>
      <c r="AC111" s="509"/>
      <c r="AD111" s="509"/>
      <c r="AE111" s="509"/>
      <c r="AF111" s="509"/>
      <c r="AG111" s="509"/>
      <c r="AH111" s="509"/>
      <c r="AI111" s="509"/>
      <c r="AJ111" s="509"/>
      <c r="AK111" s="509"/>
      <c r="AL111" s="509"/>
      <c r="AM111" s="509"/>
      <c r="AN111" s="509"/>
      <c r="AO111" s="509"/>
      <c r="AP111" s="509"/>
      <c r="AQ111" s="71"/>
      <c r="BI111" s="41"/>
      <c r="BK111" s="427"/>
      <c r="BL111" s="427"/>
      <c r="BM111" s="427"/>
      <c r="BN111" s="427"/>
      <c r="BO111" s="427"/>
      <c r="BP111" s="427"/>
      <c r="BQ111" s="510"/>
      <c r="BR111" s="510"/>
      <c r="BS111" s="510"/>
      <c r="BT111" s="510"/>
      <c r="BU111" s="510"/>
      <c r="BV111" s="510"/>
      <c r="BW111" s="510"/>
      <c r="BX111" s="510"/>
      <c r="BY111" s="510"/>
      <c r="BZ111" s="510"/>
      <c r="CA111" s="510"/>
      <c r="CB111" s="510"/>
      <c r="CC111" s="339"/>
      <c r="CD111" s="339"/>
      <c r="CE111" s="339"/>
      <c r="CF111" s="339"/>
      <c r="CG111" s="339"/>
      <c r="CH111" s="339"/>
      <c r="CI111" s="336"/>
      <c r="CJ111" s="336"/>
      <c r="CK111" s="336"/>
      <c r="CL111" s="336"/>
      <c r="CM111" s="336"/>
      <c r="CN111" s="336"/>
      <c r="CO111" s="336"/>
      <c r="CP111" s="336"/>
      <c r="CQ111" s="336"/>
      <c r="CR111" s="336"/>
      <c r="CS111" s="336"/>
      <c r="CT111" s="336"/>
    </row>
    <row r="112" spans="1:98" ht="7.4" customHeight="1" x14ac:dyDescent="0.5">
      <c r="A112" s="42"/>
      <c r="S112" s="72"/>
      <c r="T112" s="73"/>
      <c r="U112" s="73"/>
      <c r="V112" s="73"/>
      <c r="W112" s="73"/>
      <c r="X112" s="73"/>
      <c r="Y112" s="73"/>
      <c r="Z112" s="73"/>
      <c r="AA112" s="73"/>
      <c r="AB112" s="73"/>
      <c r="AC112" s="73"/>
      <c r="AD112" s="73"/>
      <c r="AE112" s="73"/>
      <c r="AF112" s="73"/>
      <c r="AG112" s="73"/>
      <c r="AH112" s="73"/>
      <c r="AI112" s="73"/>
      <c r="AJ112" s="73"/>
      <c r="AK112" s="73"/>
      <c r="AL112" s="73"/>
      <c r="AM112" s="73"/>
      <c r="AN112" s="73"/>
      <c r="AO112" s="73"/>
      <c r="AP112" s="73"/>
      <c r="AQ112" s="74"/>
      <c r="BI112" s="41"/>
      <c r="BK112" s="427"/>
      <c r="BL112" s="427"/>
      <c r="BM112" s="427"/>
      <c r="BN112" s="427"/>
      <c r="BO112" s="427"/>
      <c r="BP112" s="427"/>
      <c r="BQ112" s="510"/>
      <c r="BR112" s="510"/>
      <c r="BS112" s="510"/>
      <c r="BT112" s="510"/>
      <c r="BU112" s="510"/>
      <c r="BV112" s="510"/>
      <c r="BW112" s="510"/>
      <c r="BX112" s="510"/>
      <c r="BY112" s="510"/>
      <c r="BZ112" s="510"/>
      <c r="CA112" s="510"/>
      <c r="CB112" s="510"/>
      <c r="CC112" s="339"/>
      <c r="CD112" s="339"/>
      <c r="CE112" s="339"/>
      <c r="CF112" s="339"/>
      <c r="CG112" s="339"/>
      <c r="CH112" s="339"/>
      <c r="CI112" s="336"/>
      <c r="CJ112" s="336"/>
      <c r="CK112" s="336"/>
      <c r="CL112" s="336"/>
      <c r="CM112" s="336"/>
      <c r="CN112" s="336"/>
      <c r="CO112" s="336"/>
      <c r="CP112" s="336"/>
      <c r="CQ112" s="336"/>
      <c r="CR112" s="336"/>
      <c r="CS112" s="336"/>
      <c r="CT112" s="336"/>
    </row>
    <row r="113" spans="1:124" ht="7.4" customHeight="1" x14ac:dyDescent="0.5">
      <c r="A113" s="42"/>
      <c r="BI113" s="41"/>
      <c r="CO113" s="298"/>
      <c r="CP113" s="298"/>
      <c r="CQ113" s="298"/>
      <c r="CR113" s="298"/>
      <c r="CS113" s="298"/>
      <c r="CT113" s="298"/>
    </row>
    <row r="114" spans="1:124" ht="7.4" customHeight="1" x14ac:dyDescent="0.5">
      <c r="A114" s="42"/>
      <c r="B114" s="29"/>
      <c r="C114" s="422" t="s">
        <v>49</v>
      </c>
      <c r="D114" s="422"/>
      <c r="E114" s="423"/>
      <c r="F114" s="29"/>
      <c r="G114" s="422" t="s">
        <v>50</v>
      </c>
      <c r="H114" s="422"/>
      <c r="I114" s="422"/>
      <c r="J114" s="422"/>
      <c r="K114" s="422"/>
      <c r="L114" s="422"/>
      <c r="M114" s="422"/>
      <c r="N114" s="422"/>
      <c r="O114" s="422"/>
      <c r="P114" s="422"/>
      <c r="Q114" s="422"/>
      <c r="R114" s="423"/>
      <c r="S114" s="29"/>
      <c r="T114" s="422" t="s">
        <v>51</v>
      </c>
      <c r="U114" s="422"/>
      <c r="V114" s="422"/>
      <c r="W114" s="422"/>
      <c r="X114" s="422"/>
      <c r="Y114" s="422"/>
      <c r="Z114" s="422"/>
      <c r="AA114" s="422"/>
      <c r="AB114" s="422"/>
      <c r="AC114" s="422"/>
      <c r="AD114" s="422"/>
      <c r="AE114" s="422"/>
      <c r="AF114" s="422"/>
      <c r="AG114" s="422"/>
      <c r="AH114" s="422"/>
      <c r="AI114" s="422"/>
      <c r="AJ114" s="423"/>
      <c r="AK114" s="29"/>
      <c r="AL114" s="422" t="s">
        <v>106</v>
      </c>
      <c r="AM114" s="422"/>
      <c r="AN114" s="422"/>
      <c r="AO114" s="422"/>
      <c r="AP114" s="423"/>
      <c r="AQ114" s="299" t="s">
        <v>53</v>
      </c>
      <c r="AR114" s="363"/>
      <c r="AS114" s="363"/>
      <c r="AT114" s="363"/>
      <c r="AU114" s="363"/>
      <c r="AV114" s="363"/>
      <c r="AW114" s="363"/>
      <c r="AX114" s="363"/>
      <c r="AY114" s="363"/>
      <c r="AZ114" s="363"/>
      <c r="BA114" s="363"/>
      <c r="BB114" s="363"/>
      <c r="BC114" s="363"/>
      <c r="BD114" s="363"/>
      <c r="BE114" s="363"/>
      <c r="BF114" s="363"/>
      <c r="BG114" s="363"/>
      <c r="BH114" s="364"/>
      <c r="BI114" s="41"/>
      <c r="BK114" s="81"/>
      <c r="BL114" s="77"/>
      <c r="BM114" s="40"/>
      <c r="BN114" s="77"/>
      <c r="BO114" s="77"/>
      <c r="BP114" s="40"/>
      <c r="BQ114" s="81"/>
      <c r="BR114" s="77"/>
      <c r="BS114" s="40"/>
      <c r="BT114" s="81"/>
      <c r="BU114" s="77"/>
      <c r="BV114" s="40"/>
      <c r="BW114" s="81"/>
      <c r="BX114" s="77"/>
      <c r="BY114" s="40"/>
      <c r="BZ114" s="81"/>
      <c r="CA114" s="77"/>
      <c r="CB114" s="40"/>
      <c r="CC114" s="81"/>
      <c r="CD114" s="77"/>
      <c r="CE114" s="40"/>
      <c r="CF114" s="81"/>
      <c r="CG114" s="77"/>
      <c r="CH114" s="40"/>
      <c r="CI114" s="81"/>
      <c r="CJ114" s="77"/>
      <c r="CK114" s="40"/>
      <c r="CL114" s="81"/>
      <c r="CM114" s="77"/>
      <c r="CN114" s="40"/>
      <c r="CO114" s="81"/>
      <c r="CP114" s="77"/>
      <c r="CQ114" s="40"/>
      <c r="CR114" s="81"/>
      <c r="CS114" s="77"/>
      <c r="CT114" s="40"/>
      <c r="CU114" s="81"/>
      <c r="CV114" s="77"/>
      <c r="CW114" s="40"/>
      <c r="CX114" s="81"/>
      <c r="CY114" s="77"/>
      <c r="CZ114" s="40"/>
      <c r="DA114" s="81"/>
      <c r="DB114" s="77"/>
      <c r="DC114" s="40"/>
      <c r="DD114" s="81"/>
      <c r="DE114" s="77"/>
      <c r="DF114" s="40"/>
    </row>
    <row r="115" spans="1:124" ht="7.4" customHeight="1" x14ac:dyDescent="0.5">
      <c r="A115" s="42"/>
      <c r="B115" s="32"/>
      <c r="C115" s="408"/>
      <c r="D115" s="408"/>
      <c r="E115" s="424"/>
      <c r="F115" s="32"/>
      <c r="G115" s="408"/>
      <c r="H115" s="408"/>
      <c r="I115" s="408"/>
      <c r="J115" s="408"/>
      <c r="K115" s="408"/>
      <c r="L115" s="408"/>
      <c r="M115" s="408"/>
      <c r="N115" s="408"/>
      <c r="O115" s="408"/>
      <c r="P115" s="408"/>
      <c r="Q115" s="408"/>
      <c r="R115" s="424"/>
      <c r="S115" s="32"/>
      <c r="T115" s="408"/>
      <c r="U115" s="408"/>
      <c r="V115" s="408"/>
      <c r="W115" s="408"/>
      <c r="X115" s="408"/>
      <c r="Y115" s="408"/>
      <c r="Z115" s="408"/>
      <c r="AA115" s="408"/>
      <c r="AB115" s="408"/>
      <c r="AC115" s="408"/>
      <c r="AD115" s="408"/>
      <c r="AE115" s="408"/>
      <c r="AF115" s="408"/>
      <c r="AG115" s="408"/>
      <c r="AH115" s="408"/>
      <c r="AI115" s="408"/>
      <c r="AJ115" s="424"/>
      <c r="AK115" s="32"/>
      <c r="AL115" s="408"/>
      <c r="AM115" s="408"/>
      <c r="AN115" s="408"/>
      <c r="AO115" s="408"/>
      <c r="AP115" s="424"/>
      <c r="AQ115" s="365"/>
      <c r="AR115" s="366"/>
      <c r="AS115" s="366"/>
      <c r="AT115" s="366"/>
      <c r="AU115" s="366"/>
      <c r="AV115" s="366"/>
      <c r="AW115" s="366"/>
      <c r="AX115" s="366"/>
      <c r="AY115" s="366"/>
      <c r="AZ115" s="366"/>
      <c r="BA115" s="366"/>
      <c r="BB115" s="366"/>
      <c r="BC115" s="366"/>
      <c r="BD115" s="366"/>
      <c r="BE115" s="366"/>
      <c r="BF115" s="366"/>
      <c r="BG115" s="366"/>
      <c r="BH115" s="367"/>
      <c r="BI115" s="41"/>
      <c r="BK115" s="310">
        <v>1</v>
      </c>
      <c r="BL115" s="311"/>
      <c r="BM115" s="312"/>
      <c r="BN115" s="310">
        <v>2</v>
      </c>
      <c r="BO115" s="311"/>
      <c r="BP115" s="312"/>
      <c r="BQ115" s="310">
        <v>3</v>
      </c>
      <c r="BR115" s="311"/>
      <c r="BS115" s="312"/>
      <c r="BT115" s="310">
        <v>4</v>
      </c>
      <c r="BU115" s="311"/>
      <c r="BV115" s="312"/>
      <c r="BW115" s="310">
        <v>5</v>
      </c>
      <c r="BX115" s="311"/>
      <c r="BY115" s="312"/>
      <c r="BZ115" s="310">
        <v>6</v>
      </c>
      <c r="CA115" s="311"/>
      <c r="CB115" s="312"/>
      <c r="CC115" s="310">
        <v>7</v>
      </c>
      <c r="CD115" s="311"/>
      <c r="CE115" s="312"/>
      <c r="CF115" s="310">
        <v>8</v>
      </c>
      <c r="CG115" s="311"/>
      <c r="CH115" s="312"/>
      <c r="CI115" s="310">
        <v>9</v>
      </c>
      <c r="CJ115" s="311"/>
      <c r="CK115" s="312"/>
      <c r="CL115" s="310">
        <v>10</v>
      </c>
      <c r="CM115" s="311"/>
      <c r="CN115" s="312"/>
      <c r="CO115" s="310">
        <v>11</v>
      </c>
      <c r="CP115" s="311"/>
      <c r="CQ115" s="312"/>
      <c r="CR115" s="310">
        <v>12</v>
      </c>
      <c r="CS115" s="311"/>
      <c r="CT115" s="312"/>
      <c r="CU115" s="310">
        <v>13</v>
      </c>
      <c r="CV115" s="311"/>
      <c r="CW115" s="312"/>
      <c r="CX115" s="310">
        <v>14</v>
      </c>
      <c r="CY115" s="311"/>
      <c r="CZ115" s="312"/>
      <c r="DA115" s="310">
        <v>15</v>
      </c>
      <c r="DB115" s="311"/>
      <c r="DC115" s="312"/>
      <c r="DD115" s="310">
        <v>16</v>
      </c>
      <c r="DE115" s="311"/>
      <c r="DF115" s="312"/>
      <c r="DH115" s="331"/>
      <c r="DI115" s="331"/>
      <c r="DJ115" s="331"/>
      <c r="DK115" s="331"/>
      <c r="DL115" s="311"/>
      <c r="DM115" s="311"/>
      <c r="DN115" s="311"/>
      <c r="DO115" s="311"/>
      <c r="DP115" s="311"/>
      <c r="DQ115" s="311"/>
      <c r="DR115" s="311"/>
      <c r="DS115" s="311"/>
      <c r="DT115" s="311"/>
    </row>
    <row r="116" spans="1:124" ht="7.4" customHeight="1" x14ac:dyDescent="0.5">
      <c r="A116" s="42"/>
      <c r="B116" s="32"/>
      <c r="C116" s="408"/>
      <c r="D116" s="408"/>
      <c r="E116" s="424"/>
      <c r="F116" s="32"/>
      <c r="G116" s="408"/>
      <c r="H116" s="408"/>
      <c r="I116" s="408"/>
      <c r="J116" s="408"/>
      <c r="K116" s="408"/>
      <c r="L116" s="408"/>
      <c r="M116" s="408"/>
      <c r="N116" s="408"/>
      <c r="O116" s="408"/>
      <c r="P116" s="408"/>
      <c r="Q116" s="408"/>
      <c r="R116" s="424"/>
      <c r="S116" s="32"/>
      <c r="T116" s="408"/>
      <c r="U116" s="408"/>
      <c r="V116" s="408"/>
      <c r="W116" s="408"/>
      <c r="X116" s="408"/>
      <c r="Y116" s="408"/>
      <c r="Z116" s="408"/>
      <c r="AA116" s="408"/>
      <c r="AB116" s="408"/>
      <c r="AC116" s="408"/>
      <c r="AD116" s="408"/>
      <c r="AE116" s="408"/>
      <c r="AF116" s="408"/>
      <c r="AG116" s="408"/>
      <c r="AH116" s="408"/>
      <c r="AI116" s="408"/>
      <c r="AJ116" s="424"/>
      <c r="AK116" s="32"/>
      <c r="AL116" s="408"/>
      <c r="AM116" s="408"/>
      <c r="AN116" s="408"/>
      <c r="AO116" s="408"/>
      <c r="AP116" s="424"/>
      <c r="AQ116" s="365"/>
      <c r="AR116" s="366"/>
      <c r="AS116" s="366"/>
      <c r="AT116" s="366"/>
      <c r="AU116" s="366"/>
      <c r="AV116" s="366"/>
      <c r="AW116" s="366"/>
      <c r="AX116" s="366"/>
      <c r="AY116" s="366"/>
      <c r="AZ116" s="366"/>
      <c r="BA116" s="366"/>
      <c r="BB116" s="366"/>
      <c r="BC116" s="366"/>
      <c r="BD116" s="366"/>
      <c r="BE116" s="366"/>
      <c r="BF116" s="366"/>
      <c r="BG116" s="366"/>
      <c r="BH116" s="367"/>
      <c r="BI116" s="41"/>
      <c r="BK116" s="310"/>
      <c r="BL116" s="311"/>
      <c r="BM116" s="312"/>
      <c r="BN116" s="310"/>
      <c r="BO116" s="311"/>
      <c r="BP116" s="312"/>
      <c r="BQ116" s="310"/>
      <c r="BR116" s="311"/>
      <c r="BS116" s="312"/>
      <c r="BT116" s="310"/>
      <c r="BU116" s="311"/>
      <c r="BV116" s="312"/>
      <c r="BW116" s="310"/>
      <c r="BX116" s="311"/>
      <c r="BY116" s="312"/>
      <c r="BZ116" s="310"/>
      <c r="CA116" s="311"/>
      <c r="CB116" s="312"/>
      <c r="CC116" s="310"/>
      <c r="CD116" s="311"/>
      <c r="CE116" s="312"/>
      <c r="CF116" s="310"/>
      <c r="CG116" s="311"/>
      <c r="CH116" s="312"/>
      <c r="CI116" s="310"/>
      <c r="CJ116" s="311"/>
      <c r="CK116" s="312"/>
      <c r="CL116" s="310"/>
      <c r="CM116" s="311"/>
      <c r="CN116" s="312"/>
      <c r="CO116" s="310"/>
      <c r="CP116" s="311"/>
      <c r="CQ116" s="312"/>
      <c r="CR116" s="310"/>
      <c r="CS116" s="311"/>
      <c r="CT116" s="312"/>
      <c r="CU116" s="310"/>
      <c r="CV116" s="311"/>
      <c r="CW116" s="312"/>
      <c r="CX116" s="310"/>
      <c r="CY116" s="311"/>
      <c r="CZ116" s="312"/>
      <c r="DA116" s="310"/>
      <c r="DB116" s="311"/>
      <c r="DC116" s="312"/>
      <c r="DD116" s="310"/>
      <c r="DE116" s="311"/>
      <c r="DF116" s="312"/>
      <c r="DH116" s="331"/>
      <c r="DI116" s="331"/>
      <c r="DJ116" s="331"/>
      <c r="DK116" s="331"/>
      <c r="DL116" s="311"/>
      <c r="DM116" s="311"/>
      <c r="DN116" s="311"/>
      <c r="DO116" s="311"/>
      <c r="DP116" s="311"/>
      <c r="DQ116" s="311"/>
      <c r="DR116" s="311"/>
      <c r="DS116" s="311"/>
      <c r="DT116" s="311"/>
    </row>
    <row r="117" spans="1:124" ht="7.4" customHeight="1" x14ac:dyDescent="0.5">
      <c r="A117" s="42"/>
      <c r="B117" s="35"/>
      <c r="C117" s="425"/>
      <c r="D117" s="425"/>
      <c r="E117" s="426"/>
      <c r="F117" s="35"/>
      <c r="G117" s="425"/>
      <c r="H117" s="425"/>
      <c r="I117" s="425"/>
      <c r="J117" s="425"/>
      <c r="K117" s="425"/>
      <c r="L117" s="425"/>
      <c r="M117" s="425"/>
      <c r="N117" s="425"/>
      <c r="O117" s="425"/>
      <c r="P117" s="425"/>
      <c r="Q117" s="425"/>
      <c r="R117" s="426"/>
      <c r="S117" s="35"/>
      <c r="T117" s="425"/>
      <c r="U117" s="425"/>
      <c r="V117" s="425"/>
      <c r="W117" s="425"/>
      <c r="X117" s="425"/>
      <c r="Y117" s="425"/>
      <c r="Z117" s="425"/>
      <c r="AA117" s="425"/>
      <c r="AB117" s="425"/>
      <c r="AC117" s="425"/>
      <c r="AD117" s="425"/>
      <c r="AE117" s="425"/>
      <c r="AF117" s="425"/>
      <c r="AG117" s="425"/>
      <c r="AH117" s="425"/>
      <c r="AI117" s="425"/>
      <c r="AJ117" s="426"/>
      <c r="AK117" s="35"/>
      <c r="AL117" s="425"/>
      <c r="AM117" s="425"/>
      <c r="AN117" s="425"/>
      <c r="AO117" s="425"/>
      <c r="AP117" s="426"/>
      <c r="AQ117" s="365"/>
      <c r="AR117" s="366"/>
      <c r="AS117" s="366"/>
      <c r="AT117" s="366"/>
      <c r="AU117" s="366"/>
      <c r="AV117" s="366"/>
      <c r="AW117" s="366"/>
      <c r="AX117" s="366"/>
      <c r="AY117" s="366"/>
      <c r="AZ117" s="366"/>
      <c r="BA117" s="366"/>
      <c r="BB117" s="366"/>
      <c r="BC117" s="366"/>
      <c r="BD117" s="366"/>
      <c r="BE117" s="366"/>
      <c r="BF117" s="366"/>
      <c r="BG117" s="366"/>
      <c r="BH117" s="367"/>
      <c r="BI117" s="41"/>
      <c r="BK117" s="220"/>
      <c r="BL117" s="134"/>
      <c r="BM117" s="85"/>
      <c r="BN117" s="134"/>
      <c r="BO117" s="134"/>
      <c r="BP117" s="85"/>
      <c r="BQ117" s="220"/>
      <c r="BR117" s="134"/>
      <c r="BS117" s="85"/>
      <c r="BT117" s="220"/>
      <c r="BU117" s="134"/>
      <c r="BV117" s="85"/>
      <c r="BW117" s="220"/>
      <c r="BX117" s="134"/>
      <c r="BY117" s="85"/>
      <c r="BZ117" s="220"/>
      <c r="CA117" s="134"/>
      <c r="CB117" s="85"/>
      <c r="CC117" s="220"/>
      <c r="CD117" s="134"/>
      <c r="CE117" s="85"/>
      <c r="CF117" s="220"/>
      <c r="CG117" s="134"/>
      <c r="CH117" s="85"/>
      <c r="CI117" s="220"/>
      <c r="CJ117" s="134"/>
      <c r="CK117" s="85"/>
      <c r="CL117" s="220"/>
      <c r="CM117" s="134"/>
      <c r="CN117" s="85"/>
      <c r="CO117" s="220"/>
      <c r="CP117" s="134"/>
      <c r="CQ117" s="85"/>
      <c r="CR117" s="220"/>
      <c r="CS117" s="134"/>
      <c r="CT117" s="85"/>
      <c r="CU117" s="220"/>
      <c r="CV117" s="134"/>
      <c r="CW117" s="85"/>
      <c r="CX117" s="220"/>
      <c r="CY117" s="134"/>
      <c r="CZ117" s="85"/>
      <c r="DA117" s="220"/>
      <c r="DB117" s="134"/>
      <c r="DC117" s="85"/>
      <c r="DD117" s="220"/>
      <c r="DE117" s="134"/>
      <c r="DF117" s="85"/>
    </row>
    <row r="118" spans="1:124" ht="7.4" customHeight="1" x14ac:dyDescent="0.5">
      <c r="A118" s="42"/>
      <c r="B118" s="42"/>
      <c r="C118" s="55"/>
      <c r="D118" s="55"/>
      <c r="E118" s="41"/>
      <c r="F118" s="42"/>
      <c r="G118" s="56"/>
      <c r="H118" s="56"/>
      <c r="I118" s="56"/>
      <c r="J118" s="56"/>
      <c r="K118" s="56"/>
      <c r="L118" s="56"/>
      <c r="M118" s="56"/>
      <c r="N118" s="56"/>
      <c r="O118" s="56"/>
      <c r="P118" s="56"/>
      <c r="Q118" s="56"/>
      <c r="R118" s="126"/>
      <c r="S118" s="42"/>
      <c r="AJ118" s="41"/>
      <c r="AK118" s="42"/>
      <c r="AL118" s="311"/>
      <c r="AM118" s="311"/>
      <c r="AN118" s="311"/>
      <c r="AO118" s="311"/>
      <c r="AP118" s="43"/>
      <c r="AQ118" s="38"/>
      <c r="AR118" s="77"/>
      <c r="AS118" s="77"/>
      <c r="AT118" s="77"/>
      <c r="AU118" s="77"/>
      <c r="AV118" s="77"/>
      <c r="AW118" s="77"/>
      <c r="AX118" s="227"/>
      <c r="AY118" s="245"/>
      <c r="AZ118" s="77"/>
      <c r="BA118" s="77"/>
      <c r="BB118" s="77"/>
      <c r="BC118" s="77"/>
      <c r="BD118" s="77"/>
      <c r="BE118" s="77"/>
      <c r="BF118" s="77"/>
      <c r="BG118" s="77"/>
      <c r="BH118" s="138"/>
      <c r="BI118" s="41"/>
      <c r="BK118" s="194"/>
      <c r="BL118" s="123"/>
      <c r="BM118" s="195"/>
      <c r="BN118" s="196"/>
      <c r="BO118" s="153"/>
      <c r="BP118" s="197"/>
      <c r="BQ118" s="196"/>
      <c r="BR118" s="153"/>
      <c r="BS118" s="197"/>
      <c r="BT118" s="196"/>
      <c r="BU118" s="153"/>
      <c r="BV118" s="197"/>
      <c r="BW118" s="196"/>
      <c r="BX118" s="153"/>
      <c r="BY118" s="197"/>
      <c r="BZ118" s="196"/>
      <c r="CA118" s="153"/>
      <c r="CB118" s="197"/>
      <c r="CC118" s="196"/>
      <c r="CD118" s="153"/>
      <c r="CE118" s="197"/>
      <c r="CF118" s="196"/>
      <c r="CG118" s="153"/>
      <c r="CH118" s="197"/>
      <c r="CI118" s="196"/>
      <c r="CJ118" s="153"/>
      <c r="CK118" s="197"/>
      <c r="CL118" s="196"/>
      <c r="CM118" s="153"/>
      <c r="CN118" s="197"/>
      <c r="CO118" s="196"/>
      <c r="CP118" s="153"/>
      <c r="CQ118" s="197"/>
      <c r="CR118" s="196"/>
      <c r="CS118" s="153"/>
      <c r="CT118" s="197"/>
      <c r="CU118" s="196"/>
      <c r="CV118" s="153"/>
      <c r="CW118" s="197"/>
      <c r="CX118" s="196"/>
      <c r="CY118" s="153"/>
      <c r="CZ118" s="197"/>
      <c r="DA118" s="196"/>
      <c r="DB118" s="153"/>
      <c r="DC118" s="197"/>
      <c r="DD118" s="196"/>
      <c r="DE118" s="153"/>
      <c r="DF118" s="197"/>
      <c r="DL118" s="105"/>
      <c r="DM118" s="105"/>
      <c r="DN118" s="105"/>
      <c r="DO118" s="105"/>
      <c r="DP118" s="105"/>
      <c r="DQ118" s="105"/>
      <c r="DR118" s="105"/>
      <c r="DS118" s="105"/>
    </row>
    <row r="119" spans="1:124" ht="7.4" customHeight="1" x14ac:dyDescent="0.5">
      <c r="A119" s="42"/>
      <c r="B119" s="42"/>
      <c r="C119" s="419">
        <v>1</v>
      </c>
      <c r="D119" s="419"/>
      <c r="E119" s="41"/>
      <c r="F119" s="42"/>
      <c r="G119" s="319" t="str">
        <f>"AXE_F_RS_RL_"&amp;IF($AE$45&lt;1150,"S","L")&amp;"_"&amp;$AO$31&amp;"_AL"</f>
        <v>AXE_F_RS_RL_S_10_AL</v>
      </c>
      <c r="H119" s="319"/>
      <c r="I119" s="319"/>
      <c r="J119" s="319"/>
      <c r="K119" s="319"/>
      <c r="L119" s="319"/>
      <c r="M119" s="319"/>
      <c r="N119" s="319"/>
      <c r="O119" s="319"/>
      <c r="P119" s="319"/>
      <c r="Q119" s="319"/>
      <c r="R119" s="320"/>
      <c r="S119" s="42"/>
      <c r="T119" s="405" t="str">
        <f>VLOOKUP(G119,PL!$B$9:$BH$1265,14,FALSE)</f>
        <v>Raised Frame</v>
      </c>
      <c r="U119" s="405"/>
      <c r="V119" s="405"/>
      <c r="W119" s="405"/>
      <c r="X119" s="405"/>
      <c r="Y119" s="405"/>
      <c r="Z119" s="405"/>
      <c r="AA119" s="405"/>
      <c r="AB119" s="405"/>
      <c r="AC119" s="405"/>
      <c r="AD119" s="405"/>
      <c r="AE119" s="405"/>
      <c r="AF119" s="405"/>
      <c r="AG119" s="405"/>
      <c r="AH119" s="405"/>
      <c r="AI119" s="405"/>
      <c r="AJ119" s="411"/>
      <c r="AK119" s="42"/>
      <c r="AL119" s="311">
        <f>SUM(BK119:DF120)</f>
        <v>200</v>
      </c>
      <c r="AM119" s="311"/>
      <c r="AN119" s="311"/>
      <c r="AO119" s="311"/>
      <c r="AP119" s="43"/>
      <c r="AQ119" s="111"/>
      <c r="AR119" s="308">
        <f>VLOOKUP(G119,PL!$B$9:$BH$818,52,FALSE)</f>
        <v>0</v>
      </c>
      <c r="AS119" s="309"/>
      <c r="AT119" s="309"/>
      <c r="AU119" s="309"/>
      <c r="AV119" s="309"/>
      <c r="AW119" s="309"/>
      <c r="AX119" s="309"/>
      <c r="AY119" s="309"/>
      <c r="AZ119" s="309"/>
      <c r="BA119" s="309"/>
      <c r="BB119" s="309"/>
      <c r="BC119" s="309"/>
      <c r="BD119" s="309"/>
      <c r="BE119" s="309"/>
      <c r="BF119" s="309"/>
      <c r="BG119" s="309"/>
      <c r="BH119" s="124"/>
      <c r="BI119" s="41"/>
      <c r="BK119" s="412">
        <f>M58*2*M54</f>
        <v>200</v>
      </c>
      <c r="BL119" s="413"/>
      <c r="BM119" s="414"/>
      <c r="BN119" s="412">
        <f>P58*2*P54</f>
        <v>0</v>
      </c>
      <c r="BO119" s="413"/>
      <c r="BP119" s="414"/>
      <c r="BQ119" s="412">
        <f>S58*2*S54</f>
        <v>0</v>
      </c>
      <c r="BR119" s="413"/>
      <c r="BS119" s="414"/>
      <c r="BT119" s="412">
        <f>V58*2*V54</f>
        <v>0</v>
      </c>
      <c r="BU119" s="413"/>
      <c r="BV119" s="414"/>
      <c r="BW119" s="412">
        <f>Y58*2*Y54</f>
        <v>0</v>
      </c>
      <c r="BX119" s="413"/>
      <c r="BY119" s="414"/>
      <c r="BZ119" s="412">
        <f>AB58*2*AB54</f>
        <v>0</v>
      </c>
      <c r="CA119" s="413"/>
      <c r="CB119" s="414"/>
      <c r="CC119" s="412">
        <f>AE58*2*AE54</f>
        <v>0</v>
      </c>
      <c r="CD119" s="413"/>
      <c r="CE119" s="414"/>
      <c r="CF119" s="412">
        <f>AH58*2*AH54</f>
        <v>0</v>
      </c>
      <c r="CG119" s="413"/>
      <c r="CH119" s="414"/>
      <c r="CI119" s="412">
        <f>AK58*2*AK54</f>
        <v>0</v>
      </c>
      <c r="CJ119" s="413"/>
      <c r="CK119" s="414"/>
      <c r="CL119" s="412">
        <f>AN58*2*AN54</f>
        <v>0</v>
      </c>
      <c r="CM119" s="413"/>
      <c r="CN119" s="414"/>
      <c r="CO119" s="412">
        <f>AQ58*2*AQ54</f>
        <v>0</v>
      </c>
      <c r="CP119" s="413"/>
      <c r="CQ119" s="414"/>
      <c r="CR119" s="412">
        <f>AT58*2*AT54</f>
        <v>0</v>
      </c>
      <c r="CS119" s="413"/>
      <c r="CT119" s="414"/>
      <c r="CU119" s="412">
        <f>AW58*2*AW54</f>
        <v>0</v>
      </c>
      <c r="CV119" s="413"/>
      <c r="CW119" s="414"/>
      <c r="CX119" s="412">
        <f>AZ58*2*AZ54</f>
        <v>0</v>
      </c>
      <c r="CY119" s="413"/>
      <c r="CZ119" s="414"/>
      <c r="DA119" s="412">
        <f>BC58*2*BC54</f>
        <v>0</v>
      </c>
      <c r="DB119" s="413"/>
      <c r="DC119" s="414"/>
      <c r="DD119" s="412">
        <f>BF58*2*BF54</f>
        <v>0</v>
      </c>
      <c r="DE119" s="413"/>
      <c r="DF119" s="414"/>
      <c r="DH119" s="311"/>
      <c r="DI119" s="311"/>
      <c r="DJ119" s="311"/>
      <c r="DK119" s="311"/>
      <c r="DL119" s="321"/>
      <c r="DM119" s="321"/>
      <c r="DN119" s="321"/>
      <c r="DO119" s="321"/>
      <c r="DP119" s="321"/>
      <c r="DQ119" s="321"/>
      <c r="DR119" s="321"/>
      <c r="DS119" s="321"/>
    </row>
    <row r="120" spans="1:124" ht="7.4" customHeight="1" x14ac:dyDescent="0.5">
      <c r="A120" s="42"/>
      <c r="B120" s="42"/>
      <c r="C120" s="419"/>
      <c r="D120" s="419"/>
      <c r="E120" s="41"/>
      <c r="F120" s="42"/>
      <c r="G120" s="319"/>
      <c r="H120" s="319"/>
      <c r="I120" s="319"/>
      <c r="J120" s="319"/>
      <c r="K120" s="319"/>
      <c r="L120" s="319"/>
      <c r="M120" s="319"/>
      <c r="N120" s="319"/>
      <c r="O120" s="319"/>
      <c r="P120" s="319"/>
      <c r="Q120" s="319"/>
      <c r="R120" s="320"/>
      <c r="S120" s="42"/>
      <c r="T120" s="405"/>
      <c r="U120" s="405"/>
      <c r="V120" s="405"/>
      <c r="W120" s="405"/>
      <c r="X120" s="405"/>
      <c r="Y120" s="405"/>
      <c r="Z120" s="405"/>
      <c r="AA120" s="405"/>
      <c r="AB120" s="405"/>
      <c r="AC120" s="405"/>
      <c r="AD120" s="405"/>
      <c r="AE120" s="405"/>
      <c r="AF120" s="405"/>
      <c r="AG120" s="405"/>
      <c r="AH120" s="405"/>
      <c r="AI120" s="405"/>
      <c r="AJ120" s="411"/>
      <c r="AK120" s="42"/>
      <c r="AL120" s="311"/>
      <c r="AM120" s="311"/>
      <c r="AN120" s="311"/>
      <c r="AO120" s="311"/>
      <c r="AP120" s="43"/>
      <c r="AQ120" s="111"/>
      <c r="AR120" s="309"/>
      <c r="AS120" s="309"/>
      <c r="AT120" s="309"/>
      <c r="AU120" s="309"/>
      <c r="AV120" s="309"/>
      <c r="AW120" s="309"/>
      <c r="AX120" s="309"/>
      <c r="AY120" s="309"/>
      <c r="AZ120" s="309"/>
      <c r="BA120" s="309"/>
      <c r="BB120" s="309"/>
      <c r="BC120" s="309"/>
      <c r="BD120" s="309"/>
      <c r="BE120" s="309"/>
      <c r="BF120" s="309"/>
      <c r="BG120" s="309"/>
      <c r="BH120" s="124"/>
      <c r="BI120" s="41"/>
      <c r="BK120" s="412"/>
      <c r="BL120" s="413"/>
      <c r="BM120" s="414"/>
      <c r="BN120" s="412"/>
      <c r="BO120" s="413"/>
      <c r="BP120" s="414"/>
      <c r="BQ120" s="412"/>
      <c r="BR120" s="413"/>
      <c r="BS120" s="414"/>
      <c r="BT120" s="412"/>
      <c r="BU120" s="413"/>
      <c r="BV120" s="414"/>
      <c r="BW120" s="412"/>
      <c r="BX120" s="413"/>
      <c r="BY120" s="414"/>
      <c r="BZ120" s="412"/>
      <c r="CA120" s="413"/>
      <c r="CB120" s="414"/>
      <c r="CC120" s="412"/>
      <c r="CD120" s="413"/>
      <c r="CE120" s="414"/>
      <c r="CF120" s="412"/>
      <c r="CG120" s="413"/>
      <c r="CH120" s="414"/>
      <c r="CI120" s="412"/>
      <c r="CJ120" s="413"/>
      <c r="CK120" s="414"/>
      <c r="CL120" s="412"/>
      <c r="CM120" s="413"/>
      <c r="CN120" s="414"/>
      <c r="CO120" s="412"/>
      <c r="CP120" s="413"/>
      <c r="CQ120" s="414"/>
      <c r="CR120" s="412"/>
      <c r="CS120" s="413"/>
      <c r="CT120" s="414"/>
      <c r="CU120" s="412"/>
      <c r="CV120" s="413"/>
      <c r="CW120" s="414"/>
      <c r="CX120" s="412"/>
      <c r="CY120" s="413"/>
      <c r="CZ120" s="414"/>
      <c r="DA120" s="412"/>
      <c r="DB120" s="413"/>
      <c r="DC120" s="414"/>
      <c r="DD120" s="412"/>
      <c r="DE120" s="413"/>
      <c r="DF120" s="414"/>
      <c r="DH120" s="311"/>
      <c r="DI120" s="311"/>
      <c r="DJ120" s="311"/>
      <c r="DK120" s="311"/>
      <c r="DL120" s="321"/>
      <c r="DM120" s="321"/>
      <c r="DN120" s="321"/>
      <c r="DO120" s="321"/>
      <c r="DP120" s="321"/>
      <c r="DQ120" s="321"/>
      <c r="DR120" s="321"/>
      <c r="DS120" s="321"/>
    </row>
    <row r="121" spans="1:124" ht="7.4" customHeight="1" x14ac:dyDescent="0.5">
      <c r="A121" s="42"/>
      <c r="B121" s="42"/>
      <c r="C121" s="333"/>
      <c r="D121" s="333"/>
      <c r="E121" s="41"/>
      <c r="F121" s="42"/>
      <c r="G121" s="56"/>
      <c r="H121" s="56"/>
      <c r="I121" s="56"/>
      <c r="J121" s="56"/>
      <c r="K121" s="56"/>
      <c r="L121" s="56"/>
      <c r="M121" s="56"/>
      <c r="N121" s="56"/>
      <c r="O121" s="56"/>
      <c r="P121" s="56"/>
      <c r="Q121" s="56"/>
      <c r="R121" s="126"/>
      <c r="S121" s="42"/>
      <c r="T121" s="116" t="str">
        <f>VLOOKUP(G119,PL!$B$9:$BH$1265,33,FALSE)</f>
        <v>Aluminium, Railless, Short, 10deg</v>
      </c>
      <c r="AJ121" s="41"/>
      <c r="AK121" s="42"/>
      <c r="AL121" s="311"/>
      <c r="AM121" s="311"/>
      <c r="AN121" s="311"/>
      <c r="AO121" s="311"/>
      <c r="AP121" s="43"/>
      <c r="AQ121" s="42"/>
      <c r="AR121" s="46"/>
      <c r="AS121" s="46"/>
      <c r="AT121" s="46"/>
      <c r="AU121" s="46"/>
      <c r="AV121" s="46"/>
      <c r="AW121" s="46"/>
      <c r="AX121" s="105"/>
      <c r="AY121" s="79"/>
      <c r="AZ121" s="119"/>
      <c r="BA121" s="119"/>
      <c r="BB121" s="119"/>
      <c r="BC121" s="119"/>
      <c r="BD121" s="119"/>
      <c r="BE121" s="119"/>
      <c r="BF121" s="119"/>
      <c r="BG121" s="119"/>
      <c r="BH121" s="124"/>
      <c r="BI121" s="41"/>
      <c r="BK121" s="194"/>
      <c r="BL121" s="123"/>
      <c r="BM121" s="195"/>
      <c r="BN121" s="194"/>
      <c r="BO121" s="123"/>
      <c r="BP121" s="195"/>
      <c r="BQ121" s="194"/>
      <c r="BR121" s="123"/>
      <c r="BS121" s="195"/>
      <c r="BT121" s="194"/>
      <c r="BU121" s="123"/>
      <c r="BV121" s="195"/>
      <c r="BW121" s="194"/>
      <c r="BX121" s="123"/>
      <c r="BY121" s="195"/>
      <c r="BZ121" s="194"/>
      <c r="CA121" s="123"/>
      <c r="CB121" s="195"/>
      <c r="CC121" s="194"/>
      <c r="CD121" s="123"/>
      <c r="CE121" s="195"/>
      <c r="CF121" s="194"/>
      <c r="CG121" s="123"/>
      <c r="CH121" s="195"/>
      <c r="CI121" s="194"/>
      <c r="CJ121" s="123"/>
      <c r="CK121" s="195"/>
      <c r="CL121" s="194"/>
      <c r="CM121" s="123"/>
      <c r="CN121" s="195"/>
      <c r="CO121" s="194"/>
      <c r="CP121" s="123"/>
      <c r="CQ121" s="195"/>
      <c r="CR121" s="194"/>
      <c r="CS121" s="123"/>
      <c r="CT121" s="195"/>
      <c r="CU121" s="194"/>
      <c r="CV121" s="123"/>
      <c r="CW121" s="195"/>
      <c r="CX121" s="194"/>
      <c r="CY121" s="123"/>
      <c r="CZ121" s="195"/>
      <c r="DA121" s="194"/>
      <c r="DB121" s="123"/>
      <c r="DC121" s="195"/>
      <c r="DD121" s="194"/>
      <c r="DE121" s="123"/>
      <c r="DF121" s="195"/>
      <c r="DH121" s="311"/>
      <c r="DI121" s="311"/>
      <c r="DJ121" s="311"/>
      <c r="DK121" s="311"/>
      <c r="DL121" s="321"/>
      <c r="DM121" s="321"/>
      <c r="DN121" s="321"/>
      <c r="DO121" s="321"/>
      <c r="DP121" s="321"/>
      <c r="DQ121" s="321"/>
      <c r="DR121" s="321"/>
      <c r="DS121" s="321"/>
    </row>
    <row r="122" spans="1:124" ht="7.4" customHeight="1" x14ac:dyDescent="0.5">
      <c r="A122" s="42"/>
      <c r="B122" s="42"/>
      <c r="C122" s="55"/>
      <c r="D122" s="55"/>
      <c r="E122" s="41"/>
      <c r="F122" s="42"/>
      <c r="G122" s="56"/>
      <c r="H122" s="56"/>
      <c r="I122" s="56"/>
      <c r="J122" s="56"/>
      <c r="K122" s="56"/>
      <c r="L122" s="56"/>
      <c r="M122" s="56"/>
      <c r="N122" s="56"/>
      <c r="O122" s="56"/>
      <c r="P122" s="56"/>
      <c r="Q122" s="56"/>
      <c r="R122" s="126"/>
      <c r="S122" s="42"/>
      <c r="AJ122" s="41"/>
      <c r="AK122" s="42"/>
      <c r="AL122" s="311"/>
      <c r="AM122" s="311"/>
      <c r="AN122" s="311"/>
      <c r="AO122" s="311"/>
      <c r="AP122" s="43"/>
      <c r="AQ122" s="42"/>
      <c r="AR122" s="46"/>
      <c r="AS122" s="46"/>
      <c r="AT122" s="46"/>
      <c r="AU122" s="46"/>
      <c r="AV122" s="46"/>
      <c r="AW122" s="46"/>
      <c r="AX122" s="105"/>
      <c r="AY122" s="79"/>
      <c r="AZ122" s="119"/>
      <c r="BA122" s="119"/>
      <c r="BB122" s="119"/>
      <c r="BC122" s="119"/>
      <c r="BD122" s="119"/>
      <c r="BE122" s="119"/>
      <c r="BF122" s="119"/>
      <c r="BG122" s="119"/>
      <c r="BH122" s="124"/>
      <c r="BI122" s="41"/>
      <c r="BK122" s="194"/>
      <c r="BL122" s="123"/>
      <c r="BM122" s="195"/>
      <c r="BN122" s="194"/>
      <c r="BO122" s="123"/>
      <c r="BP122" s="195"/>
      <c r="BQ122" s="194"/>
      <c r="BR122" s="123"/>
      <c r="BS122" s="195"/>
      <c r="BT122" s="194"/>
      <c r="BU122" s="123"/>
      <c r="BV122" s="195"/>
      <c r="BW122" s="194"/>
      <c r="BX122" s="123"/>
      <c r="BY122" s="195"/>
      <c r="BZ122" s="194"/>
      <c r="CA122" s="123"/>
      <c r="CB122" s="195"/>
      <c r="CC122" s="194"/>
      <c r="CD122" s="123"/>
      <c r="CE122" s="195"/>
      <c r="CF122" s="194"/>
      <c r="CG122" s="123"/>
      <c r="CH122" s="195"/>
      <c r="CI122" s="194"/>
      <c r="CJ122" s="123"/>
      <c r="CK122" s="195"/>
      <c r="CL122" s="194"/>
      <c r="CM122" s="123"/>
      <c r="CN122" s="195"/>
      <c r="CO122" s="194"/>
      <c r="CP122" s="123"/>
      <c r="CQ122" s="195"/>
      <c r="CR122" s="194"/>
      <c r="CS122" s="123"/>
      <c r="CT122" s="195"/>
      <c r="CU122" s="194"/>
      <c r="CV122" s="123"/>
      <c r="CW122" s="195"/>
      <c r="CX122" s="194"/>
      <c r="CY122" s="123"/>
      <c r="CZ122" s="195"/>
      <c r="DA122" s="194"/>
      <c r="DB122" s="123"/>
      <c r="DC122" s="195"/>
      <c r="DD122" s="194"/>
      <c r="DE122" s="123"/>
      <c r="DF122" s="195"/>
      <c r="DL122" s="105"/>
      <c r="DM122" s="105"/>
      <c r="DN122" s="105"/>
      <c r="DO122" s="105"/>
      <c r="DP122" s="105"/>
      <c r="DQ122" s="105"/>
      <c r="DR122" s="105"/>
      <c r="DS122" s="105"/>
    </row>
    <row r="123" spans="1:124" ht="7.4" customHeight="1" x14ac:dyDescent="0.5">
      <c r="A123" s="42"/>
      <c r="B123" s="42"/>
      <c r="C123" s="311">
        <f>C119+1</f>
        <v>2</v>
      </c>
      <c r="D123" s="311"/>
      <c r="E123" s="41"/>
      <c r="F123" s="42"/>
      <c r="G123" s="319" t="str">
        <f>IF($N$70="Included","AXE_CE_CF_"&amp;$AM$45,"AXE_CE_AP_"&amp;$AM$45)&amp;"_AL"</f>
        <v>AXE_CE_CF_30_AL</v>
      </c>
      <c r="H123" s="319"/>
      <c r="I123" s="319"/>
      <c r="J123" s="319"/>
      <c r="K123" s="319"/>
      <c r="L123" s="319"/>
      <c r="M123" s="319"/>
      <c r="N123" s="319"/>
      <c r="O123" s="319"/>
      <c r="P123" s="319"/>
      <c r="Q123" s="319"/>
      <c r="R123" s="320"/>
      <c r="S123" s="42"/>
      <c r="T123" s="405" t="str">
        <f>VLOOKUP(G123,PL!$B$9:$BH$1265,14,FALSE)</f>
        <v>End Clamp</v>
      </c>
      <c r="U123" s="405"/>
      <c r="V123" s="405"/>
      <c r="W123" s="405"/>
      <c r="X123" s="405"/>
      <c r="Y123" s="405"/>
      <c r="Z123" s="405"/>
      <c r="AA123" s="405"/>
      <c r="AB123" s="405"/>
      <c r="AC123" s="405"/>
      <c r="AD123" s="405"/>
      <c r="AE123" s="405"/>
      <c r="AF123" s="405"/>
      <c r="AG123" s="405"/>
      <c r="AH123" s="405"/>
      <c r="AI123" s="405"/>
      <c r="AJ123" s="411"/>
      <c r="AK123" s="42"/>
      <c r="AL123" s="311">
        <f>ROUND(SUM(BK123:DF123)*(1+$BF$76),0)</f>
        <v>412</v>
      </c>
      <c r="AM123" s="311"/>
      <c r="AN123" s="311"/>
      <c r="AO123" s="311"/>
      <c r="AP123" s="43"/>
      <c r="AQ123" s="111"/>
      <c r="AR123" s="308" t="str">
        <f>VLOOKUP(G123,PL!$B$9:$BH$818,52,FALSE)</f>
        <v>SOL-580301</v>
      </c>
      <c r="AS123" s="309"/>
      <c r="AT123" s="309"/>
      <c r="AU123" s="309"/>
      <c r="AV123" s="309"/>
      <c r="AW123" s="309"/>
      <c r="AX123" s="309"/>
      <c r="AY123" s="309"/>
      <c r="AZ123" s="309"/>
      <c r="BA123" s="309"/>
      <c r="BB123" s="309"/>
      <c r="BC123" s="309"/>
      <c r="BD123" s="309"/>
      <c r="BE123" s="309"/>
      <c r="BF123" s="309"/>
      <c r="BG123" s="309"/>
      <c r="BH123" s="124"/>
      <c r="BI123" s="41"/>
      <c r="BK123" s="412">
        <f>M58*4*M54</f>
        <v>400</v>
      </c>
      <c r="BL123" s="413"/>
      <c r="BM123" s="414"/>
      <c r="BN123" s="412">
        <f>P58*4*P54</f>
        <v>0</v>
      </c>
      <c r="BO123" s="413"/>
      <c r="BP123" s="414"/>
      <c r="BQ123" s="412">
        <f>S58*4*S54</f>
        <v>0</v>
      </c>
      <c r="BR123" s="413"/>
      <c r="BS123" s="414"/>
      <c r="BT123" s="412">
        <f>V58*4*V54</f>
        <v>0</v>
      </c>
      <c r="BU123" s="413"/>
      <c r="BV123" s="414"/>
      <c r="BW123" s="412">
        <f>Y58*4*Y54</f>
        <v>0</v>
      </c>
      <c r="BX123" s="413"/>
      <c r="BY123" s="414"/>
      <c r="BZ123" s="412">
        <f>AB58*4*AB54</f>
        <v>0</v>
      </c>
      <c r="CA123" s="413"/>
      <c r="CB123" s="414"/>
      <c r="CC123" s="412">
        <f>AE58*4*AE54</f>
        <v>0</v>
      </c>
      <c r="CD123" s="413"/>
      <c r="CE123" s="414"/>
      <c r="CF123" s="412">
        <f>AH58*4*AH54</f>
        <v>0</v>
      </c>
      <c r="CG123" s="413"/>
      <c r="CH123" s="414"/>
      <c r="CI123" s="412">
        <f>AK58*4*AK54</f>
        <v>0</v>
      </c>
      <c r="CJ123" s="413"/>
      <c r="CK123" s="414"/>
      <c r="CL123" s="412">
        <f>AN58*4*AN54</f>
        <v>0</v>
      </c>
      <c r="CM123" s="413"/>
      <c r="CN123" s="414"/>
      <c r="CO123" s="412">
        <f>AQ58*4*AQ54</f>
        <v>0</v>
      </c>
      <c r="CP123" s="413"/>
      <c r="CQ123" s="414"/>
      <c r="CR123" s="412">
        <f>AT58*4*AT54</f>
        <v>0</v>
      </c>
      <c r="CS123" s="413"/>
      <c r="CT123" s="414"/>
      <c r="CU123" s="412">
        <f>AW58*4*AW54</f>
        <v>0</v>
      </c>
      <c r="CV123" s="413"/>
      <c r="CW123" s="414"/>
      <c r="CX123" s="412">
        <f>AZ58*4*AZ54</f>
        <v>0</v>
      </c>
      <c r="CY123" s="413"/>
      <c r="CZ123" s="414"/>
      <c r="DA123" s="412">
        <f>BC58*4*BC54</f>
        <v>0</v>
      </c>
      <c r="DB123" s="413"/>
      <c r="DC123" s="414"/>
      <c r="DD123" s="412">
        <f>BF58*4*BF54</f>
        <v>0</v>
      </c>
      <c r="DE123" s="413"/>
      <c r="DF123" s="414"/>
      <c r="DH123" s="311"/>
      <c r="DI123" s="311"/>
      <c r="DJ123" s="311"/>
      <c r="DK123" s="311"/>
      <c r="DL123" s="321"/>
      <c r="DM123" s="321"/>
      <c r="DN123" s="321"/>
      <c r="DO123" s="321"/>
      <c r="DP123" s="321"/>
      <c r="DQ123" s="321"/>
      <c r="DR123" s="321"/>
      <c r="DS123" s="321"/>
    </row>
    <row r="124" spans="1:124" ht="7.4" customHeight="1" x14ac:dyDescent="0.5">
      <c r="A124" s="42"/>
      <c r="B124" s="42"/>
      <c r="C124" s="311"/>
      <c r="D124" s="311"/>
      <c r="E124" s="41"/>
      <c r="F124" s="42"/>
      <c r="G124" s="319"/>
      <c r="H124" s="319"/>
      <c r="I124" s="319"/>
      <c r="J124" s="319"/>
      <c r="K124" s="319"/>
      <c r="L124" s="319"/>
      <c r="M124" s="319"/>
      <c r="N124" s="319"/>
      <c r="O124" s="319"/>
      <c r="P124" s="319"/>
      <c r="Q124" s="319"/>
      <c r="R124" s="320"/>
      <c r="S124" s="42"/>
      <c r="T124" s="405"/>
      <c r="U124" s="405"/>
      <c r="V124" s="405"/>
      <c r="W124" s="405"/>
      <c r="X124" s="405"/>
      <c r="Y124" s="405"/>
      <c r="Z124" s="405"/>
      <c r="AA124" s="405"/>
      <c r="AB124" s="405"/>
      <c r="AC124" s="405"/>
      <c r="AD124" s="405"/>
      <c r="AE124" s="405"/>
      <c r="AF124" s="405"/>
      <c r="AG124" s="405"/>
      <c r="AH124" s="405"/>
      <c r="AI124" s="405"/>
      <c r="AJ124" s="411"/>
      <c r="AK124" s="42"/>
      <c r="AL124" s="311"/>
      <c r="AM124" s="311"/>
      <c r="AN124" s="311"/>
      <c r="AO124" s="311"/>
      <c r="AP124" s="43"/>
      <c r="AQ124" s="111"/>
      <c r="AR124" s="309"/>
      <c r="AS124" s="309"/>
      <c r="AT124" s="309"/>
      <c r="AU124" s="309"/>
      <c r="AV124" s="309"/>
      <c r="AW124" s="309"/>
      <c r="AX124" s="309"/>
      <c r="AY124" s="309"/>
      <c r="AZ124" s="309"/>
      <c r="BA124" s="309"/>
      <c r="BB124" s="309"/>
      <c r="BC124" s="309"/>
      <c r="BD124" s="309"/>
      <c r="BE124" s="309"/>
      <c r="BF124" s="309"/>
      <c r="BG124" s="309"/>
      <c r="BH124" s="124"/>
      <c r="BI124" s="41"/>
      <c r="BK124" s="412"/>
      <c r="BL124" s="413"/>
      <c r="BM124" s="414"/>
      <c r="BN124" s="412"/>
      <c r="BO124" s="413"/>
      <c r="BP124" s="414"/>
      <c r="BQ124" s="412"/>
      <c r="BR124" s="413"/>
      <c r="BS124" s="414"/>
      <c r="BT124" s="412"/>
      <c r="BU124" s="413"/>
      <c r="BV124" s="414"/>
      <c r="BW124" s="412"/>
      <c r="BX124" s="413"/>
      <c r="BY124" s="414"/>
      <c r="BZ124" s="412"/>
      <c r="CA124" s="413"/>
      <c r="CB124" s="414"/>
      <c r="CC124" s="412"/>
      <c r="CD124" s="413"/>
      <c r="CE124" s="414"/>
      <c r="CF124" s="412"/>
      <c r="CG124" s="413"/>
      <c r="CH124" s="414"/>
      <c r="CI124" s="412"/>
      <c r="CJ124" s="413"/>
      <c r="CK124" s="414"/>
      <c r="CL124" s="412"/>
      <c r="CM124" s="413"/>
      <c r="CN124" s="414"/>
      <c r="CO124" s="412"/>
      <c r="CP124" s="413"/>
      <c r="CQ124" s="414"/>
      <c r="CR124" s="412"/>
      <c r="CS124" s="413"/>
      <c r="CT124" s="414"/>
      <c r="CU124" s="412"/>
      <c r="CV124" s="413"/>
      <c r="CW124" s="414"/>
      <c r="CX124" s="412"/>
      <c r="CY124" s="413"/>
      <c r="CZ124" s="414"/>
      <c r="DA124" s="412"/>
      <c r="DB124" s="413"/>
      <c r="DC124" s="414"/>
      <c r="DD124" s="412"/>
      <c r="DE124" s="413"/>
      <c r="DF124" s="414"/>
      <c r="DH124" s="311"/>
      <c r="DI124" s="311"/>
      <c r="DJ124" s="311"/>
      <c r="DK124" s="311"/>
      <c r="DL124" s="321"/>
      <c r="DM124" s="321"/>
      <c r="DN124" s="321"/>
      <c r="DO124" s="321"/>
      <c r="DP124" s="321"/>
      <c r="DQ124" s="321"/>
      <c r="DR124" s="321"/>
      <c r="DS124" s="321"/>
    </row>
    <row r="125" spans="1:124" ht="7.4" customHeight="1" x14ac:dyDescent="0.5">
      <c r="A125" s="42"/>
      <c r="B125" s="42"/>
      <c r="C125" s="55"/>
      <c r="D125" s="55"/>
      <c r="E125" s="41"/>
      <c r="F125" s="42"/>
      <c r="G125" s="56"/>
      <c r="H125" s="56"/>
      <c r="I125" s="56"/>
      <c r="J125" s="56"/>
      <c r="K125" s="56"/>
      <c r="L125" s="56"/>
      <c r="M125" s="56"/>
      <c r="N125" s="56"/>
      <c r="O125" s="56"/>
      <c r="P125" s="56"/>
      <c r="Q125" s="56"/>
      <c r="R125" s="126"/>
      <c r="S125" s="42"/>
      <c r="T125" s="116" t="str">
        <f>VLOOKUP(G123,PL!$B$9:$BH$1265,33,FALSE)</f>
        <v>Aluminium, Click Fix, 30mm high</v>
      </c>
      <c r="AJ125" s="41"/>
      <c r="AK125" s="42"/>
      <c r="AL125" s="311"/>
      <c r="AM125" s="311"/>
      <c r="AN125" s="311"/>
      <c r="AO125" s="311"/>
      <c r="AP125" s="43"/>
      <c r="AQ125" s="42"/>
      <c r="AR125" s="46"/>
      <c r="AS125" s="46"/>
      <c r="AT125" s="46"/>
      <c r="AU125" s="46"/>
      <c r="AV125" s="46"/>
      <c r="AW125" s="46"/>
      <c r="AX125" s="105"/>
      <c r="AY125" s="79"/>
      <c r="AZ125" s="119"/>
      <c r="BA125" s="119"/>
      <c r="BB125" s="119"/>
      <c r="BC125" s="119"/>
      <c r="BD125" s="119"/>
      <c r="BE125" s="119"/>
      <c r="BF125" s="119"/>
      <c r="BG125" s="119"/>
      <c r="BH125" s="124"/>
      <c r="BI125" s="41"/>
      <c r="BK125" s="194"/>
      <c r="BL125" s="123"/>
      <c r="BM125" s="195"/>
      <c r="BN125" s="194"/>
      <c r="BO125" s="123"/>
      <c r="BP125" s="195"/>
      <c r="BQ125" s="194"/>
      <c r="BR125" s="123"/>
      <c r="BS125" s="195"/>
      <c r="BT125" s="194"/>
      <c r="BU125" s="123"/>
      <c r="BV125" s="195"/>
      <c r="BW125" s="194"/>
      <c r="BX125" s="123"/>
      <c r="BY125" s="195"/>
      <c r="BZ125" s="194"/>
      <c r="CA125" s="123"/>
      <c r="CB125" s="195"/>
      <c r="CC125" s="194"/>
      <c r="CD125" s="123"/>
      <c r="CE125" s="195"/>
      <c r="CF125" s="194"/>
      <c r="CG125" s="123"/>
      <c r="CH125" s="195"/>
      <c r="CI125" s="194"/>
      <c r="CJ125" s="123"/>
      <c r="CK125" s="195"/>
      <c r="CL125" s="194"/>
      <c r="CM125" s="123"/>
      <c r="CN125" s="195"/>
      <c r="CO125" s="194"/>
      <c r="CP125" s="123"/>
      <c r="CQ125" s="195"/>
      <c r="CR125" s="194"/>
      <c r="CS125" s="123"/>
      <c r="CT125" s="195"/>
      <c r="CU125" s="194"/>
      <c r="CV125" s="123"/>
      <c r="CW125" s="195"/>
      <c r="CX125" s="194"/>
      <c r="CY125" s="123"/>
      <c r="CZ125" s="195"/>
      <c r="DA125" s="194"/>
      <c r="DB125" s="123"/>
      <c r="DC125" s="195"/>
      <c r="DD125" s="194"/>
      <c r="DE125" s="123"/>
      <c r="DF125" s="195"/>
      <c r="DH125" s="311"/>
      <c r="DI125" s="311"/>
      <c r="DJ125" s="311"/>
      <c r="DK125" s="311"/>
      <c r="DL125" s="321"/>
      <c r="DM125" s="321"/>
      <c r="DN125" s="321"/>
      <c r="DO125" s="321"/>
      <c r="DP125" s="321"/>
      <c r="DQ125" s="321"/>
      <c r="DR125" s="321"/>
      <c r="DS125" s="321"/>
    </row>
    <row r="126" spans="1:124" ht="7.4" customHeight="1" x14ac:dyDescent="0.5">
      <c r="A126" s="42"/>
      <c r="B126" s="42"/>
      <c r="C126" s="55"/>
      <c r="D126" s="55"/>
      <c r="E126" s="41"/>
      <c r="F126" s="42"/>
      <c r="G126" s="56"/>
      <c r="H126" s="56"/>
      <c r="I126" s="56"/>
      <c r="J126" s="56"/>
      <c r="K126" s="56"/>
      <c r="L126" s="56"/>
      <c r="M126" s="56"/>
      <c r="N126" s="56"/>
      <c r="O126" s="56"/>
      <c r="P126" s="56"/>
      <c r="Q126" s="56"/>
      <c r="R126" s="126"/>
      <c r="S126" s="42"/>
      <c r="AJ126" s="41"/>
      <c r="AK126" s="42"/>
      <c r="AL126" s="311"/>
      <c r="AM126" s="311"/>
      <c r="AN126" s="311"/>
      <c r="AO126" s="311"/>
      <c r="AP126" s="43"/>
      <c r="AQ126" s="42"/>
      <c r="AR126" s="46"/>
      <c r="AS126" s="46"/>
      <c r="AT126" s="46"/>
      <c r="AU126" s="46"/>
      <c r="AV126" s="46"/>
      <c r="AW126" s="46"/>
      <c r="AX126" s="105"/>
      <c r="AY126" s="79"/>
      <c r="AZ126" s="119"/>
      <c r="BA126" s="119"/>
      <c r="BB126" s="119"/>
      <c r="BC126" s="119"/>
      <c r="BD126" s="119"/>
      <c r="BE126" s="119"/>
      <c r="BF126" s="119"/>
      <c r="BG126" s="119"/>
      <c r="BH126" s="124"/>
      <c r="BI126" s="41"/>
      <c r="BK126" s="194"/>
      <c r="BL126" s="123"/>
      <c r="BM126" s="195"/>
      <c r="BN126" s="194"/>
      <c r="BO126" s="123"/>
      <c r="BP126" s="195"/>
      <c r="BQ126" s="194"/>
      <c r="BR126" s="123"/>
      <c r="BS126" s="195"/>
      <c r="BT126" s="194"/>
      <c r="BU126" s="123"/>
      <c r="BV126" s="195"/>
      <c r="BW126" s="194"/>
      <c r="BX126" s="123"/>
      <c r="BY126" s="195"/>
      <c r="BZ126" s="194"/>
      <c r="CA126" s="123"/>
      <c r="CB126" s="195"/>
      <c r="CC126" s="194"/>
      <c r="CD126" s="123"/>
      <c r="CE126" s="195"/>
      <c r="CF126" s="194"/>
      <c r="CG126" s="123"/>
      <c r="CH126" s="195"/>
      <c r="CI126" s="194"/>
      <c r="CJ126" s="123"/>
      <c r="CK126" s="195"/>
      <c r="CL126" s="194"/>
      <c r="CM126" s="123"/>
      <c r="CN126" s="195"/>
      <c r="CO126" s="194"/>
      <c r="CP126" s="123"/>
      <c r="CQ126" s="195"/>
      <c r="CR126" s="194"/>
      <c r="CS126" s="123"/>
      <c r="CT126" s="195"/>
      <c r="CU126" s="194"/>
      <c r="CV126" s="123"/>
      <c r="CW126" s="195"/>
      <c r="CX126" s="194"/>
      <c r="CY126" s="123"/>
      <c r="CZ126" s="195"/>
      <c r="DA126" s="194"/>
      <c r="DB126" s="123"/>
      <c r="DC126" s="195"/>
      <c r="DD126" s="194"/>
      <c r="DE126" s="123"/>
      <c r="DF126" s="195"/>
      <c r="DL126" s="105"/>
      <c r="DM126" s="105"/>
      <c r="DN126" s="105"/>
      <c r="DO126" s="105"/>
      <c r="DP126" s="105"/>
      <c r="DQ126" s="105"/>
      <c r="DR126" s="105"/>
      <c r="DS126" s="105"/>
    </row>
    <row r="127" spans="1:124" ht="7.4" customHeight="1" x14ac:dyDescent="0.5">
      <c r="A127" s="42"/>
      <c r="B127" s="42"/>
      <c r="C127" s="311">
        <f>C123+1</f>
        <v>3</v>
      </c>
      <c r="D127" s="311"/>
      <c r="E127" s="41"/>
      <c r="F127" s="42"/>
      <c r="G127" s="319" t="str">
        <f>"AXE_BR_"&amp;IF($AO$35="Corrugated","COR_H",
IF(OR($AO$35="Corrugated (L-bracket)",$AO$35="IBR (L-bracket)"),"L_R",
IF(OR($AO$35="Corrugated (Rib Surface)",$AO$35="IBR (Rib Surface)"),"RS_H",
IF(OR($AO$35="Corrugated (Ridge)",$AO$35="IBR (Ridge)"),"RF_H",
IF($AO$35="IBR","IBR_H",
IF($AO$35="Craft-Lock","CL_H",
IF(OR($AO$35="Klip-Lok",$AO$35="ProLok",$AO$35="Saflok"),"FL_H",
IF($AO$35="Springlok","SL_H",
IF($AO$35="Novotexi","NT_H",
IF(OR($AO$35="Brownbuilt",$AO$35="Dimondek"),"GL_H",
IF(OR($AO$35="Brownbuilt (Pinch)",$AO$35="Dimondek (Pinch)"),"PF_H",
IF(OR($AO$35="Dimondek (Stand Rib)",$AO$35="Zip-Tek"),"SR_H","L_S"))))))))))))&amp;"_AL"</f>
        <v>AXE_BR_IBR_H_AL</v>
      </c>
      <c r="H127" s="319"/>
      <c r="I127" s="319"/>
      <c r="J127" s="319"/>
      <c r="K127" s="319"/>
      <c r="L127" s="319"/>
      <c r="M127" s="319"/>
      <c r="N127" s="319"/>
      <c r="O127" s="319"/>
      <c r="P127" s="319"/>
      <c r="Q127" s="319"/>
      <c r="R127" s="320"/>
      <c r="S127" s="42"/>
      <c r="T127" s="405" t="str">
        <f>VLOOKUP(G127,PL!$B$9:$BH$1265,14,FALSE)</f>
        <v xml:space="preserve">IBR Bracket </v>
      </c>
      <c r="U127" s="405"/>
      <c r="V127" s="405"/>
      <c r="W127" s="405"/>
      <c r="X127" s="405"/>
      <c r="Y127" s="405"/>
      <c r="Z127" s="405"/>
      <c r="AA127" s="405"/>
      <c r="AB127" s="405"/>
      <c r="AC127" s="405"/>
      <c r="AD127" s="405"/>
      <c r="AE127" s="405"/>
      <c r="AF127" s="405"/>
      <c r="AG127" s="405"/>
      <c r="AH127" s="405"/>
      <c r="AI127" s="405"/>
      <c r="AJ127" s="411"/>
      <c r="AK127" s="42"/>
      <c r="AL127" s="311">
        <f>ROUND(SUM(BK127:DF127)*(1+$BF$66),0)</f>
        <v>408</v>
      </c>
      <c r="AM127" s="311"/>
      <c r="AN127" s="311"/>
      <c r="AO127" s="311"/>
      <c r="AP127" s="43"/>
      <c r="AQ127" s="111"/>
      <c r="AR127" s="308" t="str">
        <f>VLOOKUP(G127,PL!$B$9:$BH$818,52,FALSE)</f>
        <v>SOL-59020</v>
      </c>
      <c r="AS127" s="309"/>
      <c r="AT127" s="309"/>
      <c r="AU127" s="309"/>
      <c r="AV127" s="309"/>
      <c r="AW127" s="309"/>
      <c r="AX127" s="309"/>
      <c r="AY127" s="309"/>
      <c r="AZ127" s="309"/>
      <c r="BA127" s="309"/>
      <c r="BB127" s="309"/>
      <c r="BC127" s="309"/>
      <c r="BD127" s="309"/>
      <c r="BE127" s="309"/>
      <c r="BF127" s="309"/>
      <c r="BG127" s="309"/>
      <c r="BH127" s="124"/>
      <c r="BI127" s="41"/>
      <c r="BK127" s="412">
        <f>M58*4*M54</f>
        <v>400</v>
      </c>
      <c r="BL127" s="413"/>
      <c r="BM127" s="414"/>
      <c r="BN127" s="412">
        <f>P58*4*P54</f>
        <v>0</v>
      </c>
      <c r="BO127" s="413"/>
      <c r="BP127" s="414"/>
      <c r="BQ127" s="412">
        <f>S58*4*S54</f>
        <v>0</v>
      </c>
      <c r="BR127" s="413"/>
      <c r="BS127" s="414"/>
      <c r="BT127" s="412">
        <f>V58*4*V54</f>
        <v>0</v>
      </c>
      <c r="BU127" s="413"/>
      <c r="BV127" s="414"/>
      <c r="BW127" s="412">
        <f>Y58*4*Y54</f>
        <v>0</v>
      </c>
      <c r="BX127" s="413"/>
      <c r="BY127" s="414"/>
      <c r="BZ127" s="412">
        <f>AB58*4*AB54</f>
        <v>0</v>
      </c>
      <c r="CA127" s="413"/>
      <c r="CB127" s="414"/>
      <c r="CC127" s="412">
        <f>AE58*4*AE54</f>
        <v>0</v>
      </c>
      <c r="CD127" s="413"/>
      <c r="CE127" s="414"/>
      <c r="CF127" s="412">
        <f>AH58*4*AH54</f>
        <v>0</v>
      </c>
      <c r="CG127" s="413"/>
      <c r="CH127" s="414"/>
      <c r="CI127" s="412">
        <f>AK58*4*AK54</f>
        <v>0</v>
      </c>
      <c r="CJ127" s="413"/>
      <c r="CK127" s="414"/>
      <c r="CL127" s="412">
        <f>AN58*4*AN54</f>
        <v>0</v>
      </c>
      <c r="CM127" s="413"/>
      <c r="CN127" s="414"/>
      <c r="CO127" s="412">
        <f>AQ58*4*AQ54</f>
        <v>0</v>
      </c>
      <c r="CP127" s="413"/>
      <c r="CQ127" s="414"/>
      <c r="CR127" s="412">
        <f>AT58*4*AT54</f>
        <v>0</v>
      </c>
      <c r="CS127" s="413"/>
      <c r="CT127" s="414"/>
      <c r="CU127" s="412">
        <f>AW58*4*AW54</f>
        <v>0</v>
      </c>
      <c r="CV127" s="413"/>
      <c r="CW127" s="414"/>
      <c r="CX127" s="412">
        <f>AZ58*4*AZ54</f>
        <v>0</v>
      </c>
      <c r="CY127" s="413"/>
      <c r="CZ127" s="414"/>
      <c r="DA127" s="412">
        <f>BC58*4*BC54</f>
        <v>0</v>
      </c>
      <c r="DB127" s="413"/>
      <c r="DC127" s="414"/>
      <c r="DD127" s="412">
        <f>BF58*4*BF54</f>
        <v>0</v>
      </c>
      <c r="DE127" s="413"/>
      <c r="DF127" s="414"/>
      <c r="DH127" s="311"/>
      <c r="DI127" s="311"/>
      <c r="DJ127" s="311"/>
      <c r="DK127" s="311"/>
      <c r="DL127" s="321"/>
      <c r="DM127" s="321"/>
      <c r="DN127" s="321"/>
      <c r="DO127" s="321"/>
      <c r="DP127" s="321"/>
      <c r="DQ127" s="321"/>
      <c r="DR127" s="321"/>
      <c r="DS127" s="321"/>
    </row>
    <row r="128" spans="1:124" ht="7.4" customHeight="1" x14ac:dyDescent="0.5">
      <c r="A128" s="42"/>
      <c r="B128" s="42"/>
      <c r="C128" s="311"/>
      <c r="D128" s="311"/>
      <c r="E128" s="41"/>
      <c r="F128" s="42"/>
      <c r="G128" s="319"/>
      <c r="H128" s="319"/>
      <c r="I128" s="319"/>
      <c r="J128" s="319"/>
      <c r="K128" s="319"/>
      <c r="L128" s="319"/>
      <c r="M128" s="319"/>
      <c r="N128" s="319"/>
      <c r="O128" s="319"/>
      <c r="P128" s="319"/>
      <c r="Q128" s="319"/>
      <c r="R128" s="320"/>
      <c r="S128" s="42"/>
      <c r="T128" s="405"/>
      <c r="U128" s="405"/>
      <c r="V128" s="405"/>
      <c r="W128" s="405"/>
      <c r="X128" s="405"/>
      <c r="Y128" s="405"/>
      <c r="Z128" s="405"/>
      <c r="AA128" s="405"/>
      <c r="AB128" s="405"/>
      <c r="AC128" s="405"/>
      <c r="AD128" s="405"/>
      <c r="AE128" s="405"/>
      <c r="AF128" s="405"/>
      <c r="AG128" s="405"/>
      <c r="AH128" s="405"/>
      <c r="AI128" s="405"/>
      <c r="AJ128" s="411"/>
      <c r="AK128" s="42"/>
      <c r="AL128" s="311"/>
      <c r="AM128" s="311"/>
      <c r="AN128" s="311"/>
      <c r="AO128" s="311"/>
      <c r="AP128" s="43"/>
      <c r="AQ128" s="111"/>
      <c r="AR128" s="309"/>
      <c r="AS128" s="309"/>
      <c r="AT128" s="309"/>
      <c r="AU128" s="309"/>
      <c r="AV128" s="309"/>
      <c r="AW128" s="309"/>
      <c r="AX128" s="309"/>
      <c r="AY128" s="309"/>
      <c r="AZ128" s="309"/>
      <c r="BA128" s="309"/>
      <c r="BB128" s="309"/>
      <c r="BC128" s="309"/>
      <c r="BD128" s="309"/>
      <c r="BE128" s="309"/>
      <c r="BF128" s="309"/>
      <c r="BG128" s="309"/>
      <c r="BH128" s="124"/>
      <c r="BI128" s="41"/>
      <c r="BK128" s="412"/>
      <c r="BL128" s="413"/>
      <c r="BM128" s="414"/>
      <c r="BN128" s="412"/>
      <c r="BO128" s="413"/>
      <c r="BP128" s="414"/>
      <c r="BQ128" s="412"/>
      <c r="BR128" s="413"/>
      <c r="BS128" s="414"/>
      <c r="BT128" s="412"/>
      <c r="BU128" s="413"/>
      <c r="BV128" s="414"/>
      <c r="BW128" s="412"/>
      <c r="BX128" s="413"/>
      <c r="BY128" s="414"/>
      <c r="BZ128" s="412"/>
      <c r="CA128" s="413"/>
      <c r="CB128" s="414"/>
      <c r="CC128" s="412"/>
      <c r="CD128" s="413"/>
      <c r="CE128" s="414"/>
      <c r="CF128" s="412"/>
      <c r="CG128" s="413"/>
      <c r="CH128" s="414"/>
      <c r="CI128" s="412"/>
      <c r="CJ128" s="413"/>
      <c r="CK128" s="414"/>
      <c r="CL128" s="412"/>
      <c r="CM128" s="413"/>
      <c r="CN128" s="414"/>
      <c r="CO128" s="412"/>
      <c r="CP128" s="413"/>
      <c r="CQ128" s="414"/>
      <c r="CR128" s="412"/>
      <c r="CS128" s="413"/>
      <c r="CT128" s="414"/>
      <c r="CU128" s="412"/>
      <c r="CV128" s="413"/>
      <c r="CW128" s="414"/>
      <c r="CX128" s="412"/>
      <c r="CY128" s="413"/>
      <c r="CZ128" s="414"/>
      <c r="DA128" s="412"/>
      <c r="DB128" s="413"/>
      <c r="DC128" s="414"/>
      <c r="DD128" s="412"/>
      <c r="DE128" s="413"/>
      <c r="DF128" s="414"/>
      <c r="DH128" s="311"/>
      <c r="DI128" s="311"/>
      <c r="DJ128" s="311"/>
      <c r="DK128" s="311"/>
      <c r="DL128" s="321"/>
      <c r="DM128" s="321"/>
      <c r="DN128" s="321"/>
      <c r="DO128" s="321"/>
      <c r="DP128" s="321"/>
      <c r="DQ128" s="321"/>
      <c r="DR128" s="321"/>
      <c r="DS128" s="321"/>
    </row>
    <row r="129" spans="1:123" ht="7.4" customHeight="1" x14ac:dyDescent="0.5">
      <c r="A129" s="42"/>
      <c r="B129" s="42"/>
      <c r="C129" s="333"/>
      <c r="D129" s="333"/>
      <c r="E129" s="41"/>
      <c r="F129" s="42"/>
      <c r="G129" s="56"/>
      <c r="H129" s="56"/>
      <c r="I129" s="56"/>
      <c r="J129" s="56"/>
      <c r="K129" s="56"/>
      <c r="L129" s="56"/>
      <c r="M129" s="56"/>
      <c r="N129" s="56"/>
      <c r="O129" s="56"/>
      <c r="P129" s="56"/>
      <c r="Q129" s="56"/>
      <c r="R129" s="126"/>
      <c r="S129" s="42"/>
      <c r="T129" s="116" t="str">
        <f>VLOOKUP(G127,PL!$B$9:$BH$1265,33,FALSE)</f>
        <v>Aluminium, Horizontal</v>
      </c>
      <c r="AJ129" s="41"/>
      <c r="AK129" s="42"/>
      <c r="AL129" s="311"/>
      <c r="AM129" s="311"/>
      <c r="AN129" s="311"/>
      <c r="AO129" s="311"/>
      <c r="AP129" s="43"/>
      <c r="AQ129" s="42"/>
      <c r="AR129" s="46"/>
      <c r="AS129" s="46"/>
      <c r="AT129" s="46"/>
      <c r="AU129" s="46"/>
      <c r="AV129" s="46"/>
      <c r="AW129" s="46"/>
      <c r="AX129" s="105"/>
      <c r="AY129" s="79"/>
      <c r="AZ129" s="119"/>
      <c r="BA129" s="119"/>
      <c r="BB129" s="119"/>
      <c r="BC129" s="119"/>
      <c r="BD129" s="119"/>
      <c r="BE129" s="119"/>
      <c r="BF129" s="119"/>
      <c r="BG129" s="119"/>
      <c r="BH129" s="124"/>
      <c r="BI129" s="41"/>
      <c r="BK129" s="194"/>
      <c r="BL129" s="123"/>
      <c r="BM129" s="195"/>
      <c r="BN129" s="194"/>
      <c r="BO129" s="123"/>
      <c r="BP129" s="195"/>
      <c r="BQ129" s="194"/>
      <c r="BR129" s="123"/>
      <c r="BS129" s="195"/>
      <c r="BT129" s="194"/>
      <c r="BU129" s="123"/>
      <c r="BV129" s="195"/>
      <c r="BW129" s="194"/>
      <c r="BX129" s="123"/>
      <c r="BY129" s="195"/>
      <c r="BZ129" s="194"/>
      <c r="CA129" s="123"/>
      <c r="CB129" s="195"/>
      <c r="CC129" s="194"/>
      <c r="CD129" s="123"/>
      <c r="CE129" s="195"/>
      <c r="CF129" s="194"/>
      <c r="CG129" s="123"/>
      <c r="CH129" s="195"/>
      <c r="CI129" s="194"/>
      <c r="CJ129" s="123"/>
      <c r="CK129" s="195"/>
      <c r="CL129" s="194"/>
      <c r="CM129" s="123"/>
      <c r="CN129" s="195"/>
      <c r="CO129" s="194"/>
      <c r="CP129" s="123"/>
      <c r="CQ129" s="195"/>
      <c r="CR129" s="194"/>
      <c r="CS129" s="123"/>
      <c r="CT129" s="195"/>
      <c r="CU129" s="194"/>
      <c r="CV129" s="123"/>
      <c r="CW129" s="195"/>
      <c r="CX129" s="194"/>
      <c r="CY129" s="123"/>
      <c r="CZ129" s="195"/>
      <c r="DA129" s="194"/>
      <c r="DB129" s="123"/>
      <c r="DC129" s="195"/>
      <c r="DD129" s="194"/>
      <c r="DE129" s="123"/>
      <c r="DF129" s="195"/>
      <c r="DH129" s="311"/>
      <c r="DI129" s="311"/>
      <c r="DJ129" s="311"/>
      <c r="DK129" s="311"/>
      <c r="DL129" s="321"/>
      <c r="DM129" s="321"/>
      <c r="DN129" s="321"/>
      <c r="DO129" s="321"/>
      <c r="DP129" s="321"/>
      <c r="DQ129" s="321"/>
      <c r="DR129" s="321"/>
      <c r="DS129" s="321"/>
    </row>
    <row r="130" spans="1:123" ht="7.4" customHeight="1" x14ac:dyDescent="0.5">
      <c r="A130" s="42"/>
      <c r="B130" s="42"/>
      <c r="C130" s="55"/>
      <c r="D130" s="55"/>
      <c r="E130" s="41"/>
      <c r="F130" s="42"/>
      <c r="G130" s="56"/>
      <c r="H130" s="56"/>
      <c r="I130" s="56"/>
      <c r="J130" s="56"/>
      <c r="K130" s="56"/>
      <c r="L130" s="56"/>
      <c r="M130" s="56"/>
      <c r="N130" s="56"/>
      <c r="O130" s="56"/>
      <c r="P130" s="56"/>
      <c r="Q130" s="56"/>
      <c r="R130" s="126"/>
      <c r="S130" s="42"/>
      <c r="AJ130" s="41"/>
      <c r="AK130" s="42"/>
      <c r="AL130" s="311"/>
      <c r="AM130" s="311"/>
      <c r="AN130" s="311"/>
      <c r="AO130" s="311"/>
      <c r="AP130" s="43"/>
      <c r="AQ130" s="42"/>
      <c r="AR130" s="46"/>
      <c r="AS130" s="46"/>
      <c r="AT130" s="46"/>
      <c r="AU130" s="46"/>
      <c r="AV130" s="46"/>
      <c r="AW130" s="46"/>
      <c r="AX130" s="105"/>
      <c r="AY130" s="79"/>
      <c r="AZ130" s="119"/>
      <c r="BA130" s="119"/>
      <c r="BB130" s="119"/>
      <c r="BC130" s="119"/>
      <c r="BD130" s="119"/>
      <c r="BE130" s="119"/>
      <c r="BF130" s="119"/>
      <c r="BG130" s="119"/>
      <c r="BH130" s="124"/>
      <c r="BI130" s="41"/>
      <c r="BK130" s="194"/>
      <c r="BL130" s="123"/>
      <c r="BM130" s="195"/>
      <c r="BN130" s="194"/>
      <c r="BO130" s="123"/>
      <c r="BP130" s="195"/>
      <c r="BQ130" s="194"/>
      <c r="BR130" s="123"/>
      <c r="BS130" s="195"/>
      <c r="BT130" s="194"/>
      <c r="BU130" s="123"/>
      <c r="BV130" s="195"/>
      <c r="BW130" s="194"/>
      <c r="BX130" s="123"/>
      <c r="BY130" s="195"/>
      <c r="BZ130" s="194"/>
      <c r="CA130" s="123"/>
      <c r="CB130" s="195"/>
      <c r="CC130" s="194"/>
      <c r="CD130" s="123"/>
      <c r="CE130" s="195"/>
      <c r="CF130" s="194"/>
      <c r="CG130" s="123"/>
      <c r="CH130" s="195"/>
      <c r="CI130" s="194"/>
      <c r="CJ130" s="123"/>
      <c r="CK130" s="195"/>
      <c r="CL130" s="194"/>
      <c r="CM130" s="123"/>
      <c r="CN130" s="195"/>
      <c r="CO130" s="194"/>
      <c r="CP130" s="123"/>
      <c r="CQ130" s="195"/>
      <c r="CR130" s="194"/>
      <c r="CS130" s="123"/>
      <c r="CT130" s="195"/>
      <c r="CU130" s="194"/>
      <c r="CV130" s="123"/>
      <c r="CW130" s="195"/>
      <c r="CX130" s="194"/>
      <c r="CY130" s="123"/>
      <c r="CZ130" s="195"/>
      <c r="DA130" s="194"/>
      <c r="DB130" s="123"/>
      <c r="DC130" s="195"/>
      <c r="DD130" s="194"/>
      <c r="DE130" s="123"/>
      <c r="DF130" s="195"/>
      <c r="DL130" s="105"/>
      <c r="DM130" s="105"/>
      <c r="DN130" s="105"/>
      <c r="DO130" s="105"/>
      <c r="DP130" s="105"/>
      <c r="DQ130" s="105"/>
      <c r="DR130" s="105"/>
      <c r="DS130" s="105"/>
    </row>
    <row r="131" spans="1:123" ht="7.4" customHeight="1" x14ac:dyDescent="0.5">
      <c r="A131" s="42"/>
      <c r="B131" s="42"/>
      <c r="C131" s="311">
        <f>C127+1</f>
        <v>4</v>
      </c>
      <c r="D131" s="311"/>
      <c r="E131" s="41"/>
      <c r="F131" s="42"/>
      <c r="G131" s="319" t="str">
        <f>IF(AL131=0,"N/A","AXE_BR_L_S"&amp;"_AL")</f>
        <v>AXE_BR_L_S_AL</v>
      </c>
      <c r="H131" s="319"/>
      <c r="I131" s="319"/>
      <c r="J131" s="319"/>
      <c r="K131" s="319"/>
      <c r="L131" s="319"/>
      <c r="M131" s="319"/>
      <c r="N131" s="319"/>
      <c r="O131" s="319"/>
      <c r="P131" s="319"/>
      <c r="Q131" s="319"/>
      <c r="R131" s="320"/>
      <c r="S131" s="42"/>
      <c r="T131" s="405" t="str">
        <f>VLOOKUP(G131,PL!$B$9:$BH$1265,14,FALSE)</f>
        <v>L Bracket</v>
      </c>
      <c r="U131" s="405"/>
      <c r="V131" s="405"/>
      <c r="W131" s="405"/>
      <c r="X131" s="405"/>
      <c r="Y131" s="405"/>
      <c r="Z131" s="405"/>
      <c r="AA131" s="405"/>
      <c r="AB131" s="405"/>
      <c r="AC131" s="405"/>
      <c r="AD131" s="405"/>
      <c r="AE131" s="405"/>
      <c r="AF131" s="405"/>
      <c r="AG131" s="405"/>
      <c r="AH131" s="405"/>
      <c r="AI131" s="405"/>
      <c r="AJ131" s="411"/>
      <c r="AK131" s="42"/>
      <c r="AL131" s="311">
        <f>ROUND(SUM(BK131:DF131)*(1+$BF$66),0)</f>
        <v>408</v>
      </c>
      <c r="AM131" s="311"/>
      <c r="AN131" s="311"/>
      <c r="AO131" s="311"/>
      <c r="AP131" s="43"/>
      <c r="AQ131" s="111"/>
      <c r="AR131" s="308" t="str">
        <f>VLOOKUP(G131,PL!$B$9:$BH$818,52,FALSE)</f>
        <v>SOL-5808</v>
      </c>
      <c r="AS131" s="309"/>
      <c r="AT131" s="309"/>
      <c r="AU131" s="309"/>
      <c r="AV131" s="309"/>
      <c r="AW131" s="309"/>
      <c r="AX131" s="309"/>
      <c r="AY131" s="309"/>
      <c r="AZ131" s="309"/>
      <c r="BA131" s="309"/>
      <c r="BB131" s="309"/>
      <c r="BC131" s="309"/>
      <c r="BD131" s="309"/>
      <c r="BE131" s="309"/>
      <c r="BF131" s="309"/>
      <c r="BG131" s="309"/>
      <c r="BH131" s="124"/>
      <c r="BI131" s="41"/>
      <c r="BK131" s="412">
        <f>IF(MID($G$127,8,1)="L",0,BK127)</f>
        <v>400</v>
      </c>
      <c r="BL131" s="413"/>
      <c r="BM131" s="414"/>
      <c r="BN131" s="412">
        <f t="shared" ref="BN131" si="0">IF(MID($G$127,8,1)="L",0,BN127)</f>
        <v>0</v>
      </c>
      <c r="BO131" s="413"/>
      <c r="BP131" s="414"/>
      <c r="BQ131" s="412">
        <f t="shared" ref="BQ131" si="1">IF(MID($G$127,8,1)="L",0,BQ127)</f>
        <v>0</v>
      </c>
      <c r="BR131" s="413"/>
      <c r="BS131" s="414"/>
      <c r="BT131" s="412">
        <f t="shared" ref="BT131" si="2">IF(MID($G$127,8,1)="L",0,BT127)</f>
        <v>0</v>
      </c>
      <c r="BU131" s="413"/>
      <c r="BV131" s="414"/>
      <c r="BW131" s="412">
        <f t="shared" ref="BW131" si="3">IF(MID($G$127,8,1)="L",0,BW127)</f>
        <v>0</v>
      </c>
      <c r="BX131" s="413"/>
      <c r="BY131" s="414"/>
      <c r="BZ131" s="412">
        <f t="shared" ref="BZ131" si="4">IF(MID($G$127,8,1)="L",0,BZ127)</f>
        <v>0</v>
      </c>
      <c r="CA131" s="413"/>
      <c r="CB131" s="414"/>
      <c r="CC131" s="412">
        <f t="shared" ref="CC131" si="5">IF(MID($G$127,8,1)="L",0,CC127)</f>
        <v>0</v>
      </c>
      <c r="CD131" s="413"/>
      <c r="CE131" s="414"/>
      <c r="CF131" s="412">
        <f t="shared" ref="CF131" si="6">IF(MID($G$127,8,1)="L",0,CF127)</f>
        <v>0</v>
      </c>
      <c r="CG131" s="413"/>
      <c r="CH131" s="414"/>
      <c r="CI131" s="412">
        <f t="shared" ref="CI131" si="7">IF(MID($G$127,8,1)="L",0,CI127)</f>
        <v>0</v>
      </c>
      <c r="CJ131" s="413"/>
      <c r="CK131" s="414"/>
      <c r="CL131" s="412">
        <f t="shared" ref="CL131" si="8">IF(MID($G$127,8,1)="L",0,CL127)</f>
        <v>0</v>
      </c>
      <c r="CM131" s="413"/>
      <c r="CN131" s="414"/>
      <c r="CO131" s="412">
        <f t="shared" ref="CO131" si="9">IF(MID($G$127,8,1)="L",0,CO127)</f>
        <v>0</v>
      </c>
      <c r="CP131" s="413"/>
      <c r="CQ131" s="414"/>
      <c r="CR131" s="412">
        <f t="shared" ref="CR131" si="10">IF(MID($G$127,8,1)="L",0,CR127)</f>
        <v>0</v>
      </c>
      <c r="CS131" s="413"/>
      <c r="CT131" s="414"/>
      <c r="CU131" s="412">
        <f t="shared" ref="CU131" si="11">IF(MID($G$127,8,1)="L",0,CU127)</f>
        <v>0</v>
      </c>
      <c r="CV131" s="413"/>
      <c r="CW131" s="414"/>
      <c r="CX131" s="412">
        <f t="shared" ref="CX131" si="12">IF(MID($G$127,8,1)="L",0,CX127)</f>
        <v>0</v>
      </c>
      <c r="CY131" s="413"/>
      <c r="CZ131" s="414"/>
      <c r="DA131" s="412">
        <f t="shared" ref="DA131" si="13">IF(MID($G$127,8,1)="L",0,DA127)</f>
        <v>0</v>
      </c>
      <c r="DB131" s="413"/>
      <c r="DC131" s="414"/>
      <c r="DD131" s="412">
        <f t="shared" ref="DD131" si="14">IF(MID($G$127,8,1)="L",0,DD127)</f>
        <v>0</v>
      </c>
      <c r="DE131" s="413"/>
      <c r="DF131" s="414"/>
      <c r="DH131" s="311"/>
      <c r="DI131" s="311"/>
      <c r="DJ131" s="311"/>
      <c r="DK131" s="311"/>
      <c r="DL131" s="321"/>
      <c r="DM131" s="321"/>
      <c r="DN131" s="321"/>
      <c r="DO131" s="321"/>
      <c r="DP131" s="321"/>
      <c r="DQ131" s="321"/>
      <c r="DR131" s="321"/>
      <c r="DS131" s="321"/>
    </row>
    <row r="132" spans="1:123" ht="7.4" customHeight="1" x14ac:dyDescent="0.5">
      <c r="A132" s="42"/>
      <c r="B132" s="42"/>
      <c r="C132" s="311"/>
      <c r="D132" s="311"/>
      <c r="E132" s="41"/>
      <c r="F132" s="42"/>
      <c r="G132" s="319"/>
      <c r="H132" s="319"/>
      <c r="I132" s="319"/>
      <c r="J132" s="319"/>
      <c r="K132" s="319"/>
      <c r="L132" s="319"/>
      <c r="M132" s="319"/>
      <c r="N132" s="319"/>
      <c r="O132" s="319"/>
      <c r="P132" s="319"/>
      <c r="Q132" s="319"/>
      <c r="R132" s="320"/>
      <c r="S132" s="42"/>
      <c r="T132" s="405"/>
      <c r="U132" s="405"/>
      <c r="V132" s="405"/>
      <c r="W132" s="405"/>
      <c r="X132" s="405"/>
      <c r="Y132" s="405"/>
      <c r="Z132" s="405"/>
      <c r="AA132" s="405"/>
      <c r="AB132" s="405"/>
      <c r="AC132" s="405"/>
      <c r="AD132" s="405"/>
      <c r="AE132" s="405"/>
      <c r="AF132" s="405"/>
      <c r="AG132" s="405"/>
      <c r="AH132" s="405"/>
      <c r="AI132" s="405"/>
      <c r="AJ132" s="411"/>
      <c r="AK132" s="42"/>
      <c r="AL132" s="311"/>
      <c r="AM132" s="311"/>
      <c r="AN132" s="311"/>
      <c r="AO132" s="311"/>
      <c r="AP132" s="43"/>
      <c r="AQ132" s="111"/>
      <c r="AR132" s="309"/>
      <c r="AS132" s="309"/>
      <c r="AT132" s="309"/>
      <c r="AU132" s="309"/>
      <c r="AV132" s="309"/>
      <c r="AW132" s="309"/>
      <c r="AX132" s="309"/>
      <c r="AY132" s="309"/>
      <c r="AZ132" s="309"/>
      <c r="BA132" s="309"/>
      <c r="BB132" s="309"/>
      <c r="BC132" s="309"/>
      <c r="BD132" s="309"/>
      <c r="BE132" s="309"/>
      <c r="BF132" s="309"/>
      <c r="BG132" s="309"/>
      <c r="BH132" s="124"/>
      <c r="BI132" s="41"/>
      <c r="BK132" s="412"/>
      <c r="BL132" s="413"/>
      <c r="BM132" s="414"/>
      <c r="BN132" s="412"/>
      <c r="BO132" s="413"/>
      <c r="BP132" s="414"/>
      <c r="BQ132" s="412"/>
      <c r="BR132" s="413"/>
      <c r="BS132" s="414"/>
      <c r="BT132" s="412"/>
      <c r="BU132" s="413"/>
      <c r="BV132" s="414"/>
      <c r="BW132" s="412"/>
      <c r="BX132" s="413"/>
      <c r="BY132" s="414"/>
      <c r="BZ132" s="412"/>
      <c r="CA132" s="413"/>
      <c r="CB132" s="414"/>
      <c r="CC132" s="412"/>
      <c r="CD132" s="413"/>
      <c r="CE132" s="414"/>
      <c r="CF132" s="412"/>
      <c r="CG132" s="413"/>
      <c r="CH132" s="414"/>
      <c r="CI132" s="412"/>
      <c r="CJ132" s="413"/>
      <c r="CK132" s="414"/>
      <c r="CL132" s="412"/>
      <c r="CM132" s="413"/>
      <c r="CN132" s="414"/>
      <c r="CO132" s="412"/>
      <c r="CP132" s="413"/>
      <c r="CQ132" s="414"/>
      <c r="CR132" s="412"/>
      <c r="CS132" s="413"/>
      <c r="CT132" s="414"/>
      <c r="CU132" s="412"/>
      <c r="CV132" s="413"/>
      <c r="CW132" s="414"/>
      <c r="CX132" s="412"/>
      <c r="CY132" s="413"/>
      <c r="CZ132" s="414"/>
      <c r="DA132" s="412"/>
      <c r="DB132" s="413"/>
      <c r="DC132" s="414"/>
      <c r="DD132" s="412"/>
      <c r="DE132" s="413"/>
      <c r="DF132" s="414"/>
      <c r="DH132" s="311"/>
      <c r="DI132" s="311"/>
      <c r="DJ132" s="311"/>
      <c r="DK132" s="311"/>
      <c r="DL132" s="321"/>
      <c r="DM132" s="321"/>
      <c r="DN132" s="321"/>
      <c r="DO132" s="321"/>
      <c r="DP132" s="321"/>
      <c r="DQ132" s="321"/>
      <c r="DR132" s="321"/>
      <c r="DS132" s="321"/>
    </row>
    <row r="133" spans="1:123" ht="7.4" customHeight="1" x14ac:dyDescent="0.5">
      <c r="A133" s="42"/>
      <c r="B133" s="42"/>
      <c r="C133" s="333"/>
      <c r="D133" s="333"/>
      <c r="E133" s="41"/>
      <c r="F133" s="42"/>
      <c r="G133" s="56"/>
      <c r="H133" s="56"/>
      <c r="I133" s="56"/>
      <c r="J133" s="56"/>
      <c r="K133" s="56"/>
      <c r="L133" s="56"/>
      <c r="M133" s="56"/>
      <c r="N133" s="56"/>
      <c r="O133" s="56"/>
      <c r="P133" s="56"/>
      <c r="Q133" s="56"/>
      <c r="R133" s="126"/>
      <c r="S133" s="42"/>
      <c r="T133" s="116" t="str">
        <f>VLOOKUP(G131,PL!$B$9:$BH$1265,33,FALSE)</f>
        <v>Aluminium, Slotted</v>
      </c>
      <c r="AJ133" s="41"/>
      <c r="AK133" s="42"/>
      <c r="AL133" s="311"/>
      <c r="AM133" s="311"/>
      <c r="AN133" s="311"/>
      <c r="AO133" s="311"/>
      <c r="AP133" s="43"/>
      <c r="AQ133" s="42"/>
      <c r="AR133" s="46"/>
      <c r="AS133" s="46"/>
      <c r="AT133" s="46"/>
      <c r="AU133" s="46"/>
      <c r="AV133" s="46"/>
      <c r="AW133" s="46"/>
      <c r="AX133" s="105"/>
      <c r="AY133" s="79"/>
      <c r="AZ133" s="119"/>
      <c r="BA133" s="119"/>
      <c r="BB133" s="119"/>
      <c r="BC133" s="119"/>
      <c r="BD133" s="119"/>
      <c r="BE133" s="119"/>
      <c r="BF133" s="119"/>
      <c r="BG133" s="119"/>
      <c r="BH133" s="124"/>
      <c r="BI133" s="41"/>
      <c r="BK133" s="194"/>
      <c r="BL133" s="123"/>
      <c r="BM133" s="195"/>
      <c r="BN133" s="194"/>
      <c r="BO133" s="123"/>
      <c r="BP133" s="195"/>
      <c r="BQ133" s="194"/>
      <c r="BR133" s="123"/>
      <c r="BS133" s="195"/>
      <c r="BT133" s="194"/>
      <c r="BU133" s="123"/>
      <c r="BV133" s="195"/>
      <c r="BW133" s="194"/>
      <c r="BX133" s="123"/>
      <c r="BY133" s="195"/>
      <c r="BZ133" s="194"/>
      <c r="CA133" s="123"/>
      <c r="CB133" s="195"/>
      <c r="CC133" s="194"/>
      <c r="CD133" s="123"/>
      <c r="CE133" s="195"/>
      <c r="CF133" s="194"/>
      <c r="CG133" s="123"/>
      <c r="CH133" s="195"/>
      <c r="CI133" s="194"/>
      <c r="CJ133" s="123"/>
      <c r="CK133" s="195"/>
      <c r="CL133" s="194"/>
      <c r="CM133" s="123"/>
      <c r="CN133" s="195"/>
      <c r="CO133" s="194"/>
      <c r="CP133" s="123"/>
      <c r="CQ133" s="195"/>
      <c r="CR133" s="194"/>
      <c r="CS133" s="123"/>
      <c r="CT133" s="195"/>
      <c r="CU133" s="194"/>
      <c r="CV133" s="123"/>
      <c r="CW133" s="195"/>
      <c r="CX133" s="194"/>
      <c r="CY133" s="123"/>
      <c r="CZ133" s="195"/>
      <c r="DA133" s="194"/>
      <c r="DB133" s="123"/>
      <c r="DC133" s="195"/>
      <c r="DD133" s="194"/>
      <c r="DE133" s="123"/>
      <c r="DF133" s="195"/>
      <c r="DH133" s="311"/>
      <c r="DI133" s="311"/>
      <c r="DJ133" s="311"/>
      <c r="DK133" s="311"/>
      <c r="DL133" s="321"/>
      <c r="DM133" s="321"/>
      <c r="DN133" s="321"/>
      <c r="DO133" s="321"/>
      <c r="DP133" s="321"/>
      <c r="DQ133" s="321"/>
      <c r="DR133" s="321"/>
      <c r="DS133" s="321"/>
    </row>
    <row r="134" spans="1:123" ht="7.4" customHeight="1" x14ac:dyDescent="0.5">
      <c r="A134" s="42"/>
      <c r="B134" s="42"/>
      <c r="C134" s="55"/>
      <c r="D134" s="55"/>
      <c r="E134" s="41"/>
      <c r="F134" s="42"/>
      <c r="G134" s="56"/>
      <c r="H134" s="56"/>
      <c r="I134" s="56"/>
      <c r="J134" s="56"/>
      <c r="K134" s="56"/>
      <c r="L134" s="56"/>
      <c r="M134" s="56"/>
      <c r="N134" s="56"/>
      <c r="O134" s="56"/>
      <c r="P134" s="56"/>
      <c r="Q134" s="56"/>
      <c r="R134" s="126"/>
      <c r="S134" s="42"/>
      <c r="AJ134" s="41"/>
      <c r="AK134" s="42"/>
      <c r="AL134" s="311"/>
      <c r="AM134" s="311"/>
      <c r="AN134" s="311"/>
      <c r="AO134" s="311"/>
      <c r="AP134" s="43"/>
      <c r="AQ134" s="42"/>
      <c r="AR134" s="46"/>
      <c r="AS134" s="46"/>
      <c r="AT134" s="46"/>
      <c r="AU134" s="46"/>
      <c r="AV134" s="46"/>
      <c r="AW134" s="46"/>
      <c r="AX134" s="105"/>
      <c r="AY134" s="79"/>
      <c r="AZ134" s="119"/>
      <c r="BA134" s="119"/>
      <c r="BB134" s="119"/>
      <c r="BC134" s="119"/>
      <c r="BD134" s="119"/>
      <c r="BE134" s="119"/>
      <c r="BF134" s="119"/>
      <c r="BG134" s="119"/>
      <c r="BH134" s="124"/>
      <c r="BI134" s="41"/>
      <c r="BK134" s="194"/>
      <c r="BL134" s="123"/>
      <c r="BM134" s="195"/>
      <c r="BN134" s="194"/>
      <c r="BO134" s="123"/>
      <c r="BP134" s="195"/>
      <c r="BQ134" s="194"/>
      <c r="BR134" s="123"/>
      <c r="BS134" s="195"/>
      <c r="BT134" s="194"/>
      <c r="BU134" s="123"/>
      <c r="BV134" s="195"/>
      <c r="BW134" s="194"/>
      <c r="BX134" s="123"/>
      <c r="BY134" s="195"/>
      <c r="BZ134" s="194"/>
      <c r="CA134" s="123"/>
      <c r="CB134" s="195"/>
      <c r="CC134" s="194"/>
      <c r="CD134" s="123"/>
      <c r="CE134" s="195"/>
      <c r="CF134" s="194"/>
      <c r="CG134" s="123"/>
      <c r="CH134" s="195"/>
      <c r="CI134" s="194"/>
      <c r="CJ134" s="123"/>
      <c r="CK134" s="195"/>
      <c r="CL134" s="194"/>
      <c r="CM134" s="123"/>
      <c r="CN134" s="195"/>
      <c r="CO134" s="194"/>
      <c r="CP134" s="123"/>
      <c r="CQ134" s="195"/>
      <c r="CR134" s="194"/>
      <c r="CS134" s="123"/>
      <c r="CT134" s="195"/>
      <c r="CU134" s="194"/>
      <c r="CV134" s="123"/>
      <c r="CW134" s="195"/>
      <c r="CX134" s="194"/>
      <c r="CY134" s="123"/>
      <c r="CZ134" s="195"/>
      <c r="DA134" s="194"/>
      <c r="DB134" s="123"/>
      <c r="DC134" s="195"/>
      <c r="DD134" s="194"/>
      <c r="DE134" s="123"/>
      <c r="DF134" s="195"/>
      <c r="DL134" s="105"/>
      <c r="DM134" s="105"/>
      <c r="DN134" s="105"/>
      <c r="DO134" s="105"/>
      <c r="DP134" s="105"/>
      <c r="DQ134" s="105"/>
      <c r="DR134" s="105"/>
      <c r="DS134" s="105"/>
    </row>
    <row r="135" spans="1:123" ht="7.4" customHeight="1" x14ac:dyDescent="0.5">
      <c r="A135" s="42"/>
      <c r="B135" s="42"/>
      <c r="C135" s="311">
        <f>C131+1</f>
        <v>5</v>
      </c>
      <c r="D135" s="311"/>
      <c r="E135" s="41"/>
      <c r="F135" s="42"/>
      <c r="G135" s="319" t="str">
        <f>IF(AL135=0,"N/A",IF($N$74="Cables","AXE_RW_L_5_SS",IF($N$74="Gripple","AXE_RW_G_6_"&amp;AF135*1000&amp;"_8_SH","AXE_L_AE_40_40_3_AL")))</f>
        <v>AXE_L_AE_40_40_3_AL</v>
      </c>
      <c r="H135" s="319"/>
      <c r="I135" s="319"/>
      <c r="J135" s="319"/>
      <c r="K135" s="319"/>
      <c r="L135" s="319"/>
      <c r="M135" s="319"/>
      <c r="N135" s="319"/>
      <c r="O135" s="319"/>
      <c r="P135" s="319"/>
      <c r="Q135" s="319"/>
      <c r="R135" s="320"/>
      <c r="S135" s="42"/>
      <c r="T135" s="405" t="str">
        <f>VLOOKUP(G135,PL!$B$9:$BH$1265,14,FALSE)</f>
        <v>Equal Angle</v>
      </c>
      <c r="U135" s="405"/>
      <c r="V135" s="405"/>
      <c r="W135" s="405"/>
      <c r="X135" s="405"/>
      <c r="Y135" s="405"/>
      <c r="Z135" s="405"/>
      <c r="AA135" s="405"/>
      <c r="AB135" s="405"/>
      <c r="AC135" s="405"/>
      <c r="AD135" s="405"/>
      <c r="AE135" s="444" t="s">
        <v>149</v>
      </c>
      <c r="AF135" s="316">
        <f>IF(AL135=0,0,IF($N$74="Angles",2,2.5))</f>
        <v>2</v>
      </c>
      <c r="AG135" s="316"/>
      <c r="AH135" s="316"/>
      <c r="AI135" s="405" t="s">
        <v>150</v>
      </c>
      <c r="AJ135" s="411"/>
      <c r="AK135" s="42"/>
      <c r="AL135" s="311">
        <f>ROUND(SUM(BK135:DF135),0)</f>
        <v>200</v>
      </c>
      <c r="AM135" s="311"/>
      <c r="AN135" s="311"/>
      <c r="AO135" s="311"/>
      <c r="AP135" s="108"/>
      <c r="AQ135" s="111"/>
      <c r="AR135" s="308" t="str">
        <f>VLOOKUP(G135,PL!$B$9:$BH$818,52,FALSE)</f>
        <v>SOL-5955</v>
      </c>
      <c r="AS135" s="309"/>
      <c r="AT135" s="309"/>
      <c r="AU135" s="309"/>
      <c r="AV135" s="309"/>
      <c r="AW135" s="309"/>
      <c r="AX135" s="309"/>
      <c r="AY135" s="309"/>
      <c r="AZ135" s="309"/>
      <c r="BA135" s="309"/>
      <c r="BB135" s="309"/>
      <c r="BC135" s="309"/>
      <c r="BD135" s="309"/>
      <c r="BE135" s="309"/>
      <c r="BF135" s="309"/>
      <c r="BG135" s="309"/>
      <c r="BH135" s="124"/>
      <c r="BI135" s="41"/>
      <c r="BJ135" s="49"/>
      <c r="BK135" s="412">
        <f>IF($N$74="Not Included",0,M54*M58*2)</f>
        <v>200</v>
      </c>
      <c r="BL135" s="413"/>
      <c r="BM135" s="414"/>
      <c r="BN135" s="412">
        <f>IF($N$74="Not Included",0,P54*P58*2)</f>
        <v>0</v>
      </c>
      <c r="BO135" s="413"/>
      <c r="BP135" s="414"/>
      <c r="BQ135" s="412">
        <f>IF($N$74="Not Included",0,S54*S58*2)</f>
        <v>0</v>
      </c>
      <c r="BR135" s="413"/>
      <c r="BS135" s="414"/>
      <c r="BT135" s="412">
        <f>IF($N$74="Not Included",0,V54*V58*2)</f>
        <v>0</v>
      </c>
      <c r="BU135" s="413"/>
      <c r="BV135" s="414"/>
      <c r="BW135" s="412">
        <f>IF($N$74="Not Included",0,Y54*Y58*2)</f>
        <v>0</v>
      </c>
      <c r="BX135" s="413"/>
      <c r="BY135" s="414"/>
      <c r="BZ135" s="412">
        <f>IF($N$74="Not Included",0,AB54*AB58*2)</f>
        <v>0</v>
      </c>
      <c r="CA135" s="413"/>
      <c r="CB135" s="414"/>
      <c r="CC135" s="412">
        <f>IF($N$74="Not Included",0,AE54*AE58*2)</f>
        <v>0</v>
      </c>
      <c r="CD135" s="413"/>
      <c r="CE135" s="414"/>
      <c r="CF135" s="412">
        <f>IF($N$74="Not Included",0,AH54*AH58*2)</f>
        <v>0</v>
      </c>
      <c r="CG135" s="413"/>
      <c r="CH135" s="414"/>
      <c r="CI135" s="412">
        <f>IF($N$74="Not Included",0,AK54*AK58*2)</f>
        <v>0</v>
      </c>
      <c r="CJ135" s="413"/>
      <c r="CK135" s="414"/>
      <c r="CL135" s="412">
        <f>IF($N$74="Not Included",0,AN54*AN58*2)</f>
        <v>0</v>
      </c>
      <c r="CM135" s="413"/>
      <c r="CN135" s="414"/>
      <c r="CO135" s="412">
        <f>IF($N$74="Not Included",0,AQ54*AQ58*2)</f>
        <v>0</v>
      </c>
      <c r="CP135" s="413"/>
      <c r="CQ135" s="414"/>
      <c r="CR135" s="412">
        <f>IF($N$74="Not Included",0,AT54*AT58*2)</f>
        <v>0</v>
      </c>
      <c r="CS135" s="413"/>
      <c r="CT135" s="414"/>
      <c r="CU135" s="412">
        <f>IF($N$74="Not Included",0,AW54*AW58*2)</f>
        <v>0</v>
      </c>
      <c r="CV135" s="413"/>
      <c r="CW135" s="414"/>
      <c r="CX135" s="412">
        <f>IF($N$74="Not Included",0,AZ54*AZ58*2)</f>
        <v>0</v>
      </c>
      <c r="CY135" s="413"/>
      <c r="CZ135" s="414"/>
      <c r="DA135" s="412">
        <f>IF($N$74="Not Included",0,BC54*BC58*2)</f>
        <v>0</v>
      </c>
      <c r="DB135" s="413"/>
      <c r="DC135" s="414"/>
      <c r="DD135" s="412">
        <f>IF($N$74="Not Included",0,BF54*BF58*2)</f>
        <v>0</v>
      </c>
      <c r="DE135" s="413"/>
      <c r="DF135" s="414"/>
      <c r="DH135" s="311"/>
      <c r="DI135" s="311"/>
      <c r="DJ135" s="311"/>
      <c r="DK135" s="311"/>
      <c r="DL135" s="321"/>
      <c r="DM135" s="321"/>
      <c r="DN135" s="321"/>
      <c r="DO135" s="321"/>
      <c r="DP135" s="321"/>
      <c r="DQ135" s="321"/>
      <c r="DR135" s="321"/>
      <c r="DS135" s="321"/>
    </row>
    <row r="136" spans="1:123" ht="7.4" customHeight="1" x14ac:dyDescent="0.5">
      <c r="A136" s="42"/>
      <c r="B136" s="42"/>
      <c r="C136" s="311"/>
      <c r="D136" s="311"/>
      <c r="E136" s="41"/>
      <c r="F136" s="42"/>
      <c r="G136" s="319"/>
      <c r="H136" s="319"/>
      <c r="I136" s="319"/>
      <c r="J136" s="319"/>
      <c r="K136" s="319"/>
      <c r="L136" s="319"/>
      <c r="M136" s="319"/>
      <c r="N136" s="319"/>
      <c r="O136" s="319"/>
      <c r="P136" s="319"/>
      <c r="Q136" s="319"/>
      <c r="R136" s="320"/>
      <c r="S136" s="42"/>
      <c r="T136" s="405"/>
      <c r="U136" s="405"/>
      <c r="V136" s="405"/>
      <c r="W136" s="405"/>
      <c r="X136" s="405"/>
      <c r="Y136" s="405"/>
      <c r="Z136" s="405"/>
      <c r="AA136" s="405"/>
      <c r="AB136" s="405"/>
      <c r="AC136" s="405"/>
      <c r="AD136" s="405"/>
      <c r="AE136" s="444"/>
      <c r="AF136" s="316"/>
      <c r="AG136" s="316"/>
      <c r="AH136" s="316"/>
      <c r="AI136" s="405"/>
      <c r="AJ136" s="411"/>
      <c r="AK136" s="42"/>
      <c r="AL136" s="311"/>
      <c r="AM136" s="311"/>
      <c r="AN136" s="311"/>
      <c r="AO136" s="311"/>
      <c r="AP136" s="108"/>
      <c r="AQ136" s="111"/>
      <c r="AR136" s="309"/>
      <c r="AS136" s="309"/>
      <c r="AT136" s="309"/>
      <c r="AU136" s="309"/>
      <c r="AV136" s="309"/>
      <c r="AW136" s="309"/>
      <c r="AX136" s="309"/>
      <c r="AY136" s="309"/>
      <c r="AZ136" s="309"/>
      <c r="BA136" s="309"/>
      <c r="BB136" s="309"/>
      <c r="BC136" s="309"/>
      <c r="BD136" s="309"/>
      <c r="BE136" s="309"/>
      <c r="BF136" s="309"/>
      <c r="BG136" s="309"/>
      <c r="BH136" s="124"/>
      <c r="BI136" s="41"/>
      <c r="BJ136" s="49"/>
      <c r="BK136" s="412"/>
      <c r="BL136" s="413"/>
      <c r="BM136" s="414"/>
      <c r="BN136" s="412"/>
      <c r="BO136" s="413"/>
      <c r="BP136" s="414"/>
      <c r="BQ136" s="412"/>
      <c r="BR136" s="413"/>
      <c r="BS136" s="414"/>
      <c r="BT136" s="412"/>
      <c r="BU136" s="413"/>
      <c r="BV136" s="414"/>
      <c r="BW136" s="412"/>
      <c r="BX136" s="413"/>
      <c r="BY136" s="414"/>
      <c r="BZ136" s="412"/>
      <c r="CA136" s="413"/>
      <c r="CB136" s="414"/>
      <c r="CC136" s="412"/>
      <c r="CD136" s="413"/>
      <c r="CE136" s="414"/>
      <c r="CF136" s="412"/>
      <c r="CG136" s="413"/>
      <c r="CH136" s="414"/>
      <c r="CI136" s="412"/>
      <c r="CJ136" s="413"/>
      <c r="CK136" s="414"/>
      <c r="CL136" s="412"/>
      <c r="CM136" s="413"/>
      <c r="CN136" s="414"/>
      <c r="CO136" s="412"/>
      <c r="CP136" s="413"/>
      <c r="CQ136" s="414"/>
      <c r="CR136" s="412"/>
      <c r="CS136" s="413"/>
      <c r="CT136" s="414"/>
      <c r="CU136" s="412"/>
      <c r="CV136" s="413"/>
      <c r="CW136" s="414"/>
      <c r="CX136" s="412"/>
      <c r="CY136" s="413"/>
      <c r="CZ136" s="414"/>
      <c r="DA136" s="412"/>
      <c r="DB136" s="413"/>
      <c r="DC136" s="414"/>
      <c r="DD136" s="412"/>
      <c r="DE136" s="413"/>
      <c r="DF136" s="414"/>
      <c r="DH136" s="311"/>
      <c r="DI136" s="311"/>
      <c r="DJ136" s="311"/>
      <c r="DK136" s="311"/>
      <c r="DL136" s="321"/>
      <c r="DM136" s="321"/>
      <c r="DN136" s="321"/>
      <c r="DO136" s="321"/>
      <c r="DP136" s="321"/>
      <c r="DQ136" s="321"/>
      <c r="DR136" s="321"/>
      <c r="DS136" s="321"/>
    </row>
    <row r="137" spans="1:123" ht="7.4" customHeight="1" x14ac:dyDescent="0.5">
      <c r="A137" s="42"/>
      <c r="B137" s="42"/>
      <c r="C137" s="55"/>
      <c r="D137" s="55"/>
      <c r="E137" s="41"/>
      <c r="F137" s="42"/>
      <c r="G137" s="56"/>
      <c r="H137" s="56"/>
      <c r="I137" s="56"/>
      <c r="J137" s="56"/>
      <c r="K137" s="56"/>
      <c r="L137" s="56"/>
      <c r="M137" s="56"/>
      <c r="N137" s="56"/>
      <c r="O137" s="56"/>
      <c r="P137" s="56"/>
      <c r="Q137" s="56"/>
      <c r="R137" s="126"/>
      <c r="S137" s="42"/>
      <c r="T137" s="116" t="str">
        <f>VLOOKUP(G135,PL!$B$9:$BH$1265,33,FALSE)</f>
        <v>Aluminium, 40x40x3</v>
      </c>
      <c r="AJ137" s="44"/>
      <c r="AK137" s="42"/>
      <c r="AL137" s="75"/>
      <c r="AM137" s="75"/>
      <c r="AN137" s="75"/>
      <c r="AO137" s="75"/>
      <c r="AP137" s="75"/>
      <c r="AQ137" s="42"/>
      <c r="AR137" s="274"/>
      <c r="AS137" s="274"/>
      <c r="AT137" s="274"/>
      <c r="AU137" s="274"/>
      <c r="AV137" s="274"/>
      <c r="AW137" s="274"/>
      <c r="AX137" s="79"/>
      <c r="AZ137" s="119"/>
      <c r="BA137" s="119"/>
      <c r="BB137" s="119"/>
      <c r="BC137" s="119"/>
      <c r="BD137" s="119"/>
      <c r="BE137" s="119"/>
      <c r="BF137" s="119"/>
      <c r="BH137" s="124"/>
      <c r="BI137" s="41"/>
      <c r="BK137" s="194"/>
      <c r="BL137" s="123"/>
      <c r="BM137" s="195"/>
      <c r="BN137" s="194"/>
      <c r="BO137" s="123"/>
      <c r="BP137" s="195"/>
      <c r="BQ137" s="194"/>
      <c r="BR137" s="123"/>
      <c r="BS137" s="195"/>
      <c r="BT137" s="194"/>
      <c r="BU137" s="123"/>
      <c r="BV137" s="195"/>
      <c r="BW137" s="194"/>
      <c r="BX137" s="123"/>
      <c r="BY137" s="195"/>
      <c r="BZ137" s="194"/>
      <c r="CA137" s="123"/>
      <c r="CB137" s="195"/>
      <c r="CC137" s="194"/>
      <c r="CD137" s="123"/>
      <c r="CE137" s="195"/>
      <c r="CF137" s="194"/>
      <c r="CG137" s="123"/>
      <c r="CH137" s="195"/>
      <c r="CI137" s="194"/>
      <c r="CJ137" s="123"/>
      <c r="CK137" s="195"/>
      <c r="CL137" s="194"/>
      <c r="CM137" s="123"/>
      <c r="CN137" s="195"/>
      <c r="CO137" s="194"/>
      <c r="CP137" s="123"/>
      <c r="CQ137" s="195"/>
      <c r="CR137" s="194"/>
      <c r="CS137" s="123"/>
      <c r="CT137" s="195"/>
      <c r="CU137" s="194"/>
      <c r="CV137" s="123"/>
      <c r="CW137" s="195"/>
      <c r="CX137" s="194"/>
      <c r="CY137" s="123"/>
      <c r="CZ137" s="195"/>
      <c r="DA137" s="194"/>
      <c r="DB137" s="123"/>
      <c r="DC137" s="195"/>
      <c r="DD137" s="194"/>
      <c r="DE137" s="123"/>
      <c r="DF137" s="195"/>
      <c r="DH137" s="311"/>
      <c r="DI137" s="311"/>
      <c r="DJ137" s="311"/>
      <c r="DK137" s="311"/>
      <c r="DL137" s="321"/>
      <c r="DM137" s="321"/>
      <c r="DN137" s="321"/>
      <c r="DO137" s="321"/>
      <c r="DP137" s="321"/>
      <c r="DQ137" s="321"/>
      <c r="DR137" s="321"/>
      <c r="DS137" s="321"/>
    </row>
    <row r="138" spans="1:123" ht="7.4" customHeight="1" x14ac:dyDescent="0.5">
      <c r="A138" s="42"/>
      <c r="B138" s="42"/>
      <c r="C138" s="55"/>
      <c r="D138" s="55"/>
      <c r="E138" s="41"/>
      <c r="F138" s="42"/>
      <c r="G138" s="56"/>
      <c r="H138" s="56"/>
      <c r="I138" s="56"/>
      <c r="J138" s="56"/>
      <c r="K138" s="56"/>
      <c r="L138" s="56"/>
      <c r="M138" s="56"/>
      <c r="N138" s="56"/>
      <c r="O138" s="56"/>
      <c r="P138" s="56"/>
      <c r="Q138" s="56"/>
      <c r="R138" s="126"/>
      <c r="S138" s="42"/>
      <c r="AJ138" s="41"/>
      <c r="AK138" s="42"/>
      <c r="AL138" s="311"/>
      <c r="AM138" s="311"/>
      <c r="AN138" s="311"/>
      <c r="AO138" s="311"/>
      <c r="AP138" s="43"/>
      <c r="AQ138" s="42"/>
      <c r="AR138" s="119"/>
      <c r="AS138" s="119"/>
      <c r="AT138" s="119"/>
      <c r="AU138" s="119"/>
      <c r="AV138" s="119"/>
      <c r="AW138" s="119"/>
      <c r="AX138" s="105"/>
      <c r="AZ138" s="119"/>
      <c r="BA138" s="119"/>
      <c r="BB138" s="119"/>
      <c r="BC138" s="119"/>
      <c r="BD138" s="119"/>
      <c r="BE138" s="119"/>
      <c r="BF138" s="119"/>
      <c r="BG138" s="119"/>
      <c r="BH138" s="124"/>
      <c r="BI138" s="41"/>
      <c r="BK138" s="194"/>
      <c r="BL138" s="123"/>
      <c r="BM138" s="195"/>
      <c r="BN138" s="194"/>
      <c r="BO138" s="123"/>
      <c r="BP138" s="195"/>
      <c r="BQ138" s="194"/>
      <c r="BR138" s="123"/>
      <c r="BS138" s="195"/>
      <c r="BT138" s="194"/>
      <c r="BU138" s="123"/>
      <c r="BV138" s="195"/>
      <c r="BW138" s="194"/>
      <c r="BX138" s="123"/>
      <c r="BY138" s="195"/>
      <c r="BZ138" s="194"/>
      <c r="CA138" s="123"/>
      <c r="CB138" s="195"/>
      <c r="CC138" s="194"/>
      <c r="CD138" s="123"/>
      <c r="CE138" s="195"/>
      <c r="CF138" s="194"/>
      <c r="CG138" s="123"/>
      <c r="CH138" s="195"/>
      <c r="CI138" s="194"/>
      <c r="CJ138" s="123"/>
      <c r="CK138" s="195"/>
      <c r="CL138" s="194"/>
      <c r="CM138" s="123"/>
      <c r="CN138" s="195"/>
      <c r="CO138" s="194"/>
      <c r="CP138" s="123"/>
      <c r="CQ138" s="195"/>
      <c r="CR138" s="194"/>
      <c r="CS138" s="123"/>
      <c r="CT138" s="195"/>
      <c r="CU138" s="194"/>
      <c r="CV138" s="123"/>
      <c r="CW138" s="195"/>
      <c r="CX138" s="194"/>
      <c r="CY138" s="123"/>
      <c r="CZ138" s="195"/>
      <c r="DA138" s="194"/>
      <c r="DB138" s="123"/>
      <c r="DC138" s="195"/>
      <c r="DD138" s="194"/>
      <c r="DE138" s="123"/>
      <c r="DF138" s="195"/>
      <c r="DL138" s="105"/>
      <c r="DM138" s="105"/>
      <c r="DN138" s="105"/>
      <c r="DO138" s="105"/>
      <c r="DP138" s="105"/>
      <c r="DQ138" s="105"/>
      <c r="DR138" s="105"/>
      <c r="DS138" s="105"/>
    </row>
    <row r="139" spans="1:123" ht="7.4" customHeight="1" x14ac:dyDescent="0.5">
      <c r="A139" s="42"/>
      <c r="B139" s="42"/>
      <c r="C139" s="311">
        <f>C135+1</f>
        <v>6</v>
      </c>
      <c r="D139" s="311"/>
      <c r="E139" s="41"/>
      <c r="F139" s="42"/>
      <c r="G139" s="319" t="str">
        <f>IF(AL139=0,"N/A","AXE_CC_SS")</f>
        <v>N/A</v>
      </c>
      <c r="H139" s="319"/>
      <c r="I139" s="319"/>
      <c r="J139" s="319"/>
      <c r="K139" s="319"/>
      <c r="L139" s="319"/>
      <c r="M139" s="319"/>
      <c r="N139" s="319"/>
      <c r="O139" s="319"/>
      <c r="P139" s="319"/>
      <c r="Q139" s="319"/>
      <c r="R139" s="320"/>
      <c r="S139" s="42"/>
      <c r="T139" s="405" t="str">
        <f>VLOOKUP(G139,PL!$B$9:$BH$1265,14,FALSE)</f>
        <v>No Item</v>
      </c>
      <c r="U139" s="405"/>
      <c r="V139" s="405"/>
      <c r="W139" s="405"/>
      <c r="X139" s="405"/>
      <c r="Y139" s="405"/>
      <c r="Z139" s="405"/>
      <c r="AA139" s="405"/>
      <c r="AB139" s="405"/>
      <c r="AC139" s="405"/>
      <c r="AD139" s="405"/>
      <c r="AE139" s="405"/>
      <c r="AF139" s="405"/>
      <c r="AG139" s="405"/>
      <c r="AH139" s="405"/>
      <c r="AI139" s="405"/>
      <c r="AJ139" s="411"/>
      <c r="AK139" s="42"/>
      <c r="AL139" s="311">
        <f>ROUND(SUM(BK139:DF139)*(1+$BF$66),0)</f>
        <v>0</v>
      </c>
      <c r="AM139" s="311"/>
      <c r="AN139" s="311"/>
      <c r="AO139" s="311"/>
      <c r="AP139" s="43"/>
      <c r="AQ139" s="111"/>
      <c r="AR139" s="308" t="str">
        <f>VLOOKUP(G139,PL!$B$9:$BH$818,52,FALSE)</f>
        <v>-</v>
      </c>
      <c r="AS139" s="309"/>
      <c r="AT139" s="309"/>
      <c r="AU139" s="309"/>
      <c r="AV139" s="309"/>
      <c r="AW139" s="309"/>
      <c r="AX139" s="309"/>
      <c r="AY139" s="309"/>
      <c r="AZ139" s="309"/>
      <c r="BA139" s="309"/>
      <c r="BB139" s="309"/>
      <c r="BC139" s="309"/>
      <c r="BD139" s="309"/>
      <c r="BE139" s="309"/>
      <c r="BF139" s="309"/>
      <c r="BG139" s="309"/>
      <c r="BH139" s="124"/>
      <c r="BI139" s="41"/>
      <c r="BK139" s="412">
        <f>IF($N$66="Included",1,0)*M58*M54</f>
        <v>0</v>
      </c>
      <c r="BL139" s="413"/>
      <c r="BM139" s="414"/>
      <c r="BN139" s="412">
        <f>IF($N$66="Included",1,0)*P58*P54</f>
        <v>0</v>
      </c>
      <c r="BO139" s="413"/>
      <c r="BP139" s="414"/>
      <c r="BQ139" s="412">
        <f>IF($N$66="Included",1,0)*S58*S54</f>
        <v>0</v>
      </c>
      <c r="BR139" s="413"/>
      <c r="BS139" s="414"/>
      <c r="BT139" s="412">
        <f>IF($N$66="Included",1,0)*V58*V54</f>
        <v>0</v>
      </c>
      <c r="BU139" s="413"/>
      <c r="BV139" s="414"/>
      <c r="BW139" s="412">
        <f>IF($N$66="Included",1,0)*Y58*Y54</f>
        <v>0</v>
      </c>
      <c r="BX139" s="413"/>
      <c r="BY139" s="414"/>
      <c r="BZ139" s="412">
        <f>IF($N$66="Included",1,0)*AB58*AB54</f>
        <v>0</v>
      </c>
      <c r="CA139" s="413"/>
      <c r="CB139" s="414"/>
      <c r="CC139" s="412">
        <f>IF($N$66="Included",1,0)*AE58*AE54</f>
        <v>0</v>
      </c>
      <c r="CD139" s="413"/>
      <c r="CE139" s="414"/>
      <c r="CF139" s="412">
        <f>IF($N$66="Included",1,0)*AH58*AH54</f>
        <v>0</v>
      </c>
      <c r="CG139" s="413"/>
      <c r="CH139" s="414"/>
      <c r="CI139" s="412">
        <f>IF($N$66="Included",1,0)*AK58*AK54</f>
        <v>0</v>
      </c>
      <c r="CJ139" s="413"/>
      <c r="CK139" s="414"/>
      <c r="CL139" s="412">
        <f>IF($N$66="Included",1,0)*AN58*AN54</f>
        <v>0</v>
      </c>
      <c r="CM139" s="413"/>
      <c r="CN139" s="414"/>
      <c r="CO139" s="412">
        <f>IF($N$66="Included",1,0)*AQ58*AQ54</f>
        <v>0</v>
      </c>
      <c r="CP139" s="413"/>
      <c r="CQ139" s="414"/>
      <c r="CR139" s="412">
        <f>IF($N$66="Included",1,0)*AT58*AT54</f>
        <v>0</v>
      </c>
      <c r="CS139" s="413"/>
      <c r="CT139" s="414"/>
      <c r="CU139" s="412">
        <f>IF($N$66="Included",1,0)*AW58*AW54</f>
        <v>0</v>
      </c>
      <c r="CV139" s="413"/>
      <c r="CW139" s="414"/>
      <c r="CX139" s="412">
        <f>IF($N$66="Included",1,0)*AZ58*AZ54</f>
        <v>0</v>
      </c>
      <c r="CY139" s="413"/>
      <c r="CZ139" s="414"/>
      <c r="DA139" s="412">
        <f>IF($N$66="Included",1,0)*BC58*BC54</f>
        <v>0</v>
      </c>
      <c r="DB139" s="413"/>
      <c r="DC139" s="414"/>
      <c r="DD139" s="412">
        <f>IF($N$66="Included",1,0)*BF58*BF54</f>
        <v>0</v>
      </c>
      <c r="DE139" s="413"/>
      <c r="DF139" s="414"/>
      <c r="DH139" s="311"/>
      <c r="DI139" s="311"/>
      <c r="DJ139" s="311"/>
      <c r="DK139" s="311"/>
      <c r="DL139" s="321"/>
      <c r="DM139" s="321"/>
      <c r="DN139" s="321"/>
      <c r="DO139" s="321"/>
      <c r="DP139" s="321"/>
      <c r="DQ139" s="321"/>
      <c r="DR139" s="321"/>
      <c r="DS139" s="321"/>
    </row>
    <row r="140" spans="1:123" ht="7.4" customHeight="1" x14ac:dyDescent="0.5">
      <c r="A140" s="42"/>
      <c r="B140" s="42"/>
      <c r="C140" s="311"/>
      <c r="D140" s="311"/>
      <c r="E140" s="41"/>
      <c r="F140" s="42"/>
      <c r="G140" s="319"/>
      <c r="H140" s="319"/>
      <c r="I140" s="319"/>
      <c r="J140" s="319"/>
      <c r="K140" s="319"/>
      <c r="L140" s="319"/>
      <c r="M140" s="319"/>
      <c r="N140" s="319"/>
      <c r="O140" s="319"/>
      <c r="P140" s="319"/>
      <c r="Q140" s="319"/>
      <c r="R140" s="320"/>
      <c r="S140" s="42"/>
      <c r="T140" s="405"/>
      <c r="U140" s="405"/>
      <c r="V140" s="405"/>
      <c r="W140" s="405"/>
      <c r="X140" s="405"/>
      <c r="Y140" s="405"/>
      <c r="Z140" s="405"/>
      <c r="AA140" s="405"/>
      <c r="AB140" s="405"/>
      <c r="AC140" s="405"/>
      <c r="AD140" s="405"/>
      <c r="AE140" s="405"/>
      <c r="AF140" s="405"/>
      <c r="AG140" s="405"/>
      <c r="AH140" s="405"/>
      <c r="AI140" s="405"/>
      <c r="AJ140" s="411"/>
      <c r="AK140" s="42"/>
      <c r="AL140" s="311"/>
      <c r="AM140" s="311"/>
      <c r="AN140" s="311"/>
      <c r="AO140" s="311"/>
      <c r="AP140" s="43"/>
      <c r="AQ140" s="111"/>
      <c r="AR140" s="309"/>
      <c r="AS140" s="309"/>
      <c r="AT140" s="309"/>
      <c r="AU140" s="309"/>
      <c r="AV140" s="309"/>
      <c r="AW140" s="309"/>
      <c r="AX140" s="309"/>
      <c r="AY140" s="309"/>
      <c r="AZ140" s="309"/>
      <c r="BA140" s="309"/>
      <c r="BB140" s="309"/>
      <c r="BC140" s="309"/>
      <c r="BD140" s="309"/>
      <c r="BE140" s="309"/>
      <c r="BF140" s="309"/>
      <c r="BG140" s="309"/>
      <c r="BH140" s="124"/>
      <c r="BI140" s="41"/>
      <c r="BK140" s="412"/>
      <c r="BL140" s="413"/>
      <c r="BM140" s="414"/>
      <c r="BN140" s="412"/>
      <c r="BO140" s="413"/>
      <c r="BP140" s="414"/>
      <c r="BQ140" s="412"/>
      <c r="BR140" s="413"/>
      <c r="BS140" s="414"/>
      <c r="BT140" s="412"/>
      <c r="BU140" s="413"/>
      <c r="BV140" s="414"/>
      <c r="BW140" s="412"/>
      <c r="BX140" s="413"/>
      <c r="BY140" s="414"/>
      <c r="BZ140" s="412"/>
      <c r="CA140" s="413"/>
      <c r="CB140" s="414"/>
      <c r="CC140" s="412"/>
      <c r="CD140" s="413"/>
      <c r="CE140" s="414"/>
      <c r="CF140" s="412"/>
      <c r="CG140" s="413"/>
      <c r="CH140" s="414"/>
      <c r="CI140" s="412"/>
      <c r="CJ140" s="413"/>
      <c r="CK140" s="414"/>
      <c r="CL140" s="412"/>
      <c r="CM140" s="413"/>
      <c r="CN140" s="414"/>
      <c r="CO140" s="412"/>
      <c r="CP140" s="413"/>
      <c r="CQ140" s="414"/>
      <c r="CR140" s="412"/>
      <c r="CS140" s="413"/>
      <c r="CT140" s="414"/>
      <c r="CU140" s="412"/>
      <c r="CV140" s="413"/>
      <c r="CW140" s="414"/>
      <c r="CX140" s="412"/>
      <c r="CY140" s="413"/>
      <c r="CZ140" s="414"/>
      <c r="DA140" s="412"/>
      <c r="DB140" s="413"/>
      <c r="DC140" s="414"/>
      <c r="DD140" s="412"/>
      <c r="DE140" s="413"/>
      <c r="DF140" s="414"/>
      <c r="DH140" s="311"/>
      <c r="DI140" s="311"/>
      <c r="DJ140" s="311"/>
      <c r="DK140" s="311"/>
      <c r="DL140" s="321"/>
      <c r="DM140" s="321"/>
      <c r="DN140" s="321"/>
      <c r="DO140" s="321"/>
      <c r="DP140" s="321"/>
      <c r="DQ140" s="321"/>
      <c r="DR140" s="321"/>
      <c r="DS140" s="321"/>
    </row>
    <row r="141" spans="1:123" ht="7.4" customHeight="1" x14ac:dyDescent="0.5">
      <c r="A141" s="42"/>
      <c r="B141" s="42"/>
      <c r="C141" s="333"/>
      <c r="D141" s="333"/>
      <c r="E141" s="41"/>
      <c r="F141" s="42"/>
      <c r="G141" s="56"/>
      <c r="H141" s="56"/>
      <c r="I141" s="56"/>
      <c r="J141" s="56"/>
      <c r="K141" s="56"/>
      <c r="L141" s="56"/>
      <c r="M141" s="56"/>
      <c r="N141" s="56"/>
      <c r="O141" s="56"/>
      <c r="P141" s="56"/>
      <c r="Q141" s="56"/>
      <c r="R141" s="126"/>
      <c r="S141" s="42"/>
      <c r="T141" s="116" t="str">
        <f>VLOOKUP(G139,PL!$B$9:$BH$1265,33,FALSE)</f>
        <v>.</v>
      </c>
      <c r="AJ141" s="41"/>
      <c r="AK141" s="42"/>
      <c r="AL141" s="311"/>
      <c r="AM141" s="311"/>
      <c r="AN141" s="311"/>
      <c r="AO141" s="311"/>
      <c r="AP141" s="43"/>
      <c r="AQ141" s="42"/>
      <c r="AR141" s="46"/>
      <c r="AS141" s="46"/>
      <c r="AT141" s="46"/>
      <c r="AU141" s="46"/>
      <c r="AV141" s="46"/>
      <c r="AW141" s="46"/>
      <c r="AX141" s="105"/>
      <c r="AY141" s="79"/>
      <c r="AZ141" s="119"/>
      <c r="BA141" s="119"/>
      <c r="BB141" s="119"/>
      <c r="BC141" s="119"/>
      <c r="BD141" s="119"/>
      <c r="BE141" s="119"/>
      <c r="BF141" s="119"/>
      <c r="BG141" s="119"/>
      <c r="BH141" s="124"/>
      <c r="BI141" s="41"/>
      <c r="BK141" s="194"/>
      <c r="BL141" s="123"/>
      <c r="BM141" s="195"/>
      <c r="BN141" s="194"/>
      <c r="BO141" s="123"/>
      <c r="BP141" s="195"/>
      <c r="BQ141" s="194"/>
      <c r="BR141" s="123"/>
      <c r="BS141" s="195"/>
      <c r="BT141" s="194"/>
      <c r="BU141" s="123"/>
      <c r="BV141" s="195"/>
      <c r="BW141" s="194"/>
      <c r="BX141" s="123"/>
      <c r="BY141" s="195"/>
      <c r="BZ141" s="194"/>
      <c r="CA141" s="123"/>
      <c r="CB141" s="195"/>
      <c r="CC141" s="194"/>
      <c r="CD141" s="123"/>
      <c r="CE141" s="195"/>
      <c r="CF141" s="194"/>
      <c r="CG141" s="123"/>
      <c r="CH141" s="195"/>
      <c r="CI141" s="194"/>
      <c r="CJ141" s="123"/>
      <c r="CK141" s="195"/>
      <c r="CL141" s="194"/>
      <c r="CM141" s="123"/>
      <c r="CN141" s="195"/>
      <c r="CO141" s="194"/>
      <c r="CP141" s="123"/>
      <c r="CQ141" s="195"/>
      <c r="CR141" s="194"/>
      <c r="CS141" s="123"/>
      <c r="CT141" s="195"/>
      <c r="CU141" s="194"/>
      <c r="CV141" s="123"/>
      <c r="CW141" s="195"/>
      <c r="CX141" s="194"/>
      <c r="CY141" s="123"/>
      <c r="CZ141" s="195"/>
      <c r="DA141" s="194"/>
      <c r="DB141" s="123"/>
      <c r="DC141" s="195"/>
      <c r="DD141" s="194"/>
      <c r="DE141" s="123"/>
      <c r="DF141" s="195"/>
      <c r="DH141" s="311"/>
      <c r="DI141" s="311"/>
      <c r="DJ141" s="311"/>
      <c r="DK141" s="311"/>
      <c r="DL141" s="321"/>
      <c r="DM141" s="321"/>
      <c r="DN141" s="321"/>
      <c r="DO141" s="321"/>
      <c r="DP141" s="321"/>
      <c r="DQ141" s="321"/>
      <c r="DR141" s="321"/>
      <c r="DS141" s="321"/>
    </row>
    <row r="142" spans="1:123" ht="7.4" customHeight="1" x14ac:dyDescent="0.5">
      <c r="A142" s="42"/>
      <c r="B142" s="42"/>
      <c r="C142" s="55"/>
      <c r="D142" s="55"/>
      <c r="E142" s="41"/>
      <c r="F142" s="42"/>
      <c r="G142" s="56"/>
      <c r="H142" s="56"/>
      <c r="I142" s="56"/>
      <c r="J142" s="56"/>
      <c r="K142" s="56"/>
      <c r="L142" s="56"/>
      <c r="M142" s="56"/>
      <c r="N142" s="56"/>
      <c r="O142" s="56"/>
      <c r="P142" s="56"/>
      <c r="Q142" s="56"/>
      <c r="R142" s="126"/>
      <c r="S142" s="42"/>
      <c r="AJ142" s="41"/>
      <c r="AK142" s="42"/>
      <c r="AL142" s="311"/>
      <c r="AM142" s="311"/>
      <c r="AN142" s="311"/>
      <c r="AO142" s="311"/>
      <c r="AP142" s="43"/>
      <c r="AQ142" s="42"/>
      <c r="AR142" s="46"/>
      <c r="AS142" s="46"/>
      <c r="AT142" s="46"/>
      <c r="AU142" s="46"/>
      <c r="AV142" s="46"/>
      <c r="AW142" s="46"/>
      <c r="AX142" s="105"/>
      <c r="AY142" s="79"/>
      <c r="AZ142" s="119"/>
      <c r="BA142" s="119"/>
      <c r="BB142" s="119"/>
      <c r="BC142" s="119"/>
      <c r="BD142" s="119"/>
      <c r="BE142" s="119"/>
      <c r="BF142" s="119"/>
      <c r="BG142" s="119"/>
      <c r="BH142" s="124"/>
      <c r="BI142" s="41"/>
      <c r="BK142" s="194"/>
      <c r="BL142" s="123"/>
      <c r="BM142" s="195"/>
      <c r="BN142" s="194"/>
      <c r="BO142" s="123"/>
      <c r="BP142" s="195"/>
      <c r="BQ142" s="194"/>
      <c r="BR142" s="123"/>
      <c r="BS142" s="195"/>
      <c r="BT142" s="194"/>
      <c r="BU142" s="123"/>
      <c r="BV142" s="195"/>
      <c r="BW142" s="194"/>
      <c r="BX142" s="123"/>
      <c r="BY142" s="195"/>
      <c r="BZ142" s="194"/>
      <c r="CA142" s="123"/>
      <c r="CB142" s="195"/>
      <c r="CC142" s="194"/>
      <c r="CD142" s="123"/>
      <c r="CE142" s="195"/>
      <c r="CF142" s="194"/>
      <c r="CG142" s="123"/>
      <c r="CH142" s="195"/>
      <c r="CI142" s="194"/>
      <c r="CJ142" s="123"/>
      <c r="CK142" s="195"/>
      <c r="CL142" s="194"/>
      <c r="CM142" s="123"/>
      <c r="CN142" s="195"/>
      <c r="CO142" s="194"/>
      <c r="CP142" s="123"/>
      <c r="CQ142" s="195"/>
      <c r="CR142" s="194"/>
      <c r="CS142" s="123"/>
      <c r="CT142" s="195"/>
      <c r="CU142" s="194"/>
      <c r="CV142" s="123"/>
      <c r="CW142" s="195"/>
      <c r="CX142" s="194"/>
      <c r="CY142" s="123"/>
      <c r="CZ142" s="195"/>
      <c r="DA142" s="194"/>
      <c r="DB142" s="123"/>
      <c r="DC142" s="195"/>
      <c r="DD142" s="194"/>
      <c r="DE142" s="123"/>
      <c r="DF142" s="195"/>
      <c r="DL142" s="105"/>
      <c r="DM142" s="105"/>
      <c r="DN142" s="105"/>
      <c r="DO142" s="105"/>
      <c r="DP142" s="105"/>
      <c r="DQ142" s="105"/>
      <c r="DR142" s="105"/>
      <c r="DS142" s="105"/>
    </row>
    <row r="143" spans="1:123" ht="7.4" customHeight="1" x14ac:dyDescent="0.5">
      <c r="A143" s="42"/>
      <c r="B143" s="42"/>
      <c r="C143" s="311">
        <f>C139+1</f>
        <v>7</v>
      </c>
      <c r="D143" s="311"/>
      <c r="E143" s="41"/>
      <c r="F143" s="42"/>
      <c r="G143" s="319" t="str">
        <f>IF(AL143=0,"N/A","AXE_CS_8_20"&amp;"_SS")</f>
        <v>N/A</v>
      </c>
      <c r="H143" s="319"/>
      <c r="I143" s="319"/>
      <c r="J143" s="319"/>
      <c r="K143" s="319"/>
      <c r="L143" s="319"/>
      <c r="M143" s="319"/>
      <c r="N143" s="319"/>
      <c r="O143" s="319"/>
      <c r="P143" s="319"/>
      <c r="Q143" s="319"/>
      <c r="R143" s="320"/>
      <c r="S143" s="42"/>
      <c r="T143" s="405" t="str">
        <f>VLOOKUP(G143,PL!$B$9:$BH$1265,14,FALSE)</f>
        <v>No Item</v>
      </c>
      <c r="U143" s="405"/>
      <c r="V143" s="405"/>
      <c r="W143" s="405"/>
      <c r="X143" s="405"/>
      <c r="Y143" s="405"/>
      <c r="Z143" s="405"/>
      <c r="AA143" s="405"/>
      <c r="AB143" s="405"/>
      <c r="AC143" s="405"/>
      <c r="AD143" s="405"/>
      <c r="AE143" s="405"/>
      <c r="AF143" s="405"/>
      <c r="AG143" s="405"/>
      <c r="AH143" s="405"/>
      <c r="AI143" s="405"/>
      <c r="AJ143" s="411"/>
      <c r="AK143" s="42"/>
      <c r="AL143" s="311">
        <f>ROUND(SUM(BK143:DF143)*(1+$BF$72),0)</f>
        <v>0</v>
      </c>
      <c r="AM143" s="311"/>
      <c r="AN143" s="311"/>
      <c r="AO143" s="311"/>
      <c r="AP143" s="43"/>
      <c r="AQ143" s="111"/>
      <c r="AR143" s="308" t="str">
        <f>VLOOKUP(G143,PL!$B$9:$BH$818,52,FALSE)</f>
        <v>-</v>
      </c>
      <c r="AS143" s="309"/>
      <c r="AT143" s="309"/>
      <c r="AU143" s="309"/>
      <c r="AV143" s="309"/>
      <c r="AW143" s="309"/>
      <c r="AX143" s="309"/>
      <c r="AY143" s="309"/>
      <c r="AZ143" s="309"/>
      <c r="BA143" s="309"/>
      <c r="BB143" s="309"/>
      <c r="BC143" s="309"/>
      <c r="BD143" s="309"/>
      <c r="BE143" s="309"/>
      <c r="BF143" s="309"/>
      <c r="BG143" s="309"/>
      <c r="BH143" s="124"/>
      <c r="BI143" s="41"/>
      <c r="BK143" s="412">
        <f>IF(OR(MID($G$127,8,2)="PF",MID($G$127,8,2)="RS",MID($G$127,8,2)="RF"),BK131,0)</f>
        <v>0</v>
      </c>
      <c r="BL143" s="413"/>
      <c r="BM143" s="414"/>
      <c r="BN143" s="412">
        <f t="shared" ref="BN143" si="15">IF(OR(MID($G$127,8,2)="PF",MID($G$127,8,2)="RS",MID($G$127,8,2)="RF"),BN131,0)</f>
        <v>0</v>
      </c>
      <c r="BO143" s="413"/>
      <c r="BP143" s="414"/>
      <c r="BQ143" s="412">
        <f t="shared" ref="BQ143" si="16">IF(OR(MID($G$127,8,2)="PF",MID($G$127,8,2)="RS",MID($G$127,8,2)="RF"),BQ131,0)</f>
        <v>0</v>
      </c>
      <c r="BR143" s="413"/>
      <c r="BS143" s="414"/>
      <c r="BT143" s="412">
        <f t="shared" ref="BT143" si="17">IF(OR(MID($G$127,8,2)="PF",MID($G$127,8,2)="RS",MID($G$127,8,2)="RF"),BT131,0)</f>
        <v>0</v>
      </c>
      <c r="BU143" s="413"/>
      <c r="BV143" s="414"/>
      <c r="BW143" s="412">
        <f t="shared" ref="BW143" si="18">IF(OR(MID($G$127,8,2)="PF",MID($G$127,8,2)="RS",MID($G$127,8,2)="RF"),BW131,0)</f>
        <v>0</v>
      </c>
      <c r="BX143" s="413"/>
      <c r="BY143" s="414"/>
      <c r="BZ143" s="412">
        <f t="shared" ref="BZ143" si="19">IF(OR(MID($G$127,8,2)="PF",MID($G$127,8,2)="RS",MID($G$127,8,2)="RF"),BZ131,0)</f>
        <v>0</v>
      </c>
      <c r="CA143" s="413"/>
      <c r="CB143" s="414"/>
      <c r="CC143" s="412">
        <f t="shared" ref="CC143" si="20">IF(OR(MID($G$127,8,2)="PF",MID($G$127,8,2)="RS",MID($G$127,8,2)="RF"),CC131,0)</f>
        <v>0</v>
      </c>
      <c r="CD143" s="413"/>
      <c r="CE143" s="414"/>
      <c r="CF143" s="412">
        <f t="shared" ref="CF143" si="21">IF(OR(MID($G$127,8,2)="PF",MID($G$127,8,2)="RS",MID($G$127,8,2)="RF"),CF131,0)</f>
        <v>0</v>
      </c>
      <c r="CG143" s="413"/>
      <c r="CH143" s="414"/>
      <c r="CI143" s="412">
        <f t="shared" ref="CI143" si="22">IF(OR(MID($G$127,8,2)="PF",MID($G$127,8,2)="RS",MID($G$127,8,2)="RF"),CI131,0)</f>
        <v>0</v>
      </c>
      <c r="CJ143" s="413"/>
      <c r="CK143" s="414"/>
      <c r="CL143" s="412">
        <f t="shared" ref="CL143" si="23">IF(OR(MID($G$127,8,2)="PF",MID($G$127,8,2)="RS",MID($G$127,8,2)="RF"),CL131,0)</f>
        <v>0</v>
      </c>
      <c r="CM143" s="413"/>
      <c r="CN143" s="414"/>
      <c r="CO143" s="412">
        <f t="shared" ref="CO143" si="24">IF(OR(MID($G$127,8,2)="PF",MID($G$127,8,2)="RS",MID($G$127,8,2)="RF"),CO131,0)</f>
        <v>0</v>
      </c>
      <c r="CP143" s="413"/>
      <c r="CQ143" s="414"/>
      <c r="CR143" s="412">
        <f t="shared" ref="CR143" si="25">IF(OR(MID($G$127,8,2)="PF",MID($G$127,8,2)="RS",MID($G$127,8,2)="RF"),CR131,0)</f>
        <v>0</v>
      </c>
      <c r="CS143" s="413"/>
      <c r="CT143" s="414"/>
      <c r="CU143" s="412">
        <f t="shared" ref="CU143" si="26">IF(OR(MID($G$127,8,2)="PF",MID($G$127,8,2)="RS",MID($G$127,8,2)="RF"),CU131,0)</f>
        <v>0</v>
      </c>
      <c r="CV143" s="413"/>
      <c r="CW143" s="414"/>
      <c r="CX143" s="412">
        <f t="shared" ref="CX143" si="27">IF(OR(MID($G$127,8,2)="PF",MID($G$127,8,2)="RS",MID($G$127,8,2)="RF"),CX131,0)</f>
        <v>0</v>
      </c>
      <c r="CY143" s="413"/>
      <c r="CZ143" s="414"/>
      <c r="DA143" s="412">
        <f t="shared" ref="DA143" si="28">IF(OR(MID($G$127,8,2)="PF",MID($G$127,8,2)="RS",MID($G$127,8,2)="RF"),DA131,0)</f>
        <v>0</v>
      </c>
      <c r="DB143" s="413"/>
      <c r="DC143" s="414"/>
      <c r="DD143" s="412">
        <f t="shared" ref="DD143" si="29">IF(OR(MID($G$127,8,2)="PF",MID($G$127,8,2)="RS",MID($G$127,8,2)="RF"),DD131,0)</f>
        <v>0</v>
      </c>
      <c r="DE143" s="413"/>
      <c r="DF143" s="414"/>
      <c r="DH143" s="311"/>
      <c r="DI143" s="311"/>
      <c r="DJ143" s="311"/>
      <c r="DK143" s="311"/>
      <c r="DL143" s="321"/>
      <c r="DM143" s="321"/>
      <c r="DN143" s="321"/>
      <c r="DO143" s="321"/>
      <c r="DP143" s="321"/>
      <c r="DQ143" s="321"/>
      <c r="DR143" s="321"/>
      <c r="DS143" s="321"/>
    </row>
    <row r="144" spans="1:123" ht="7.4" customHeight="1" x14ac:dyDescent="0.5">
      <c r="A144" s="42"/>
      <c r="B144" s="42"/>
      <c r="C144" s="311"/>
      <c r="D144" s="311"/>
      <c r="E144" s="41"/>
      <c r="F144" s="42"/>
      <c r="G144" s="319"/>
      <c r="H144" s="319"/>
      <c r="I144" s="319"/>
      <c r="J144" s="319"/>
      <c r="K144" s="319"/>
      <c r="L144" s="319"/>
      <c r="M144" s="319"/>
      <c r="N144" s="319"/>
      <c r="O144" s="319"/>
      <c r="P144" s="319"/>
      <c r="Q144" s="319"/>
      <c r="R144" s="320"/>
      <c r="S144" s="42"/>
      <c r="T144" s="405"/>
      <c r="U144" s="405"/>
      <c r="V144" s="405"/>
      <c r="W144" s="405"/>
      <c r="X144" s="405"/>
      <c r="Y144" s="405"/>
      <c r="Z144" s="405"/>
      <c r="AA144" s="405"/>
      <c r="AB144" s="405"/>
      <c r="AC144" s="405"/>
      <c r="AD144" s="405"/>
      <c r="AE144" s="405"/>
      <c r="AF144" s="405"/>
      <c r="AG144" s="405"/>
      <c r="AH144" s="405"/>
      <c r="AI144" s="405"/>
      <c r="AJ144" s="411"/>
      <c r="AK144" s="42"/>
      <c r="AL144" s="311"/>
      <c r="AM144" s="311"/>
      <c r="AN144" s="311"/>
      <c r="AO144" s="311"/>
      <c r="AP144" s="43"/>
      <c r="AQ144" s="111"/>
      <c r="AR144" s="309"/>
      <c r="AS144" s="309"/>
      <c r="AT144" s="309"/>
      <c r="AU144" s="309"/>
      <c r="AV144" s="309"/>
      <c r="AW144" s="309"/>
      <c r="AX144" s="309"/>
      <c r="AY144" s="309"/>
      <c r="AZ144" s="309"/>
      <c r="BA144" s="309"/>
      <c r="BB144" s="309"/>
      <c r="BC144" s="309"/>
      <c r="BD144" s="309"/>
      <c r="BE144" s="309"/>
      <c r="BF144" s="309"/>
      <c r="BG144" s="309"/>
      <c r="BH144" s="124"/>
      <c r="BI144" s="41"/>
      <c r="BK144" s="412"/>
      <c r="BL144" s="413"/>
      <c r="BM144" s="414"/>
      <c r="BN144" s="412"/>
      <c r="BO144" s="413"/>
      <c r="BP144" s="414"/>
      <c r="BQ144" s="412"/>
      <c r="BR144" s="413"/>
      <c r="BS144" s="414"/>
      <c r="BT144" s="412"/>
      <c r="BU144" s="413"/>
      <c r="BV144" s="414"/>
      <c r="BW144" s="412"/>
      <c r="BX144" s="413"/>
      <c r="BY144" s="414"/>
      <c r="BZ144" s="412"/>
      <c r="CA144" s="413"/>
      <c r="CB144" s="414"/>
      <c r="CC144" s="412"/>
      <c r="CD144" s="413"/>
      <c r="CE144" s="414"/>
      <c r="CF144" s="412"/>
      <c r="CG144" s="413"/>
      <c r="CH144" s="414"/>
      <c r="CI144" s="412"/>
      <c r="CJ144" s="413"/>
      <c r="CK144" s="414"/>
      <c r="CL144" s="412"/>
      <c r="CM144" s="413"/>
      <c r="CN144" s="414"/>
      <c r="CO144" s="412"/>
      <c r="CP144" s="413"/>
      <c r="CQ144" s="414"/>
      <c r="CR144" s="412"/>
      <c r="CS144" s="413"/>
      <c r="CT144" s="414"/>
      <c r="CU144" s="412"/>
      <c r="CV144" s="413"/>
      <c r="CW144" s="414"/>
      <c r="CX144" s="412"/>
      <c r="CY144" s="413"/>
      <c r="CZ144" s="414"/>
      <c r="DA144" s="412"/>
      <c r="DB144" s="413"/>
      <c r="DC144" s="414"/>
      <c r="DD144" s="412"/>
      <c r="DE144" s="413"/>
      <c r="DF144" s="414"/>
      <c r="DH144" s="311"/>
      <c r="DI144" s="311"/>
      <c r="DJ144" s="311"/>
      <c r="DK144" s="311"/>
      <c r="DL144" s="321"/>
      <c r="DM144" s="321"/>
      <c r="DN144" s="321"/>
      <c r="DO144" s="321"/>
      <c r="DP144" s="321"/>
      <c r="DQ144" s="321"/>
      <c r="DR144" s="321"/>
      <c r="DS144" s="321"/>
    </row>
    <row r="145" spans="1:123" ht="7.4" customHeight="1" x14ac:dyDescent="0.5">
      <c r="A145" s="42"/>
      <c r="B145" s="42"/>
      <c r="C145" s="333"/>
      <c r="D145" s="333"/>
      <c r="E145" s="41"/>
      <c r="F145" s="42"/>
      <c r="G145" s="56"/>
      <c r="H145" s="56"/>
      <c r="I145" s="56"/>
      <c r="J145" s="56"/>
      <c r="K145" s="56"/>
      <c r="L145" s="56"/>
      <c r="M145" s="56"/>
      <c r="N145" s="56"/>
      <c r="O145" s="56"/>
      <c r="P145" s="56"/>
      <c r="Q145" s="56"/>
      <c r="R145" s="126"/>
      <c r="S145" s="42"/>
      <c r="T145" s="116" t="str">
        <f>VLOOKUP(G143,PL!$B$9:$BH$1265,33,FALSE)</f>
        <v>.</v>
      </c>
      <c r="AJ145" s="41"/>
      <c r="AK145" s="42"/>
      <c r="AL145" s="311"/>
      <c r="AM145" s="311"/>
      <c r="AN145" s="311"/>
      <c r="AO145" s="311"/>
      <c r="AP145" s="43"/>
      <c r="AQ145" s="42"/>
      <c r="AR145" s="46"/>
      <c r="AS145" s="46"/>
      <c r="AT145" s="46"/>
      <c r="AU145" s="46"/>
      <c r="AV145" s="46"/>
      <c r="AW145" s="46"/>
      <c r="AX145" s="105"/>
      <c r="AY145" s="79"/>
      <c r="AZ145" s="119"/>
      <c r="BA145" s="119"/>
      <c r="BB145" s="119"/>
      <c r="BC145" s="119"/>
      <c r="BD145" s="119"/>
      <c r="BE145" s="119"/>
      <c r="BF145" s="119"/>
      <c r="BG145" s="119"/>
      <c r="BH145" s="124"/>
      <c r="BI145" s="41"/>
      <c r="BK145" s="194"/>
      <c r="BL145" s="123"/>
      <c r="BM145" s="195"/>
      <c r="BN145" s="194"/>
      <c r="BO145" s="123"/>
      <c r="BP145" s="195"/>
      <c r="BQ145" s="194"/>
      <c r="BR145" s="123"/>
      <c r="BS145" s="195"/>
      <c r="BT145" s="194"/>
      <c r="BU145" s="123"/>
      <c r="BV145" s="195"/>
      <c r="BW145" s="194"/>
      <c r="BX145" s="123"/>
      <c r="BY145" s="195"/>
      <c r="BZ145" s="194"/>
      <c r="CA145" s="123"/>
      <c r="CB145" s="195"/>
      <c r="CC145" s="194"/>
      <c r="CD145" s="123"/>
      <c r="CE145" s="195"/>
      <c r="CF145" s="194"/>
      <c r="CG145" s="123"/>
      <c r="CH145" s="195"/>
      <c r="CI145" s="194"/>
      <c r="CJ145" s="123"/>
      <c r="CK145" s="195"/>
      <c r="CL145" s="194"/>
      <c r="CM145" s="123"/>
      <c r="CN145" s="195"/>
      <c r="CO145" s="194"/>
      <c r="CP145" s="123"/>
      <c r="CQ145" s="195"/>
      <c r="CR145" s="194"/>
      <c r="CS145" s="123"/>
      <c r="CT145" s="195"/>
      <c r="CU145" s="194"/>
      <c r="CV145" s="123"/>
      <c r="CW145" s="195"/>
      <c r="CX145" s="194"/>
      <c r="CY145" s="123"/>
      <c r="CZ145" s="195"/>
      <c r="DA145" s="194"/>
      <c r="DB145" s="123"/>
      <c r="DC145" s="195"/>
      <c r="DD145" s="194"/>
      <c r="DE145" s="123"/>
      <c r="DF145" s="195"/>
      <c r="DH145" s="311"/>
      <c r="DI145" s="311"/>
      <c r="DJ145" s="311"/>
      <c r="DK145" s="311"/>
      <c r="DL145" s="321"/>
      <c r="DM145" s="321"/>
      <c r="DN145" s="321"/>
      <c r="DO145" s="321"/>
      <c r="DP145" s="321"/>
      <c r="DQ145" s="321"/>
      <c r="DR145" s="321"/>
      <c r="DS145" s="321"/>
    </row>
    <row r="146" spans="1:123" ht="7.4" customHeight="1" x14ac:dyDescent="0.5">
      <c r="A146" s="42"/>
      <c r="B146" s="42"/>
      <c r="C146" s="333"/>
      <c r="D146" s="333"/>
      <c r="E146" s="41"/>
      <c r="F146" s="42"/>
      <c r="G146" s="56"/>
      <c r="H146" s="56"/>
      <c r="I146" s="56"/>
      <c r="J146" s="56"/>
      <c r="K146" s="56"/>
      <c r="L146" s="56"/>
      <c r="M146" s="56"/>
      <c r="N146" s="56"/>
      <c r="O146" s="56"/>
      <c r="P146" s="56"/>
      <c r="Q146" s="56"/>
      <c r="R146" s="126"/>
      <c r="S146" s="42"/>
      <c r="AJ146" s="41"/>
      <c r="AK146" s="42"/>
      <c r="AL146" s="311"/>
      <c r="AM146" s="311"/>
      <c r="AN146" s="311"/>
      <c r="AO146" s="311"/>
      <c r="AP146" s="43"/>
      <c r="AQ146" s="42"/>
      <c r="AR146" s="46"/>
      <c r="AS146" s="46"/>
      <c r="AT146" s="46"/>
      <c r="AU146" s="46"/>
      <c r="AV146" s="46"/>
      <c r="AW146" s="46"/>
      <c r="AX146" s="105"/>
      <c r="AY146" s="79"/>
      <c r="AZ146" s="119"/>
      <c r="BA146" s="119"/>
      <c r="BB146" s="119"/>
      <c r="BC146" s="119"/>
      <c r="BD146" s="119"/>
      <c r="BE146" s="119"/>
      <c r="BF146" s="119"/>
      <c r="BG146" s="119"/>
      <c r="BH146" s="124"/>
      <c r="BI146" s="41"/>
      <c r="BK146" s="194"/>
      <c r="BL146" s="123"/>
      <c r="BM146" s="195"/>
      <c r="BN146" s="194"/>
      <c r="BO146" s="123"/>
      <c r="BP146" s="195"/>
      <c r="BQ146" s="194"/>
      <c r="BR146" s="123"/>
      <c r="BS146" s="195"/>
      <c r="BT146" s="194"/>
      <c r="BU146" s="123"/>
      <c r="BV146" s="195"/>
      <c r="BW146" s="194"/>
      <c r="BX146" s="123"/>
      <c r="BY146" s="195"/>
      <c r="BZ146" s="194"/>
      <c r="CA146" s="123"/>
      <c r="CB146" s="195"/>
      <c r="CC146" s="194"/>
      <c r="CD146" s="123"/>
      <c r="CE146" s="195"/>
      <c r="CF146" s="194"/>
      <c r="CG146" s="123"/>
      <c r="CH146" s="195"/>
      <c r="CI146" s="194"/>
      <c r="CJ146" s="123"/>
      <c r="CK146" s="195"/>
      <c r="CL146" s="194"/>
      <c r="CM146" s="123"/>
      <c r="CN146" s="195"/>
      <c r="CO146" s="194"/>
      <c r="CP146" s="123"/>
      <c r="CQ146" s="195"/>
      <c r="CR146" s="194"/>
      <c r="CS146" s="123"/>
      <c r="CT146" s="195"/>
      <c r="CU146" s="194"/>
      <c r="CV146" s="123"/>
      <c r="CW146" s="195"/>
      <c r="CX146" s="194"/>
      <c r="CY146" s="123"/>
      <c r="CZ146" s="195"/>
      <c r="DA146" s="194"/>
      <c r="DB146" s="123"/>
      <c r="DC146" s="195"/>
      <c r="DD146" s="194"/>
      <c r="DE146" s="123"/>
      <c r="DF146" s="195"/>
      <c r="DH146" s="311"/>
      <c r="DI146" s="311"/>
      <c r="DJ146" s="311"/>
      <c r="DK146" s="311"/>
      <c r="DL146" s="321"/>
      <c r="DM146" s="321"/>
      <c r="DN146" s="321"/>
      <c r="DO146" s="321"/>
      <c r="DP146" s="321"/>
      <c r="DQ146" s="321"/>
      <c r="DR146" s="321"/>
      <c r="DS146" s="321"/>
    </row>
    <row r="147" spans="1:123" ht="7.4" customHeight="1" x14ac:dyDescent="0.5">
      <c r="A147" s="42"/>
      <c r="B147" s="42"/>
      <c r="C147" s="311">
        <f>C143+1</f>
        <v>8</v>
      </c>
      <c r="D147" s="311"/>
      <c r="E147" s="41"/>
      <c r="F147" s="42"/>
      <c r="G147" s="319" t="str">
        <f>IF(AL147=0,"N/A","AXE_CS_8_25"&amp;"_SS")</f>
        <v>AXE_CS_8_25_SS</v>
      </c>
      <c r="H147" s="319"/>
      <c r="I147" s="319"/>
      <c r="J147" s="319"/>
      <c r="K147" s="319"/>
      <c r="L147" s="319"/>
      <c r="M147" s="319"/>
      <c r="N147" s="319"/>
      <c r="O147" s="319"/>
      <c r="P147" s="319"/>
      <c r="Q147" s="319"/>
      <c r="R147" s="320"/>
      <c r="S147" s="42"/>
      <c r="T147" s="405" t="str">
        <f>VLOOKUP(G147,PL!$B$9:$BH$1265,14,FALSE)</f>
        <v>Cap Screws Hexagon</v>
      </c>
      <c r="U147" s="405"/>
      <c r="V147" s="405"/>
      <c r="W147" s="405"/>
      <c r="X147" s="405"/>
      <c r="Y147" s="405"/>
      <c r="Z147" s="405"/>
      <c r="AA147" s="405"/>
      <c r="AB147" s="405"/>
      <c r="AC147" s="405"/>
      <c r="AD147" s="405"/>
      <c r="AE147" s="405"/>
      <c r="AF147" s="405"/>
      <c r="AG147" s="405"/>
      <c r="AH147" s="405"/>
      <c r="AI147" s="405"/>
      <c r="AJ147" s="411"/>
      <c r="AK147" s="42"/>
      <c r="AL147" s="311">
        <f>ROUND(SUM(BK147:DF147)*(1+$BF$72),0)</f>
        <v>832</v>
      </c>
      <c r="AM147" s="311"/>
      <c r="AN147" s="311"/>
      <c r="AO147" s="311"/>
      <c r="AP147" s="43"/>
      <c r="AQ147" s="111"/>
      <c r="AR147" s="308" t="str">
        <f>VLOOKUP(G147,PL!$B$9:$BH$818,52,FALSE)</f>
        <v>SOL-59501</v>
      </c>
      <c r="AS147" s="309"/>
      <c r="AT147" s="309"/>
      <c r="AU147" s="309"/>
      <c r="AV147" s="309"/>
      <c r="AW147" s="309"/>
      <c r="AX147" s="309"/>
      <c r="AY147" s="309"/>
      <c r="AZ147" s="309"/>
      <c r="BA147" s="309"/>
      <c r="BB147" s="309"/>
      <c r="BC147" s="309"/>
      <c r="BD147" s="309"/>
      <c r="BE147" s="309"/>
      <c r="BF147" s="309"/>
      <c r="BG147" s="309"/>
      <c r="BH147" s="124"/>
      <c r="BI147" s="41"/>
      <c r="BK147" s="412">
        <f>BK127
+IF(OR(MID($G$127,8,2)="PF",MID($G$127,8,2)="RS",MID($G$127,8,2)="RF"),0,BK131)</f>
        <v>800</v>
      </c>
      <c r="BL147" s="413"/>
      <c r="BM147" s="414"/>
      <c r="BN147" s="412">
        <f t="shared" ref="BN147" si="30">BN127
+IF(OR(MID($G$127,8,2)="PF",MID($G$127,8,2)="RS",MID($G$127,8,2)="RF"),0,BN131)</f>
        <v>0</v>
      </c>
      <c r="BO147" s="413"/>
      <c r="BP147" s="414"/>
      <c r="BQ147" s="412">
        <f t="shared" ref="BQ147" si="31">BQ127
+IF(OR(MID($G$127,8,2)="PF",MID($G$127,8,2)="RS",MID($G$127,8,2)="RF"),0,BQ131)</f>
        <v>0</v>
      </c>
      <c r="BR147" s="413"/>
      <c r="BS147" s="414"/>
      <c r="BT147" s="412">
        <f t="shared" ref="BT147" si="32">BT127
+IF(OR(MID($G$127,8,2)="PF",MID($G$127,8,2)="RS",MID($G$127,8,2)="RF"),0,BT131)</f>
        <v>0</v>
      </c>
      <c r="BU147" s="413"/>
      <c r="BV147" s="414"/>
      <c r="BW147" s="412">
        <f t="shared" ref="BW147" si="33">BW127
+IF(OR(MID($G$127,8,2)="PF",MID($G$127,8,2)="RS",MID($G$127,8,2)="RF"),0,BW131)</f>
        <v>0</v>
      </c>
      <c r="BX147" s="413"/>
      <c r="BY147" s="414"/>
      <c r="BZ147" s="412">
        <f t="shared" ref="BZ147" si="34">BZ127
+IF(OR(MID($G$127,8,2)="PF",MID($G$127,8,2)="RS",MID($G$127,8,2)="RF"),0,BZ131)</f>
        <v>0</v>
      </c>
      <c r="CA147" s="413"/>
      <c r="CB147" s="414"/>
      <c r="CC147" s="412">
        <f t="shared" ref="CC147" si="35">CC127
+IF(OR(MID($G$127,8,2)="PF",MID($G$127,8,2)="RS",MID($G$127,8,2)="RF"),0,CC131)</f>
        <v>0</v>
      </c>
      <c r="CD147" s="413"/>
      <c r="CE147" s="414"/>
      <c r="CF147" s="412">
        <f t="shared" ref="CF147" si="36">CF127
+IF(OR(MID($G$127,8,2)="PF",MID($G$127,8,2)="RS",MID($G$127,8,2)="RF"),0,CF131)</f>
        <v>0</v>
      </c>
      <c r="CG147" s="413"/>
      <c r="CH147" s="414"/>
      <c r="CI147" s="412">
        <f t="shared" ref="CI147" si="37">CI127
+IF(OR(MID($G$127,8,2)="PF",MID($G$127,8,2)="RS",MID($G$127,8,2)="RF"),0,CI131)</f>
        <v>0</v>
      </c>
      <c r="CJ147" s="413"/>
      <c r="CK147" s="414"/>
      <c r="CL147" s="412">
        <f t="shared" ref="CL147" si="38">CL127
+IF(OR(MID($G$127,8,2)="PF",MID($G$127,8,2)="RS",MID($G$127,8,2)="RF"),0,CL131)</f>
        <v>0</v>
      </c>
      <c r="CM147" s="413"/>
      <c r="CN147" s="414"/>
      <c r="CO147" s="412">
        <f t="shared" ref="CO147" si="39">CO127
+IF(OR(MID($G$127,8,2)="PF",MID($G$127,8,2)="RS",MID($G$127,8,2)="RF"),0,CO131)</f>
        <v>0</v>
      </c>
      <c r="CP147" s="413"/>
      <c r="CQ147" s="414"/>
      <c r="CR147" s="412">
        <f t="shared" ref="CR147" si="40">CR127
+IF(OR(MID($G$127,8,2)="PF",MID($G$127,8,2)="RS",MID($G$127,8,2)="RF"),0,CR131)</f>
        <v>0</v>
      </c>
      <c r="CS147" s="413"/>
      <c r="CT147" s="414"/>
      <c r="CU147" s="412">
        <f t="shared" ref="CU147" si="41">CU127
+IF(OR(MID($G$127,8,2)="PF",MID($G$127,8,2)="RS",MID($G$127,8,2)="RF"),0,CU131)</f>
        <v>0</v>
      </c>
      <c r="CV147" s="413"/>
      <c r="CW147" s="414"/>
      <c r="CX147" s="412">
        <f t="shared" ref="CX147" si="42">CX127
+IF(OR(MID($G$127,8,2)="PF",MID($G$127,8,2)="RS",MID($G$127,8,2)="RF"),0,CX131)</f>
        <v>0</v>
      </c>
      <c r="CY147" s="413"/>
      <c r="CZ147" s="414"/>
      <c r="DA147" s="412">
        <f t="shared" ref="DA147" si="43">DA127
+IF(OR(MID($G$127,8,2)="PF",MID($G$127,8,2)="RS",MID($G$127,8,2)="RF"),0,DA131)</f>
        <v>0</v>
      </c>
      <c r="DB147" s="413"/>
      <c r="DC147" s="414"/>
      <c r="DD147" s="412">
        <f t="shared" ref="DD147" si="44">DD127
+IF(OR(MID($G$127,8,2)="PF",MID($G$127,8,2)="RS",MID($G$127,8,2)="RF"),0,DD131)</f>
        <v>0</v>
      </c>
      <c r="DE147" s="413"/>
      <c r="DF147" s="414"/>
      <c r="DH147" s="311"/>
      <c r="DI147" s="311"/>
      <c r="DJ147" s="311"/>
      <c r="DK147" s="311"/>
      <c r="DL147" s="321"/>
      <c r="DM147" s="321"/>
      <c r="DN147" s="321"/>
      <c r="DO147" s="321"/>
      <c r="DP147" s="321"/>
      <c r="DQ147" s="321"/>
      <c r="DR147" s="321"/>
      <c r="DS147" s="321"/>
    </row>
    <row r="148" spans="1:123" ht="7.4" customHeight="1" x14ac:dyDescent="0.5">
      <c r="A148" s="42"/>
      <c r="B148" s="42"/>
      <c r="C148" s="311"/>
      <c r="D148" s="311"/>
      <c r="E148" s="41"/>
      <c r="F148" s="42"/>
      <c r="G148" s="319"/>
      <c r="H148" s="319"/>
      <c r="I148" s="319"/>
      <c r="J148" s="319"/>
      <c r="K148" s="319"/>
      <c r="L148" s="319"/>
      <c r="M148" s="319"/>
      <c r="N148" s="319"/>
      <c r="O148" s="319"/>
      <c r="P148" s="319"/>
      <c r="Q148" s="319"/>
      <c r="R148" s="320"/>
      <c r="S148" s="42"/>
      <c r="T148" s="405"/>
      <c r="U148" s="405"/>
      <c r="V148" s="405"/>
      <c r="W148" s="405"/>
      <c r="X148" s="405"/>
      <c r="Y148" s="405"/>
      <c r="Z148" s="405"/>
      <c r="AA148" s="405"/>
      <c r="AB148" s="405"/>
      <c r="AC148" s="405"/>
      <c r="AD148" s="405"/>
      <c r="AE148" s="405"/>
      <c r="AF148" s="405"/>
      <c r="AG148" s="405"/>
      <c r="AH148" s="405"/>
      <c r="AI148" s="405"/>
      <c r="AJ148" s="411"/>
      <c r="AK148" s="42"/>
      <c r="AL148" s="311"/>
      <c r="AM148" s="311"/>
      <c r="AN148" s="311"/>
      <c r="AO148" s="311"/>
      <c r="AP148" s="43"/>
      <c r="AQ148" s="111"/>
      <c r="AR148" s="309"/>
      <c r="AS148" s="309"/>
      <c r="AT148" s="309"/>
      <c r="AU148" s="309"/>
      <c r="AV148" s="309"/>
      <c r="AW148" s="309"/>
      <c r="AX148" s="309"/>
      <c r="AY148" s="309"/>
      <c r="AZ148" s="309"/>
      <c r="BA148" s="309"/>
      <c r="BB148" s="309"/>
      <c r="BC148" s="309"/>
      <c r="BD148" s="309"/>
      <c r="BE148" s="309"/>
      <c r="BF148" s="309"/>
      <c r="BG148" s="309"/>
      <c r="BH148" s="124"/>
      <c r="BI148" s="41"/>
      <c r="BK148" s="412"/>
      <c r="BL148" s="413"/>
      <c r="BM148" s="414"/>
      <c r="BN148" s="412"/>
      <c r="BO148" s="413"/>
      <c r="BP148" s="414"/>
      <c r="BQ148" s="412"/>
      <c r="BR148" s="413"/>
      <c r="BS148" s="414"/>
      <c r="BT148" s="412"/>
      <c r="BU148" s="413"/>
      <c r="BV148" s="414"/>
      <c r="BW148" s="412"/>
      <c r="BX148" s="413"/>
      <c r="BY148" s="414"/>
      <c r="BZ148" s="412"/>
      <c r="CA148" s="413"/>
      <c r="CB148" s="414"/>
      <c r="CC148" s="412"/>
      <c r="CD148" s="413"/>
      <c r="CE148" s="414"/>
      <c r="CF148" s="412"/>
      <c r="CG148" s="413"/>
      <c r="CH148" s="414"/>
      <c r="CI148" s="412"/>
      <c r="CJ148" s="413"/>
      <c r="CK148" s="414"/>
      <c r="CL148" s="412"/>
      <c r="CM148" s="413"/>
      <c r="CN148" s="414"/>
      <c r="CO148" s="412"/>
      <c r="CP148" s="413"/>
      <c r="CQ148" s="414"/>
      <c r="CR148" s="412"/>
      <c r="CS148" s="413"/>
      <c r="CT148" s="414"/>
      <c r="CU148" s="412"/>
      <c r="CV148" s="413"/>
      <c r="CW148" s="414"/>
      <c r="CX148" s="412"/>
      <c r="CY148" s="413"/>
      <c r="CZ148" s="414"/>
      <c r="DA148" s="412"/>
      <c r="DB148" s="413"/>
      <c r="DC148" s="414"/>
      <c r="DD148" s="412"/>
      <c r="DE148" s="413"/>
      <c r="DF148" s="414"/>
      <c r="DH148" s="311"/>
      <c r="DI148" s="311"/>
      <c r="DJ148" s="311"/>
      <c r="DK148" s="311"/>
      <c r="DL148" s="321"/>
      <c r="DM148" s="321"/>
      <c r="DN148" s="321"/>
      <c r="DO148" s="321"/>
      <c r="DP148" s="321"/>
      <c r="DQ148" s="321"/>
      <c r="DR148" s="321"/>
      <c r="DS148" s="321"/>
    </row>
    <row r="149" spans="1:123" ht="7.4" customHeight="1" x14ac:dyDescent="0.5">
      <c r="A149" s="42"/>
      <c r="B149" s="42"/>
      <c r="C149" s="333"/>
      <c r="D149" s="333"/>
      <c r="E149" s="41"/>
      <c r="F149" s="42"/>
      <c r="G149" s="56"/>
      <c r="H149" s="56"/>
      <c r="I149" s="56"/>
      <c r="J149" s="56"/>
      <c r="K149" s="56"/>
      <c r="L149" s="56"/>
      <c r="M149" s="56"/>
      <c r="N149" s="56"/>
      <c r="O149" s="56"/>
      <c r="P149" s="56"/>
      <c r="Q149" s="56"/>
      <c r="R149" s="126"/>
      <c r="S149" s="42"/>
      <c r="T149" s="116" t="str">
        <f>VLOOKUP(G147,PL!$B$9:$BH$1265,33,FALSE)</f>
        <v>Stainless Steel, M8x25</v>
      </c>
      <c r="AJ149" s="41"/>
      <c r="AK149" s="42"/>
      <c r="AL149" s="311"/>
      <c r="AM149" s="311"/>
      <c r="AN149" s="311"/>
      <c r="AO149" s="311"/>
      <c r="AP149" s="43"/>
      <c r="AQ149" s="42"/>
      <c r="AR149" s="46"/>
      <c r="AS149" s="46"/>
      <c r="AT149" s="46"/>
      <c r="AU149" s="46"/>
      <c r="AV149" s="46"/>
      <c r="AW149" s="46"/>
      <c r="AX149" s="105"/>
      <c r="AY149" s="79"/>
      <c r="AZ149" s="119"/>
      <c r="BA149" s="119"/>
      <c r="BB149" s="119"/>
      <c r="BC149" s="119"/>
      <c r="BD149" s="119"/>
      <c r="BE149" s="119"/>
      <c r="BF149" s="119"/>
      <c r="BG149" s="119"/>
      <c r="BH149" s="124"/>
      <c r="BI149" s="41"/>
      <c r="BK149" s="194"/>
      <c r="BL149" s="123"/>
      <c r="BM149" s="195"/>
      <c r="BN149" s="194"/>
      <c r="BO149" s="123"/>
      <c r="BP149" s="195"/>
      <c r="BQ149" s="194"/>
      <c r="BR149" s="123"/>
      <c r="BS149" s="195"/>
      <c r="BT149" s="194"/>
      <c r="BU149" s="123"/>
      <c r="BV149" s="195"/>
      <c r="BW149" s="194"/>
      <c r="BX149" s="123"/>
      <c r="BY149" s="195"/>
      <c r="BZ149" s="194"/>
      <c r="CA149" s="123"/>
      <c r="CB149" s="195"/>
      <c r="CC149" s="194"/>
      <c r="CD149" s="123"/>
      <c r="CE149" s="195"/>
      <c r="CF149" s="194"/>
      <c r="CG149" s="123"/>
      <c r="CH149" s="195"/>
      <c r="CI149" s="194"/>
      <c r="CJ149" s="123"/>
      <c r="CK149" s="195"/>
      <c r="CL149" s="194"/>
      <c r="CM149" s="123"/>
      <c r="CN149" s="195"/>
      <c r="CO149" s="194"/>
      <c r="CP149" s="123"/>
      <c r="CQ149" s="195"/>
      <c r="CR149" s="194"/>
      <c r="CS149" s="123"/>
      <c r="CT149" s="195"/>
      <c r="CU149" s="194"/>
      <c r="CV149" s="123"/>
      <c r="CW149" s="195"/>
      <c r="CX149" s="194"/>
      <c r="CY149" s="123"/>
      <c r="CZ149" s="195"/>
      <c r="DA149" s="194"/>
      <c r="DB149" s="123"/>
      <c r="DC149" s="195"/>
      <c r="DD149" s="194"/>
      <c r="DE149" s="123"/>
      <c r="DF149" s="195"/>
      <c r="DH149" s="311"/>
      <c r="DI149" s="311"/>
      <c r="DJ149" s="311"/>
      <c r="DK149" s="311"/>
      <c r="DL149" s="321"/>
      <c r="DM149" s="321"/>
      <c r="DN149" s="321"/>
      <c r="DO149" s="321"/>
      <c r="DP149" s="321"/>
      <c r="DQ149" s="321"/>
      <c r="DR149" s="321"/>
      <c r="DS149" s="321"/>
    </row>
    <row r="150" spans="1:123" ht="7.4" customHeight="1" x14ac:dyDescent="0.5">
      <c r="A150" s="42"/>
      <c r="B150" s="42"/>
      <c r="C150" s="333"/>
      <c r="D150" s="333"/>
      <c r="E150" s="41"/>
      <c r="F150" s="42"/>
      <c r="G150" s="56"/>
      <c r="H150" s="56"/>
      <c r="I150" s="56"/>
      <c r="J150" s="56"/>
      <c r="K150" s="56"/>
      <c r="L150" s="56"/>
      <c r="M150" s="56"/>
      <c r="N150" s="56"/>
      <c r="O150" s="56"/>
      <c r="P150" s="56"/>
      <c r="Q150" s="56"/>
      <c r="R150" s="126"/>
      <c r="S150" s="42"/>
      <c r="AJ150" s="41"/>
      <c r="AK150" s="42"/>
      <c r="AL150" s="311"/>
      <c r="AM150" s="311"/>
      <c r="AN150" s="311"/>
      <c r="AO150" s="311"/>
      <c r="AP150" s="43"/>
      <c r="AQ150" s="42"/>
      <c r="AR150" s="46"/>
      <c r="AS150" s="46"/>
      <c r="AT150" s="46"/>
      <c r="AU150" s="46"/>
      <c r="AV150" s="46"/>
      <c r="AW150" s="46"/>
      <c r="AX150" s="105"/>
      <c r="AY150" s="79"/>
      <c r="AZ150" s="119"/>
      <c r="BA150" s="119"/>
      <c r="BB150" s="119"/>
      <c r="BC150" s="119"/>
      <c r="BD150" s="119"/>
      <c r="BE150" s="119"/>
      <c r="BF150" s="119"/>
      <c r="BG150" s="119"/>
      <c r="BH150" s="124"/>
      <c r="BI150" s="41"/>
      <c r="BK150" s="194"/>
      <c r="BL150" s="123"/>
      <c r="BM150" s="195"/>
      <c r="BN150" s="194"/>
      <c r="BO150" s="123"/>
      <c r="BP150" s="195"/>
      <c r="BQ150" s="194"/>
      <c r="BR150" s="123"/>
      <c r="BS150" s="195"/>
      <c r="BT150" s="194"/>
      <c r="BU150" s="123"/>
      <c r="BV150" s="195"/>
      <c r="BW150" s="194"/>
      <c r="BX150" s="123"/>
      <c r="BY150" s="195"/>
      <c r="BZ150" s="194"/>
      <c r="CA150" s="123"/>
      <c r="CB150" s="195"/>
      <c r="CC150" s="194"/>
      <c r="CD150" s="123"/>
      <c r="CE150" s="195"/>
      <c r="CF150" s="194"/>
      <c r="CG150" s="123"/>
      <c r="CH150" s="195"/>
      <c r="CI150" s="194"/>
      <c r="CJ150" s="123"/>
      <c r="CK150" s="195"/>
      <c r="CL150" s="194"/>
      <c r="CM150" s="123"/>
      <c r="CN150" s="195"/>
      <c r="CO150" s="194"/>
      <c r="CP150" s="123"/>
      <c r="CQ150" s="195"/>
      <c r="CR150" s="194"/>
      <c r="CS150" s="123"/>
      <c r="CT150" s="195"/>
      <c r="CU150" s="194"/>
      <c r="CV150" s="123"/>
      <c r="CW150" s="195"/>
      <c r="CX150" s="194"/>
      <c r="CY150" s="123"/>
      <c r="CZ150" s="195"/>
      <c r="DA150" s="194"/>
      <c r="DB150" s="123"/>
      <c r="DC150" s="195"/>
      <c r="DD150" s="194"/>
      <c r="DE150" s="123"/>
      <c r="DF150" s="195"/>
      <c r="DH150" s="311"/>
      <c r="DI150" s="311"/>
      <c r="DJ150" s="311"/>
      <c r="DK150" s="311"/>
      <c r="DL150" s="321"/>
      <c r="DM150" s="321"/>
      <c r="DN150" s="321"/>
      <c r="DO150" s="321"/>
      <c r="DP150" s="321"/>
      <c r="DQ150" s="321"/>
      <c r="DR150" s="321"/>
      <c r="DS150" s="321"/>
    </row>
    <row r="151" spans="1:123" ht="7.4" customHeight="1" x14ac:dyDescent="0.5">
      <c r="A151" s="42"/>
      <c r="B151" s="42"/>
      <c r="C151" s="311">
        <f>C147+1</f>
        <v>9</v>
      </c>
      <c r="D151" s="311"/>
      <c r="E151" s="41"/>
      <c r="F151" s="42"/>
      <c r="G151" s="319" t="str">
        <f>IF(AL151=0,"N/A","AXE_CS_8_"&amp;$AM$45-5&amp;"_SS")</f>
        <v>N/A</v>
      </c>
      <c r="H151" s="319"/>
      <c r="I151" s="319"/>
      <c r="J151" s="319"/>
      <c r="K151" s="319"/>
      <c r="L151" s="319"/>
      <c r="M151" s="319"/>
      <c r="N151" s="319"/>
      <c r="O151" s="319"/>
      <c r="P151" s="319"/>
      <c r="Q151" s="319"/>
      <c r="R151" s="320"/>
      <c r="S151" s="42"/>
      <c r="T151" s="405" t="str">
        <f>VLOOKUP(G151,PL!$B$9:$BH$1265,14,FALSE)</f>
        <v>No Item</v>
      </c>
      <c r="U151" s="405"/>
      <c r="V151" s="405"/>
      <c r="W151" s="405"/>
      <c r="X151" s="405"/>
      <c r="Y151" s="405"/>
      <c r="Z151" s="405"/>
      <c r="AA151" s="405"/>
      <c r="AB151" s="405"/>
      <c r="AC151" s="405"/>
      <c r="AD151" s="405"/>
      <c r="AE151" s="405"/>
      <c r="AF151" s="405"/>
      <c r="AG151" s="405"/>
      <c r="AH151" s="405"/>
      <c r="AI151" s="405"/>
      <c r="AJ151" s="411"/>
      <c r="AK151" s="42"/>
      <c r="AL151" s="311">
        <f>ROUND(SUM(BK151:DF151)*(1+$BF$72),0)</f>
        <v>0</v>
      </c>
      <c r="AM151" s="311"/>
      <c r="AN151" s="311"/>
      <c r="AO151" s="311"/>
      <c r="AP151" s="43"/>
      <c r="AQ151" s="111"/>
      <c r="AR151" s="308" t="str">
        <f>VLOOKUP(G151,PL!$B$9:$BH$818,52,FALSE)</f>
        <v>-</v>
      </c>
      <c r="AS151" s="309"/>
      <c r="AT151" s="309"/>
      <c r="AU151" s="309"/>
      <c r="AV151" s="309"/>
      <c r="AW151" s="309"/>
      <c r="AX151" s="309"/>
      <c r="AY151" s="309"/>
      <c r="AZ151" s="309"/>
      <c r="BA151" s="309"/>
      <c r="BB151" s="309"/>
      <c r="BC151" s="309"/>
      <c r="BD151" s="309"/>
      <c r="BE151" s="309"/>
      <c r="BF151" s="309"/>
      <c r="BG151" s="309"/>
      <c r="BH151" s="124"/>
      <c r="BI151" s="41"/>
      <c r="BK151" s="412">
        <f>IF($N$70="Included",0,BK123)</f>
        <v>0</v>
      </c>
      <c r="BL151" s="413"/>
      <c r="BM151" s="414"/>
      <c r="BN151" s="412">
        <f>IF($N$70="Included",0,BN123)</f>
        <v>0</v>
      </c>
      <c r="BO151" s="413"/>
      <c r="BP151" s="414"/>
      <c r="BQ151" s="412">
        <f>IF($N$70="Included",0,BQ123)</f>
        <v>0</v>
      </c>
      <c r="BR151" s="413"/>
      <c r="BS151" s="414"/>
      <c r="BT151" s="412">
        <f>IF($N$70="Included",0,BT123)</f>
        <v>0</v>
      </c>
      <c r="BU151" s="413"/>
      <c r="BV151" s="414"/>
      <c r="BW151" s="412">
        <f>IF($N$70="Included",0,BW123)</f>
        <v>0</v>
      </c>
      <c r="BX151" s="413"/>
      <c r="BY151" s="414"/>
      <c r="BZ151" s="412">
        <f>IF($N$70="Included",0,BZ123)</f>
        <v>0</v>
      </c>
      <c r="CA151" s="413"/>
      <c r="CB151" s="414"/>
      <c r="CC151" s="412">
        <f>IF($N$70="Included",0,CC123)</f>
        <v>0</v>
      </c>
      <c r="CD151" s="413"/>
      <c r="CE151" s="414"/>
      <c r="CF151" s="412">
        <f>IF($N$70="Included",0,CF123)</f>
        <v>0</v>
      </c>
      <c r="CG151" s="413"/>
      <c r="CH151" s="414"/>
      <c r="CI151" s="412">
        <f>IF($N$70="Included",0,CI123)</f>
        <v>0</v>
      </c>
      <c r="CJ151" s="413"/>
      <c r="CK151" s="414"/>
      <c r="CL151" s="412">
        <f>IF($N$70="Included",0,CL123)</f>
        <v>0</v>
      </c>
      <c r="CM151" s="413"/>
      <c r="CN151" s="414"/>
      <c r="CO151" s="412">
        <f>IF($N$70="Included",0,CO123)</f>
        <v>0</v>
      </c>
      <c r="CP151" s="413"/>
      <c r="CQ151" s="414"/>
      <c r="CR151" s="412">
        <f>IF($N$70="Included",0,CR123)</f>
        <v>0</v>
      </c>
      <c r="CS151" s="413"/>
      <c r="CT151" s="414"/>
      <c r="CU151" s="412">
        <f>IF($N$70="Included",0,CU123)</f>
        <v>0</v>
      </c>
      <c r="CV151" s="413"/>
      <c r="CW151" s="414"/>
      <c r="CX151" s="412">
        <f>IF($N$70="Included",0,CX123)</f>
        <v>0</v>
      </c>
      <c r="CY151" s="413"/>
      <c r="CZ151" s="414"/>
      <c r="DA151" s="412">
        <f>IF($N$70="Included",0,DA123)</f>
        <v>0</v>
      </c>
      <c r="DB151" s="413"/>
      <c r="DC151" s="414"/>
      <c r="DD151" s="412">
        <f>IF($N$70="Included",0,DD123)</f>
        <v>0</v>
      </c>
      <c r="DE151" s="413"/>
      <c r="DF151" s="414"/>
      <c r="DH151" s="311"/>
      <c r="DI151" s="311"/>
      <c r="DJ151" s="311"/>
      <c r="DK151" s="311"/>
      <c r="DL151" s="321"/>
      <c r="DM151" s="321"/>
      <c r="DN151" s="321"/>
      <c r="DO151" s="321"/>
      <c r="DP151" s="321"/>
      <c r="DQ151" s="321"/>
      <c r="DR151" s="321"/>
      <c r="DS151" s="321"/>
    </row>
    <row r="152" spans="1:123" ht="7.4" customHeight="1" x14ac:dyDescent="0.5">
      <c r="A152" s="42"/>
      <c r="B152" s="42"/>
      <c r="C152" s="311"/>
      <c r="D152" s="311"/>
      <c r="E152" s="41"/>
      <c r="F152" s="42"/>
      <c r="G152" s="319"/>
      <c r="H152" s="319"/>
      <c r="I152" s="319"/>
      <c r="J152" s="319"/>
      <c r="K152" s="319"/>
      <c r="L152" s="319"/>
      <c r="M152" s="319"/>
      <c r="N152" s="319"/>
      <c r="O152" s="319"/>
      <c r="P152" s="319"/>
      <c r="Q152" s="319"/>
      <c r="R152" s="320"/>
      <c r="S152" s="42"/>
      <c r="T152" s="405"/>
      <c r="U152" s="405"/>
      <c r="V152" s="405"/>
      <c r="W152" s="405"/>
      <c r="X152" s="405"/>
      <c r="Y152" s="405"/>
      <c r="Z152" s="405"/>
      <c r="AA152" s="405"/>
      <c r="AB152" s="405"/>
      <c r="AC152" s="405"/>
      <c r="AD152" s="405"/>
      <c r="AE152" s="405"/>
      <c r="AF152" s="405"/>
      <c r="AG152" s="405"/>
      <c r="AH152" s="405"/>
      <c r="AI152" s="405"/>
      <c r="AJ152" s="411"/>
      <c r="AK152" s="42"/>
      <c r="AL152" s="311"/>
      <c r="AM152" s="311"/>
      <c r="AN152" s="311"/>
      <c r="AO152" s="311"/>
      <c r="AP152" s="43"/>
      <c r="AQ152" s="111"/>
      <c r="AR152" s="309"/>
      <c r="AS152" s="309"/>
      <c r="AT152" s="309"/>
      <c r="AU152" s="309"/>
      <c r="AV152" s="309"/>
      <c r="AW152" s="309"/>
      <c r="AX152" s="309"/>
      <c r="AY152" s="309"/>
      <c r="AZ152" s="309"/>
      <c r="BA152" s="309"/>
      <c r="BB152" s="309"/>
      <c r="BC152" s="309"/>
      <c r="BD152" s="309"/>
      <c r="BE152" s="309"/>
      <c r="BF152" s="309"/>
      <c r="BG152" s="309"/>
      <c r="BH152" s="124"/>
      <c r="BI152" s="41"/>
      <c r="BK152" s="412"/>
      <c r="BL152" s="413"/>
      <c r="BM152" s="414"/>
      <c r="BN152" s="412"/>
      <c r="BO152" s="413"/>
      <c r="BP152" s="414"/>
      <c r="BQ152" s="412"/>
      <c r="BR152" s="413"/>
      <c r="BS152" s="414"/>
      <c r="BT152" s="412"/>
      <c r="BU152" s="413"/>
      <c r="BV152" s="414"/>
      <c r="BW152" s="412"/>
      <c r="BX152" s="413"/>
      <c r="BY152" s="414"/>
      <c r="BZ152" s="412"/>
      <c r="CA152" s="413"/>
      <c r="CB152" s="414"/>
      <c r="CC152" s="412"/>
      <c r="CD152" s="413"/>
      <c r="CE152" s="414"/>
      <c r="CF152" s="412"/>
      <c r="CG152" s="413"/>
      <c r="CH152" s="414"/>
      <c r="CI152" s="412"/>
      <c r="CJ152" s="413"/>
      <c r="CK152" s="414"/>
      <c r="CL152" s="412"/>
      <c r="CM152" s="413"/>
      <c r="CN152" s="414"/>
      <c r="CO152" s="412"/>
      <c r="CP152" s="413"/>
      <c r="CQ152" s="414"/>
      <c r="CR152" s="412"/>
      <c r="CS152" s="413"/>
      <c r="CT152" s="414"/>
      <c r="CU152" s="412"/>
      <c r="CV152" s="413"/>
      <c r="CW152" s="414"/>
      <c r="CX152" s="412"/>
      <c r="CY152" s="413"/>
      <c r="CZ152" s="414"/>
      <c r="DA152" s="412"/>
      <c r="DB152" s="413"/>
      <c r="DC152" s="414"/>
      <c r="DD152" s="412"/>
      <c r="DE152" s="413"/>
      <c r="DF152" s="414"/>
      <c r="DH152" s="311"/>
      <c r="DI152" s="311"/>
      <c r="DJ152" s="311"/>
      <c r="DK152" s="311"/>
      <c r="DL152" s="321"/>
      <c r="DM152" s="321"/>
      <c r="DN152" s="321"/>
      <c r="DO152" s="321"/>
      <c r="DP152" s="321"/>
      <c r="DQ152" s="321"/>
      <c r="DR152" s="321"/>
      <c r="DS152" s="321"/>
    </row>
    <row r="153" spans="1:123" ht="7.4" customHeight="1" x14ac:dyDescent="0.5">
      <c r="A153" s="42"/>
      <c r="B153" s="42"/>
      <c r="C153" s="333"/>
      <c r="D153" s="333"/>
      <c r="E153" s="41"/>
      <c r="F153" s="42"/>
      <c r="G153" s="56"/>
      <c r="H153" s="56"/>
      <c r="I153" s="56"/>
      <c r="J153" s="56"/>
      <c r="K153" s="56"/>
      <c r="L153" s="56"/>
      <c r="M153" s="56"/>
      <c r="N153" s="56"/>
      <c r="O153" s="56"/>
      <c r="P153" s="56"/>
      <c r="Q153" s="56"/>
      <c r="R153" s="126"/>
      <c r="S153" s="42"/>
      <c r="T153" s="116" t="str">
        <f>VLOOKUP(G151,PL!$B$9:$BH$1265,33,FALSE)</f>
        <v>.</v>
      </c>
      <c r="AJ153" s="41"/>
      <c r="AK153" s="42"/>
      <c r="AL153" s="311"/>
      <c r="AM153" s="311"/>
      <c r="AN153" s="311"/>
      <c r="AO153" s="311"/>
      <c r="AP153" s="43"/>
      <c r="AQ153" s="42"/>
      <c r="AR153" s="46"/>
      <c r="AS153" s="46"/>
      <c r="AT153" s="46"/>
      <c r="AU153" s="46"/>
      <c r="AV153" s="46"/>
      <c r="AW153" s="46"/>
      <c r="AX153" s="105"/>
      <c r="AY153" s="79"/>
      <c r="AZ153" s="119"/>
      <c r="BA153" s="119"/>
      <c r="BB153" s="119"/>
      <c r="BC153" s="119"/>
      <c r="BD153" s="119"/>
      <c r="BE153" s="119"/>
      <c r="BF153" s="119"/>
      <c r="BG153" s="119"/>
      <c r="BH153" s="124"/>
      <c r="BI153" s="41"/>
      <c r="BK153" s="194"/>
      <c r="BL153" s="123"/>
      <c r="BM153" s="195"/>
      <c r="BN153" s="194"/>
      <c r="BO153" s="123"/>
      <c r="BP153" s="195"/>
      <c r="BQ153" s="194"/>
      <c r="BR153" s="123"/>
      <c r="BS153" s="195"/>
      <c r="BT153" s="194"/>
      <c r="BU153" s="123"/>
      <c r="BV153" s="195"/>
      <c r="BW153" s="194"/>
      <c r="BX153" s="123"/>
      <c r="BY153" s="195"/>
      <c r="BZ153" s="194"/>
      <c r="CA153" s="123"/>
      <c r="CB153" s="195"/>
      <c r="CC153" s="194"/>
      <c r="CD153" s="123"/>
      <c r="CE153" s="195"/>
      <c r="CF153" s="194"/>
      <c r="CG153" s="123"/>
      <c r="CH153" s="195"/>
      <c r="CI153" s="194"/>
      <c r="CJ153" s="123"/>
      <c r="CK153" s="195"/>
      <c r="CL153" s="194"/>
      <c r="CM153" s="123"/>
      <c r="CN153" s="195"/>
      <c r="CO153" s="194"/>
      <c r="CP153" s="123"/>
      <c r="CQ153" s="195"/>
      <c r="CR153" s="194"/>
      <c r="CS153" s="123"/>
      <c r="CT153" s="195"/>
      <c r="CU153" s="194"/>
      <c r="CV153" s="123"/>
      <c r="CW153" s="195"/>
      <c r="CX153" s="194"/>
      <c r="CY153" s="123"/>
      <c r="CZ153" s="195"/>
      <c r="DA153" s="194"/>
      <c r="DB153" s="123"/>
      <c r="DC153" s="195"/>
      <c r="DD153" s="194"/>
      <c r="DE153" s="123"/>
      <c r="DF153" s="195"/>
      <c r="DH153" s="311"/>
      <c r="DI153" s="311"/>
      <c r="DJ153" s="311"/>
      <c r="DK153" s="311"/>
      <c r="DL153" s="321"/>
      <c r="DM153" s="321"/>
      <c r="DN153" s="321"/>
      <c r="DO153" s="321"/>
      <c r="DP153" s="321"/>
      <c r="DQ153" s="321"/>
      <c r="DR153" s="321"/>
      <c r="DS153" s="321"/>
    </row>
    <row r="154" spans="1:123" ht="7.4" customHeight="1" x14ac:dyDescent="0.5">
      <c r="A154" s="42"/>
      <c r="B154" s="42"/>
      <c r="C154" s="333"/>
      <c r="D154" s="333"/>
      <c r="E154" s="41"/>
      <c r="F154" s="42"/>
      <c r="G154" s="56"/>
      <c r="H154" s="56"/>
      <c r="I154" s="56"/>
      <c r="J154" s="56"/>
      <c r="K154" s="56"/>
      <c r="L154" s="56"/>
      <c r="M154" s="56"/>
      <c r="N154" s="56"/>
      <c r="O154" s="56"/>
      <c r="P154" s="56"/>
      <c r="Q154" s="56"/>
      <c r="R154" s="126"/>
      <c r="S154" s="42"/>
      <c r="AJ154" s="41"/>
      <c r="AK154" s="42"/>
      <c r="AL154" s="311"/>
      <c r="AM154" s="311"/>
      <c r="AN154" s="311"/>
      <c r="AO154" s="311"/>
      <c r="AP154" s="43"/>
      <c r="AQ154" s="42"/>
      <c r="AR154" s="46"/>
      <c r="AS154" s="46"/>
      <c r="AT154" s="46"/>
      <c r="AU154" s="46"/>
      <c r="AV154" s="46"/>
      <c r="AW154" s="46"/>
      <c r="AX154" s="105"/>
      <c r="AY154" s="79"/>
      <c r="AZ154" s="119"/>
      <c r="BA154" s="119"/>
      <c r="BB154" s="119"/>
      <c r="BC154" s="119"/>
      <c r="BD154" s="119"/>
      <c r="BE154" s="119"/>
      <c r="BF154" s="119"/>
      <c r="BG154" s="119"/>
      <c r="BH154" s="124"/>
      <c r="BI154" s="41"/>
      <c r="BK154" s="194"/>
      <c r="BL154" s="123"/>
      <c r="BM154" s="195"/>
      <c r="BN154" s="194"/>
      <c r="BO154" s="123"/>
      <c r="BP154" s="195"/>
      <c r="BQ154" s="194"/>
      <c r="BR154" s="123"/>
      <c r="BS154" s="195"/>
      <c r="BT154" s="194"/>
      <c r="BU154" s="123"/>
      <c r="BV154" s="195"/>
      <c r="BW154" s="194"/>
      <c r="BX154" s="123"/>
      <c r="BY154" s="195"/>
      <c r="BZ154" s="194"/>
      <c r="CA154" s="123"/>
      <c r="CB154" s="195"/>
      <c r="CC154" s="194"/>
      <c r="CD154" s="123"/>
      <c r="CE154" s="195"/>
      <c r="CF154" s="194"/>
      <c r="CG154" s="123"/>
      <c r="CH154" s="195"/>
      <c r="CI154" s="194"/>
      <c r="CJ154" s="123"/>
      <c r="CK154" s="195"/>
      <c r="CL154" s="194"/>
      <c r="CM154" s="123"/>
      <c r="CN154" s="195"/>
      <c r="CO154" s="194"/>
      <c r="CP154" s="123"/>
      <c r="CQ154" s="195"/>
      <c r="CR154" s="194"/>
      <c r="CS154" s="123"/>
      <c r="CT154" s="195"/>
      <c r="CU154" s="194"/>
      <c r="CV154" s="123"/>
      <c r="CW154" s="195"/>
      <c r="CX154" s="194"/>
      <c r="CY154" s="123"/>
      <c r="CZ154" s="195"/>
      <c r="DA154" s="194"/>
      <c r="DB154" s="123"/>
      <c r="DC154" s="195"/>
      <c r="DD154" s="194"/>
      <c r="DE154" s="123"/>
      <c r="DF154" s="195"/>
      <c r="DH154" s="311"/>
      <c r="DI154" s="311"/>
      <c r="DJ154" s="311"/>
      <c r="DK154" s="311"/>
      <c r="DL154" s="321"/>
      <c r="DM154" s="321"/>
      <c r="DN154" s="321"/>
      <c r="DO154" s="321"/>
      <c r="DP154" s="321"/>
      <c r="DQ154" s="321"/>
      <c r="DR154" s="321"/>
      <c r="DS154" s="321"/>
    </row>
    <row r="155" spans="1:123" ht="7.4" customHeight="1" x14ac:dyDescent="0.5">
      <c r="A155" s="42"/>
      <c r="B155" s="42"/>
      <c r="C155" s="311">
        <f>C151+1</f>
        <v>10</v>
      </c>
      <c r="D155" s="311"/>
      <c r="E155" s="41"/>
      <c r="F155" s="42"/>
      <c r="G155" s="319" t="str">
        <f>IF(AL155=0,"N/A","AXE_WS_8"&amp;"_SS")</f>
        <v>AXE_WS_8_SS</v>
      </c>
      <c r="H155" s="319"/>
      <c r="I155" s="319"/>
      <c r="J155" s="319"/>
      <c r="K155" s="319"/>
      <c r="L155" s="319"/>
      <c r="M155" s="319"/>
      <c r="N155" s="319"/>
      <c r="O155" s="319"/>
      <c r="P155" s="319"/>
      <c r="Q155" s="319"/>
      <c r="R155" s="320"/>
      <c r="S155" s="42"/>
      <c r="T155" s="405" t="str">
        <f>VLOOKUP(G155,PL!$B$9:$BH$1265,14,FALSE)</f>
        <v>Spring Washer</v>
      </c>
      <c r="U155" s="405"/>
      <c r="V155" s="405"/>
      <c r="W155" s="405"/>
      <c r="X155" s="405"/>
      <c r="Y155" s="405"/>
      <c r="Z155" s="405"/>
      <c r="AA155" s="405"/>
      <c r="AB155" s="405"/>
      <c r="AC155" s="405"/>
      <c r="AD155" s="405"/>
      <c r="AE155" s="405"/>
      <c r="AF155" s="405"/>
      <c r="AG155" s="405"/>
      <c r="AH155" s="405"/>
      <c r="AI155" s="405"/>
      <c r="AJ155" s="411"/>
      <c r="AK155" s="42"/>
      <c r="AL155" s="311">
        <f>ROUND(SUM(BK155:DF155)*(1+$BF$72),0)</f>
        <v>832</v>
      </c>
      <c r="AM155" s="311"/>
      <c r="AN155" s="311"/>
      <c r="AO155" s="311"/>
      <c r="AP155" s="43"/>
      <c r="AQ155" s="111"/>
      <c r="AR155" s="308" t="str">
        <f>VLOOKUP(G155,PL!$B$9:$BH$818,52,FALSE)</f>
        <v>SOL-5951</v>
      </c>
      <c r="AS155" s="309"/>
      <c r="AT155" s="309"/>
      <c r="AU155" s="309"/>
      <c r="AV155" s="309"/>
      <c r="AW155" s="309"/>
      <c r="AX155" s="309"/>
      <c r="AY155" s="309"/>
      <c r="AZ155" s="309"/>
      <c r="BA155" s="309"/>
      <c r="BB155" s="309"/>
      <c r="BC155" s="309"/>
      <c r="BD155" s="309"/>
      <c r="BE155" s="309"/>
      <c r="BF155" s="309"/>
      <c r="BG155" s="309"/>
      <c r="BH155" s="124"/>
      <c r="BI155" s="41"/>
      <c r="BK155" s="412">
        <f>BK151+BK147</f>
        <v>800</v>
      </c>
      <c r="BL155" s="413"/>
      <c r="BM155" s="414"/>
      <c r="BN155" s="412">
        <f t="shared" ref="BN155" si="45">BN151+BN147</f>
        <v>0</v>
      </c>
      <c r="BO155" s="413"/>
      <c r="BP155" s="414"/>
      <c r="BQ155" s="412">
        <f t="shared" ref="BQ155" si="46">BQ151+BQ147</f>
        <v>0</v>
      </c>
      <c r="BR155" s="413"/>
      <c r="BS155" s="414"/>
      <c r="BT155" s="412">
        <f t="shared" ref="BT155" si="47">BT151+BT147</f>
        <v>0</v>
      </c>
      <c r="BU155" s="413"/>
      <c r="BV155" s="414"/>
      <c r="BW155" s="412">
        <f t="shared" ref="BW155" si="48">BW151+BW147</f>
        <v>0</v>
      </c>
      <c r="BX155" s="413"/>
      <c r="BY155" s="414"/>
      <c r="BZ155" s="412">
        <f t="shared" ref="BZ155" si="49">BZ151+BZ147</f>
        <v>0</v>
      </c>
      <c r="CA155" s="413"/>
      <c r="CB155" s="414"/>
      <c r="CC155" s="412">
        <f t="shared" ref="CC155" si="50">CC151+CC147</f>
        <v>0</v>
      </c>
      <c r="CD155" s="413"/>
      <c r="CE155" s="414"/>
      <c r="CF155" s="412">
        <f t="shared" ref="CF155" si="51">CF151+CF147</f>
        <v>0</v>
      </c>
      <c r="CG155" s="413"/>
      <c r="CH155" s="414"/>
      <c r="CI155" s="412">
        <f t="shared" ref="CI155" si="52">CI151+CI147</f>
        <v>0</v>
      </c>
      <c r="CJ155" s="413"/>
      <c r="CK155" s="414"/>
      <c r="CL155" s="412">
        <f t="shared" ref="CL155" si="53">CL151+CL147</f>
        <v>0</v>
      </c>
      <c r="CM155" s="413"/>
      <c r="CN155" s="414"/>
      <c r="CO155" s="412">
        <f t="shared" ref="CO155" si="54">CO151+CO147</f>
        <v>0</v>
      </c>
      <c r="CP155" s="413"/>
      <c r="CQ155" s="414"/>
      <c r="CR155" s="412">
        <f t="shared" ref="CR155" si="55">CR151+CR147</f>
        <v>0</v>
      </c>
      <c r="CS155" s="413"/>
      <c r="CT155" s="414"/>
      <c r="CU155" s="412">
        <f t="shared" ref="CU155" si="56">CU151+CU147</f>
        <v>0</v>
      </c>
      <c r="CV155" s="413"/>
      <c r="CW155" s="414"/>
      <c r="CX155" s="412">
        <f t="shared" ref="CX155" si="57">CX151+CX147</f>
        <v>0</v>
      </c>
      <c r="CY155" s="413"/>
      <c r="CZ155" s="414"/>
      <c r="DA155" s="412">
        <f t="shared" ref="DA155" si="58">DA151+DA147</f>
        <v>0</v>
      </c>
      <c r="DB155" s="413"/>
      <c r="DC155" s="414"/>
      <c r="DD155" s="412">
        <f t="shared" ref="DD155" si="59">DD151+DD147</f>
        <v>0</v>
      </c>
      <c r="DE155" s="413"/>
      <c r="DF155" s="414"/>
      <c r="DH155" s="311"/>
      <c r="DI155" s="311"/>
      <c r="DJ155" s="311"/>
      <c r="DK155" s="311"/>
      <c r="DL155" s="321"/>
      <c r="DM155" s="321"/>
      <c r="DN155" s="321"/>
      <c r="DO155" s="321"/>
      <c r="DP155" s="321"/>
      <c r="DQ155" s="321"/>
      <c r="DR155" s="321"/>
      <c r="DS155" s="321"/>
    </row>
    <row r="156" spans="1:123" ht="7.4" customHeight="1" x14ac:dyDescent="0.5">
      <c r="A156" s="42"/>
      <c r="B156" s="42"/>
      <c r="C156" s="311"/>
      <c r="D156" s="311"/>
      <c r="E156" s="41"/>
      <c r="F156" s="42"/>
      <c r="G156" s="319"/>
      <c r="H156" s="319"/>
      <c r="I156" s="319"/>
      <c r="J156" s="319"/>
      <c r="K156" s="319"/>
      <c r="L156" s="319"/>
      <c r="M156" s="319"/>
      <c r="N156" s="319"/>
      <c r="O156" s="319"/>
      <c r="P156" s="319"/>
      <c r="Q156" s="319"/>
      <c r="R156" s="320"/>
      <c r="S156" s="42"/>
      <c r="T156" s="405"/>
      <c r="U156" s="405"/>
      <c r="V156" s="405"/>
      <c r="W156" s="405"/>
      <c r="X156" s="405"/>
      <c r="Y156" s="405"/>
      <c r="Z156" s="405"/>
      <c r="AA156" s="405"/>
      <c r="AB156" s="405"/>
      <c r="AC156" s="405"/>
      <c r="AD156" s="405"/>
      <c r="AE156" s="405"/>
      <c r="AF156" s="405"/>
      <c r="AG156" s="405"/>
      <c r="AH156" s="405"/>
      <c r="AI156" s="405"/>
      <c r="AJ156" s="411"/>
      <c r="AK156" s="42"/>
      <c r="AL156" s="311"/>
      <c r="AM156" s="311"/>
      <c r="AN156" s="311"/>
      <c r="AO156" s="311"/>
      <c r="AP156" s="43"/>
      <c r="AQ156" s="111"/>
      <c r="AR156" s="309"/>
      <c r="AS156" s="309"/>
      <c r="AT156" s="309"/>
      <c r="AU156" s="309"/>
      <c r="AV156" s="309"/>
      <c r="AW156" s="309"/>
      <c r="AX156" s="309"/>
      <c r="AY156" s="309"/>
      <c r="AZ156" s="309"/>
      <c r="BA156" s="309"/>
      <c r="BB156" s="309"/>
      <c r="BC156" s="309"/>
      <c r="BD156" s="309"/>
      <c r="BE156" s="309"/>
      <c r="BF156" s="309"/>
      <c r="BG156" s="309"/>
      <c r="BH156" s="124"/>
      <c r="BI156" s="41"/>
      <c r="BK156" s="412"/>
      <c r="BL156" s="413"/>
      <c r="BM156" s="414"/>
      <c r="BN156" s="412"/>
      <c r="BO156" s="413"/>
      <c r="BP156" s="414"/>
      <c r="BQ156" s="412"/>
      <c r="BR156" s="413"/>
      <c r="BS156" s="414"/>
      <c r="BT156" s="412"/>
      <c r="BU156" s="413"/>
      <c r="BV156" s="414"/>
      <c r="BW156" s="412"/>
      <c r="BX156" s="413"/>
      <c r="BY156" s="414"/>
      <c r="BZ156" s="412"/>
      <c r="CA156" s="413"/>
      <c r="CB156" s="414"/>
      <c r="CC156" s="412"/>
      <c r="CD156" s="413"/>
      <c r="CE156" s="414"/>
      <c r="CF156" s="412"/>
      <c r="CG156" s="413"/>
      <c r="CH156" s="414"/>
      <c r="CI156" s="412"/>
      <c r="CJ156" s="413"/>
      <c r="CK156" s="414"/>
      <c r="CL156" s="412"/>
      <c r="CM156" s="413"/>
      <c r="CN156" s="414"/>
      <c r="CO156" s="412"/>
      <c r="CP156" s="413"/>
      <c r="CQ156" s="414"/>
      <c r="CR156" s="412"/>
      <c r="CS156" s="413"/>
      <c r="CT156" s="414"/>
      <c r="CU156" s="412"/>
      <c r="CV156" s="413"/>
      <c r="CW156" s="414"/>
      <c r="CX156" s="412"/>
      <c r="CY156" s="413"/>
      <c r="CZ156" s="414"/>
      <c r="DA156" s="412"/>
      <c r="DB156" s="413"/>
      <c r="DC156" s="414"/>
      <c r="DD156" s="412"/>
      <c r="DE156" s="413"/>
      <c r="DF156" s="414"/>
      <c r="DH156" s="311"/>
      <c r="DI156" s="311"/>
      <c r="DJ156" s="311"/>
      <c r="DK156" s="311"/>
      <c r="DL156" s="321"/>
      <c r="DM156" s="321"/>
      <c r="DN156" s="321"/>
      <c r="DO156" s="321"/>
      <c r="DP156" s="321"/>
      <c r="DQ156" s="321"/>
      <c r="DR156" s="321"/>
      <c r="DS156" s="321"/>
    </row>
    <row r="157" spans="1:123" ht="7.4" customHeight="1" x14ac:dyDescent="0.5">
      <c r="A157" s="42"/>
      <c r="B157" s="42"/>
      <c r="C157" s="333"/>
      <c r="D157" s="333"/>
      <c r="E157" s="41"/>
      <c r="F157" s="42"/>
      <c r="G157" s="56"/>
      <c r="H157" s="56"/>
      <c r="I157" s="56"/>
      <c r="J157" s="56"/>
      <c r="K157" s="56"/>
      <c r="L157" s="56"/>
      <c r="M157" s="56"/>
      <c r="N157" s="56"/>
      <c r="O157" s="56"/>
      <c r="P157" s="56"/>
      <c r="Q157" s="56"/>
      <c r="R157" s="126"/>
      <c r="S157" s="42"/>
      <c r="T157" s="116" t="str">
        <f>VLOOKUP(G155,PL!$B$9:$BH$1265,33,FALSE)</f>
        <v>Stainless Steel, M8</v>
      </c>
      <c r="AJ157" s="41"/>
      <c r="AK157" s="42"/>
      <c r="AL157" s="311"/>
      <c r="AM157" s="311"/>
      <c r="AN157" s="311"/>
      <c r="AO157" s="311"/>
      <c r="AP157" s="43"/>
      <c r="AQ157" s="42"/>
      <c r="AR157" s="46"/>
      <c r="AS157" s="46"/>
      <c r="AT157" s="46"/>
      <c r="AU157" s="46"/>
      <c r="AV157" s="46"/>
      <c r="AW157" s="46"/>
      <c r="AX157" s="105"/>
      <c r="AY157" s="79"/>
      <c r="AZ157" s="119"/>
      <c r="BA157" s="119"/>
      <c r="BB157" s="119"/>
      <c r="BC157" s="119"/>
      <c r="BD157" s="119"/>
      <c r="BE157" s="119"/>
      <c r="BF157" s="119"/>
      <c r="BG157" s="119"/>
      <c r="BH157" s="124"/>
      <c r="BI157" s="41"/>
      <c r="BK157" s="194"/>
      <c r="BL157" s="123"/>
      <c r="BM157" s="195"/>
      <c r="BN157" s="194"/>
      <c r="BO157" s="123"/>
      <c r="BP157" s="195"/>
      <c r="BQ157" s="194"/>
      <c r="BR157" s="123"/>
      <c r="BS157" s="195"/>
      <c r="BT157" s="194"/>
      <c r="BU157" s="123"/>
      <c r="BV157" s="195"/>
      <c r="BW157" s="194"/>
      <c r="BX157" s="123"/>
      <c r="BY157" s="195"/>
      <c r="BZ157" s="194"/>
      <c r="CA157" s="123"/>
      <c r="CB157" s="195"/>
      <c r="CC157" s="194"/>
      <c r="CD157" s="123"/>
      <c r="CE157" s="195"/>
      <c r="CF157" s="194"/>
      <c r="CG157" s="123"/>
      <c r="CH157" s="195"/>
      <c r="CI157" s="194"/>
      <c r="CJ157" s="123"/>
      <c r="CK157" s="195"/>
      <c r="CL157" s="194"/>
      <c r="CM157" s="123"/>
      <c r="CN157" s="195"/>
      <c r="CO157" s="194"/>
      <c r="CP157" s="123"/>
      <c r="CQ157" s="195"/>
      <c r="CR157" s="194"/>
      <c r="CS157" s="123"/>
      <c r="CT157" s="195"/>
      <c r="CU157" s="194"/>
      <c r="CV157" s="123"/>
      <c r="CW157" s="195"/>
      <c r="CX157" s="194"/>
      <c r="CY157" s="123"/>
      <c r="CZ157" s="195"/>
      <c r="DA157" s="194"/>
      <c r="DB157" s="123"/>
      <c r="DC157" s="195"/>
      <c r="DD157" s="194"/>
      <c r="DE157" s="123"/>
      <c r="DF157" s="195"/>
      <c r="DH157" s="311"/>
      <c r="DI157" s="311"/>
      <c r="DJ157" s="311"/>
      <c r="DK157" s="311"/>
      <c r="DL157" s="321"/>
      <c r="DM157" s="321"/>
      <c r="DN157" s="321"/>
      <c r="DO157" s="321"/>
      <c r="DP157" s="321"/>
      <c r="DQ157" s="321"/>
      <c r="DR157" s="321"/>
      <c r="DS157" s="321"/>
    </row>
    <row r="158" spans="1:123" ht="7.4" customHeight="1" x14ac:dyDescent="0.5">
      <c r="A158" s="42"/>
      <c r="B158" s="42"/>
      <c r="C158" s="333"/>
      <c r="D158" s="333"/>
      <c r="E158" s="41"/>
      <c r="F158" s="42"/>
      <c r="G158" s="56"/>
      <c r="H158" s="56"/>
      <c r="I158" s="56"/>
      <c r="J158" s="56"/>
      <c r="K158" s="56"/>
      <c r="L158" s="56"/>
      <c r="M158" s="56"/>
      <c r="N158" s="56"/>
      <c r="O158" s="56"/>
      <c r="P158" s="56"/>
      <c r="Q158" s="56"/>
      <c r="R158" s="126"/>
      <c r="S158" s="42"/>
      <c r="AJ158" s="41"/>
      <c r="AK158" s="42"/>
      <c r="AL158" s="311"/>
      <c r="AM158" s="311"/>
      <c r="AN158" s="311"/>
      <c r="AO158" s="311"/>
      <c r="AP158" s="43"/>
      <c r="AQ158" s="42"/>
      <c r="AR158" s="46"/>
      <c r="AS158" s="46"/>
      <c r="AT158" s="46"/>
      <c r="AU158" s="46"/>
      <c r="AV158" s="46"/>
      <c r="AW158" s="46"/>
      <c r="AX158" s="105"/>
      <c r="AY158" s="79"/>
      <c r="AZ158" s="119"/>
      <c r="BA158" s="119"/>
      <c r="BB158" s="119"/>
      <c r="BC158" s="119"/>
      <c r="BD158" s="119"/>
      <c r="BE158" s="119"/>
      <c r="BF158" s="119"/>
      <c r="BG158" s="119"/>
      <c r="BH158" s="124"/>
      <c r="BI158" s="41"/>
      <c r="BK158" s="194"/>
      <c r="BL158" s="123"/>
      <c r="BM158" s="195"/>
      <c r="BN158" s="194"/>
      <c r="BO158" s="123"/>
      <c r="BP158" s="195"/>
      <c r="BQ158" s="194"/>
      <c r="BR158" s="123"/>
      <c r="BS158" s="195"/>
      <c r="BT158" s="194"/>
      <c r="BU158" s="123"/>
      <c r="BV158" s="195"/>
      <c r="BW158" s="194"/>
      <c r="BX158" s="123"/>
      <c r="BY158" s="195"/>
      <c r="BZ158" s="194"/>
      <c r="CA158" s="123"/>
      <c r="CB158" s="195"/>
      <c r="CC158" s="194"/>
      <c r="CD158" s="123"/>
      <c r="CE158" s="195"/>
      <c r="CF158" s="194"/>
      <c r="CG158" s="123"/>
      <c r="CH158" s="195"/>
      <c r="CI158" s="194"/>
      <c r="CJ158" s="123"/>
      <c r="CK158" s="195"/>
      <c r="CL158" s="194"/>
      <c r="CM158" s="123"/>
      <c r="CN158" s="195"/>
      <c r="CO158" s="194"/>
      <c r="CP158" s="123"/>
      <c r="CQ158" s="195"/>
      <c r="CR158" s="194"/>
      <c r="CS158" s="123"/>
      <c r="CT158" s="195"/>
      <c r="CU158" s="194"/>
      <c r="CV158" s="123"/>
      <c r="CW158" s="195"/>
      <c r="CX158" s="194"/>
      <c r="CY158" s="123"/>
      <c r="CZ158" s="195"/>
      <c r="DA158" s="194"/>
      <c r="DB158" s="123"/>
      <c r="DC158" s="195"/>
      <c r="DD158" s="194"/>
      <c r="DE158" s="123"/>
      <c r="DF158" s="195"/>
      <c r="DH158" s="311"/>
      <c r="DI158" s="311"/>
      <c r="DJ158" s="311"/>
      <c r="DK158" s="311"/>
      <c r="DL158" s="321"/>
      <c r="DM158" s="321"/>
      <c r="DN158" s="321"/>
      <c r="DO158" s="321"/>
      <c r="DP158" s="321"/>
      <c r="DQ158" s="321"/>
      <c r="DR158" s="321"/>
      <c r="DS158" s="321"/>
    </row>
    <row r="159" spans="1:123" ht="7.4" customHeight="1" x14ac:dyDescent="0.5">
      <c r="A159" s="42"/>
      <c r="B159" s="42"/>
      <c r="C159" s="311">
        <f>C155+1</f>
        <v>11</v>
      </c>
      <c r="D159" s="311"/>
      <c r="E159" s="41"/>
      <c r="F159" s="42"/>
      <c r="G159" s="319" t="str">
        <f>IF(AL159=0,"N/A","AXE_NHF_8_SS")</f>
        <v>AXE_NHF_8_SS</v>
      </c>
      <c r="H159" s="319"/>
      <c r="I159" s="319"/>
      <c r="J159" s="319"/>
      <c r="K159" s="319"/>
      <c r="L159" s="319"/>
      <c r="M159" s="319"/>
      <c r="N159" s="319"/>
      <c r="O159" s="319"/>
      <c r="P159" s="319"/>
      <c r="Q159" s="319"/>
      <c r="R159" s="320"/>
      <c r="S159" s="42"/>
      <c r="T159" s="405" t="str">
        <f>VLOOKUP(G159,PL!$B$9:$BH$1265,14,FALSE)</f>
        <v>Hex Flange Nut</v>
      </c>
      <c r="U159" s="405"/>
      <c r="V159" s="405"/>
      <c r="W159" s="405"/>
      <c r="X159" s="405"/>
      <c r="Y159" s="405"/>
      <c r="Z159" s="405"/>
      <c r="AA159" s="405"/>
      <c r="AB159" s="405"/>
      <c r="AC159" s="405"/>
      <c r="AD159" s="405"/>
      <c r="AE159" s="405"/>
      <c r="AF159" s="405"/>
      <c r="AG159" s="405"/>
      <c r="AH159" s="405"/>
      <c r="AI159" s="405"/>
      <c r="AJ159" s="411"/>
      <c r="AK159" s="42"/>
      <c r="AL159" s="311">
        <f>ROUND(SUM(BK159:DF159)*(1+$BF$72),0)</f>
        <v>832</v>
      </c>
      <c r="AM159" s="311"/>
      <c r="AN159" s="311"/>
      <c r="AO159" s="311"/>
      <c r="AP159" s="43"/>
      <c r="AQ159" s="111"/>
      <c r="AR159" s="308" t="str">
        <f>VLOOKUP(G159,PL!$B$9:$BH$818,52,FALSE)</f>
        <v>SOL-59530</v>
      </c>
      <c r="AS159" s="309"/>
      <c r="AT159" s="309"/>
      <c r="AU159" s="309"/>
      <c r="AV159" s="309"/>
      <c r="AW159" s="309"/>
      <c r="AX159" s="309"/>
      <c r="AY159" s="309"/>
      <c r="AZ159" s="309"/>
      <c r="BA159" s="309"/>
      <c r="BB159" s="309"/>
      <c r="BC159" s="309"/>
      <c r="BD159" s="309"/>
      <c r="BE159" s="309"/>
      <c r="BF159" s="309"/>
      <c r="BG159" s="309"/>
      <c r="BH159" s="124"/>
      <c r="BI159" s="41"/>
      <c r="BK159" s="412">
        <f>BK147</f>
        <v>800</v>
      </c>
      <c r="BL159" s="413"/>
      <c r="BM159" s="414"/>
      <c r="BN159" s="412">
        <f t="shared" ref="BN159" si="60">BN147</f>
        <v>0</v>
      </c>
      <c r="BO159" s="413"/>
      <c r="BP159" s="414"/>
      <c r="BQ159" s="412">
        <f t="shared" ref="BQ159" si="61">BQ147</f>
        <v>0</v>
      </c>
      <c r="BR159" s="413"/>
      <c r="BS159" s="414"/>
      <c r="BT159" s="412">
        <f t="shared" ref="BT159" si="62">BT147</f>
        <v>0</v>
      </c>
      <c r="BU159" s="413"/>
      <c r="BV159" s="414"/>
      <c r="BW159" s="412">
        <f t="shared" ref="BW159" si="63">BW147</f>
        <v>0</v>
      </c>
      <c r="BX159" s="413"/>
      <c r="BY159" s="414"/>
      <c r="BZ159" s="412">
        <f t="shared" ref="BZ159" si="64">BZ147</f>
        <v>0</v>
      </c>
      <c r="CA159" s="413"/>
      <c r="CB159" s="414"/>
      <c r="CC159" s="412">
        <f t="shared" ref="CC159" si="65">CC147</f>
        <v>0</v>
      </c>
      <c r="CD159" s="413"/>
      <c r="CE159" s="414"/>
      <c r="CF159" s="412">
        <f t="shared" ref="CF159" si="66">CF147</f>
        <v>0</v>
      </c>
      <c r="CG159" s="413"/>
      <c r="CH159" s="414"/>
      <c r="CI159" s="412">
        <f t="shared" ref="CI159" si="67">CI147</f>
        <v>0</v>
      </c>
      <c r="CJ159" s="413"/>
      <c r="CK159" s="414"/>
      <c r="CL159" s="412">
        <f t="shared" ref="CL159" si="68">CL147</f>
        <v>0</v>
      </c>
      <c r="CM159" s="413"/>
      <c r="CN159" s="414"/>
      <c r="CO159" s="412">
        <f t="shared" ref="CO159" si="69">CO147</f>
        <v>0</v>
      </c>
      <c r="CP159" s="413"/>
      <c r="CQ159" s="414"/>
      <c r="CR159" s="412">
        <f t="shared" ref="CR159" si="70">CR147</f>
        <v>0</v>
      </c>
      <c r="CS159" s="413"/>
      <c r="CT159" s="414"/>
      <c r="CU159" s="412">
        <f t="shared" ref="CU159" si="71">CU147</f>
        <v>0</v>
      </c>
      <c r="CV159" s="413"/>
      <c r="CW159" s="414"/>
      <c r="CX159" s="412">
        <f t="shared" ref="CX159" si="72">CX147</f>
        <v>0</v>
      </c>
      <c r="CY159" s="413"/>
      <c r="CZ159" s="414"/>
      <c r="DA159" s="412">
        <f t="shared" ref="DA159" si="73">DA147</f>
        <v>0</v>
      </c>
      <c r="DB159" s="413"/>
      <c r="DC159" s="414"/>
      <c r="DD159" s="412">
        <f t="shared" ref="DD159" si="74">DD147</f>
        <v>0</v>
      </c>
      <c r="DE159" s="413"/>
      <c r="DF159" s="414"/>
      <c r="DH159" s="311"/>
      <c r="DI159" s="311"/>
      <c r="DJ159" s="311"/>
      <c r="DK159" s="311"/>
      <c r="DL159" s="321"/>
      <c r="DM159" s="321"/>
      <c r="DN159" s="321"/>
      <c r="DO159" s="321"/>
      <c r="DP159" s="321"/>
      <c r="DQ159" s="321"/>
      <c r="DR159" s="321"/>
      <c r="DS159" s="321"/>
    </row>
    <row r="160" spans="1:123" ht="7.4" customHeight="1" x14ac:dyDescent="0.5">
      <c r="A160" s="42"/>
      <c r="B160" s="42"/>
      <c r="C160" s="311"/>
      <c r="D160" s="311"/>
      <c r="E160" s="41"/>
      <c r="F160" s="42"/>
      <c r="G160" s="319"/>
      <c r="H160" s="319"/>
      <c r="I160" s="319"/>
      <c r="J160" s="319"/>
      <c r="K160" s="319"/>
      <c r="L160" s="319"/>
      <c r="M160" s="319"/>
      <c r="N160" s="319"/>
      <c r="O160" s="319"/>
      <c r="P160" s="319"/>
      <c r="Q160" s="319"/>
      <c r="R160" s="320"/>
      <c r="S160" s="42"/>
      <c r="T160" s="405"/>
      <c r="U160" s="405"/>
      <c r="V160" s="405"/>
      <c r="W160" s="405"/>
      <c r="X160" s="405"/>
      <c r="Y160" s="405"/>
      <c r="Z160" s="405"/>
      <c r="AA160" s="405"/>
      <c r="AB160" s="405"/>
      <c r="AC160" s="405"/>
      <c r="AD160" s="405"/>
      <c r="AE160" s="405"/>
      <c r="AF160" s="405"/>
      <c r="AG160" s="405"/>
      <c r="AH160" s="405"/>
      <c r="AI160" s="405"/>
      <c r="AJ160" s="411"/>
      <c r="AK160" s="42"/>
      <c r="AL160" s="311"/>
      <c r="AM160" s="311"/>
      <c r="AN160" s="311"/>
      <c r="AO160" s="311"/>
      <c r="AP160" s="43"/>
      <c r="AQ160" s="111"/>
      <c r="AR160" s="309"/>
      <c r="AS160" s="309"/>
      <c r="AT160" s="309"/>
      <c r="AU160" s="309"/>
      <c r="AV160" s="309"/>
      <c r="AW160" s="309"/>
      <c r="AX160" s="309"/>
      <c r="AY160" s="309"/>
      <c r="AZ160" s="309"/>
      <c r="BA160" s="309"/>
      <c r="BB160" s="309"/>
      <c r="BC160" s="309"/>
      <c r="BD160" s="309"/>
      <c r="BE160" s="309"/>
      <c r="BF160" s="309"/>
      <c r="BG160" s="309"/>
      <c r="BH160" s="124"/>
      <c r="BI160" s="41"/>
      <c r="BK160" s="412"/>
      <c r="BL160" s="413"/>
      <c r="BM160" s="414"/>
      <c r="BN160" s="412"/>
      <c r="BO160" s="413"/>
      <c r="BP160" s="414"/>
      <c r="BQ160" s="412"/>
      <c r="BR160" s="413"/>
      <c r="BS160" s="414"/>
      <c r="BT160" s="412"/>
      <c r="BU160" s="413"/>
      <c r="BV160" s="414"/>
      <c r="BW160" s="412"/>
      <c r="BX160" s="413"/>
      <c r="BY160" s="414"/>
      <c r="BZ160" s="412"/>
      <c r="CA160" s="413"/>
      <c r="CB160" s="414"/>
      <c r="CC160" s="412"/>
      <c r="CD160" s="413"/>
      <c r="CE160" s="414"/>
      <c r="CF160" s="412"/>
      <c r="CG160" s="413"/>
      <c r="CH160" s="414"/>
      <c r="CI160" s="412"/>
      <c r="CJ160" s="413"/>
      <c r="CK160" s="414"/>
      <c r="CL160" s="412"/>
      <c r="CM160" s="413"/>
      <c r="CN160" s="414"/>
      <c r="CO160" s="412"/>
      <c r="CP160" s="413"/>
      <c r="CQ160" s="414"/>
      <c r="CR160" s="412"/>
      <c r="CS160" s="413"/>
      <c r="CT160" s="414"/>
      <c r="CU160" s="412"/>
      <c r="CV160" s="413"/>
      <c r="CW160" s="414"/>
      <c r="CX160" s="412"/>
      <c r="CY160" s="413"/>
      <c r="CZ160" s="414"/>
      <c r="DA160" s="412"/>
      <c r="DB160" s="413"/>
      <c r="DC160" s="414"/>
      <c r="DD160" s="412"/>
      <c r="DE160" s="413"/>
      <c r="DF160" s="414"/>
      <c r="DH160" s="311"/>
      <c r="DI160" s="311"/>
      <c r="DJ160" s="311"/>
      <c r="DK160" s="311"/>
      <c r="DL160" s="321"/>
      <c r="DM160" s="321"/>
      <c r="DN160" s="321"/>
      <c r="DO160" s="321"/>
      <c r="DP160" s="321"/>
      <c r="DQ160" s="321"/>
      <c r="DR160" s="321"/>
      <c r="DS160" s="321"/>
    </row>
    <row r="161" spans="1:123" ht="7.4" customHeight="1" x14ac:dyDescent="0.5">
      <c r="A161" s="42"/>
      <c r="B161" s="42"/>
      <c r="C161" s="333"/>
      <c r="D161" s="333"/>
      <c r="E161" s="41"/>
      <c r="F161" s="42"/>
      <c r="G161" s="56"/>
      <c r="H161" s="56"/>
      <c r="I161" s="56"/>
      <c r="J161" s="56"/>
      <c r="K161" s="56"/>
      <c r="L161" s="56"/>
      <c r="M161" s="56"/>
      <c r="N161" s="56"/>
      <c r="O161" s="56"/>
      <c r="P161" s="56"/>
      <c r="Q161" s="56"/>
      <c r="R161" s="126"/>
      <c r="S161" s="42"/>
      <c r="T161" s="116" t="str">
        <f>VLOOKUP(G159,PL!$B$9:$BH$1265,33,FALSE)</f>
        <v>Stainless Steel, M8</v>
      </c>
      <c r="AJ161" s="41"/>
      <c r="AK161" s="42"/>
      <c r="AL161" s="311"/>
      <c r="AM161" s="311"/>
      <c r="AN161" s="311"/>
      <c r="AO161" s="311"/>
      <c r="AP161" s="43"/>
      <c r="AQ161" s="42"/>
      <c r="AR161" s="46"/>
      <c r="AS161" s="46"/>
      <c r="AT161" s="46"/>
      <c r="AU161" s="46"/>
      <c r="AV161" s="46"/>
      <c r="AW161" s="46"/>
      <c r="AX161" s="105"/>
      <c r="AY161" s="79"/>
      <c r="AZ161" s="119"/>
      <c r="BA161" s="119"/>
      <c r="BB161" s="119"/>
      <c r="BC161" s="119"/>
      <c r="BD161" s="119"/>
      <c r="BE161" s="119"/>
      <c r="BF161" s="119"/>
      <c r="BG161" s="119"/>
      <c r="BH161" s="124"/>
      <c r="BI161" s="41"/>
      <c r="BK161" s="194"/>
      <c r="BL161" s="123"/>
      <c r="BM161" s="195"/>
      <c r="BN161" s="194"/>
      <c r="BO161" s="123"/>
      <c r="BP161" s="195"/>
      <c r="BQ161" s="194"/>
      <c r="BR161" s="123"/>
      <c r="BS161" s="195"/>
      <c r="BT161" s="194"/>
      <c r="BU161" s="123"/>
      <c r="BV161" s="195"/>
      <c r="BW161" s="194"/>
      <c r="BX161" s="123"/>
      <c r="BY161" s="195"/>
      <c r="BZ161" s="194"/>
      <c r="CA161" s="123"/>
      <c r="CB161" s="195"/>
      <c r="CC161" s="194"/>
      <c r="CD161" s="123"/>
      <c r="CE161" s="195"/>
      <c r="CF161" s="194"/>
      <c r="CG161" s="123"/>
      <c r="CH161" s="195"/>
      <c r="CI161" s="194"/>
      <c r="CJ161" s="123"/>
      <c r="CK161" s="195"/>
      <c r="CL161" s="194"/>
      <c r="CM161" s="123"/>
      <c r="CN161" s="195"/>
      <c r="CO161" s="194"/>
      <c r="CP161" s="123"/>
      <c r="CQ161" s="195"/>
      <c r="CR161" s="194"/>
      <c r="CS161" s="123"/>
      <c r="CT161" s="195"/>
      <c r="CU161" s="194"/>
      <c r="CV161" s="123"/>
      <c r="CW161" s="195"/>
      <c r="CX161" s="194"/>
      <c r="CY161" s="123"/>
      <c r="CZ161" s="195"/>
      <c r="DA161" s="194"/>
      <c r="DB161" s="123"/>
      <c r="DC161" s="195"/>
      <c r="DD161" s="194"/>
      <c r="DE161" s="123"/>
      <c r="DF161" s="195"/>
      <c r="DH161" s="311"/>
      <c r="DI161" s="311"/>
      <c r="DJ161" s="311"/>
      <c r="DK161" s="311"/>
      <c r="DL161" s="321"/>
      <c r="DM161" s="321"/>
      <c r="DN161" s="321"/>
      <c r="DO161" s="321"/>
      <c r="DP161" s="321"/>
      <c r="DQ161" s="321"/>
      <c r="DR161" s="321"/>
      <c r="DS161" s="321"/>
    </row>
    <row r="162" spans="1:123" ht="7.4" customHeight="1" x14ac:dyDescent="0.5">
      <c r="A162" s="42"/>
      <c r="B162" s="42"/>
      <c r="C162" s="333"/>
      <c r="D162" s="333"/>
      <c r="E162" s="41"/>
      <c r="F162" s="42"/>
      <c r="G162" s="56"/>
      <c r="H162" s="56"/>
      <c r="I162" s="56"/>
      <c r="J162" s="56"/>
      <c r="K162" s="56"/>
      <c r="L162" s="56"/>
      <c r="M162" s="56"/>
      <c r="N162" s="56"/>
      <c r="O162" s="56"/>
      <c r="P162" s="56"/>
      <c r="Q162" s="56"/>
      <c r="R162" s="126"/>
      <c r="S162" s="42"/>
      <c r="AJ162" s="41"/>
      <c r="AK162" s="42"/>
      <c r="AL162" s="311"/>
      <c r="AM162" s="311"/>
      <c r="AN162" s="311"/>
      <c r="AO162" s="311"/>
      <c r="AP162" s="43"/>
      <c r="AQ162" s="42"/>
      <c r="AR162" s="46"/>
      <c r="AS162" s="46"/>
      <c r="AT162" s="46"/>
      <c r="AU162" s="46"/>
      <c r="AV162" s="46"/>
      <c r="AW162" s="46"/>
      <c r="AX162" s="105"/>
      <c r="AY162" s="79"/>
      <c r="AZ162" s="119"/>
      <c r="BA162" s="119"/>
      <c r="BB162" s="119"/>
      <c r="BC162" s="119"/>
      <c r="BD162" s="119"/>
      <c r="BE162" s="119"/>
      <c r="BF162" s="119"/>
      <c r="BG162" s="119"/>
      <c r="BH162" s="124"/>
      <c r="BI162" s="41"/>
      <c r="BK162" s="194"/>
      <c r="BL162" s="123"/>
      <c r="BM162" s="195"/>
      <c r="BN162" s="194"/>
      <c r="BO162" s="123"/>
      <c r="BP162" s="195"/>
      <c r="BQ162" s="194"/>
      <c r="BR162" s="123"/>
      <c r="BS162" s="195"/>
      <c r="BT162" s="194"/>
      <c r="BU162" s="123"/>
      <c r="BV162" s="195"/>
      <c r="BW162" s="194"/>
      <c r="BX162" s="123"/>
      <c r="BY162" s="195"/>
      <c r="BZ162" s="194"/>
      <c r="CA162" s="123"/>
      <c r="CB162" s="195"/>
      <c r="CC162" s="194"/>
      <c r="CD162" s="123"/>
      <c r="CE162" s="195"/>
      <c r="CF162" s="194"/>
      <c r="CG162" s="123"/>
      <c r="CH162" s="195"/>
      <c r="CI162" s="194"/>
      <c r="CJ162" s="123"/>
      <c r="CK162" s="195"/>
      <c r="CL162" s="194"/>
      <c r="CM162" s="123"/>
      <c r="CN162" s="195"/>
      <c r="CO162" s="194"/>
      <c r="CP162" s="123"/>
      <c r="CQ162" s="195"/>
      <c r="CR162" s="194"/>
      <c r="CS162" s="123"/>
      <c r="CT162" s="195"/>
      <c r="CU162" s="194"/>
      <c r="CV162" s="123"/>
      <c r="CW162" s="195"/>
      <c r="CX162" s="194"/>
      <c r="CY162" s="123"/>
      <c r="CZ162" s="195"/>
      <c r="DA162" s="194"/>
      <c r="DB162" s="123"/>
      <c r="DC162" s="195"/>
      <c r="DD162" s="194"/>
      <c r="DE162" s="123"/>
      <c r="DF162" s="195"/>
      <c r="DH162" s="311"/>
      <c r="DI162" s="311"/>
      <c r="DJ162" s="311"/>
      <c r="DK162" s="311"/>
      <c r="DL162" s="321"/>
      <c r="DM162" s="321"/>
      <c r="DN162" s="321"/>
      <c r="DO162" s="321"/>
      <c r="DP162" s="321"/>
      <c r="DQ162" s="321"/>
      <c r="DR162" s="321"/>
      <c r="DS162" s="321"/>
    </row>
    <row r="163" spans="1:123" ht="7.4" customHeight="1" x14ac:dyDescent="0.5">
      <c r="A163" s="42"/>
      <c r="B163" s="42"/>
      <c r="C163" s="311">
        <f>C159+1</f>
        <v>12</v>
      </c>
      <c r="D163" s="311"/>
      <c r="E163" s="41"/>
      <c r="F163" s="42"/>
      <c r="G163" s="319" t="str">
        <f>IF(AL163=0,"N/A","AXE_NSQ_8_SS")</f>
        <v>N/A</v>
      </c>
      <c r="H163" s="319"/>
      <c r="I163" s="319"/>
      <c r="J163" s="319"/>
      <c r="K163" s="319"/>
      <c r="L163" s="319"/>
      <c r="M163" s="319"/>
      <c r="N163" s="319"/>
      <c r="O163" s="319"/>
      <c r="P163" s="319"/>
      <c r="Q163" s="319"/>
      <c r="R163" s="320"/>
      <c r="S163" s="42"/>
      <c r="T163" s="405" t="str">
        <f>VLOOKUP(G163,PL!$B$9:$BH$1265,14,FALSE)</f>
        <v>No Item</v>
      </c>
      <c r="U163" s="405"/>
      <c r="V163" s="405"/>
      <c r="W163" s="405"/>
      <c r="X163" s="405"/>
      <c r="Y163" s="405"/>
      <c r="Z163" s="405"/>
      <c r="AA163" s="405"/>
      <c r="AB163" s="405"/>
      <c r="AC163" s="405"/>
      <c r="AD163" s="405"/>
      <c r="AE163" s="405"/>
      <c r="AF163" s="405"/>
      <c r="AG163" s="405"/>
      <c r="AH163" s="405"/>
      <c r="AI163" s="405"/>
      <c r="AJ163" s="411"/>
      <c r="AK163" s="42"/>
      <c r="AL163" s="311">
        <f>ROUND(SUM(BK163:DF163)*(1+$BF$72),0)</f>
        <v>0</v>
      </c>
      <c r="AM163" s="311"/>
      <c r="AN163" s="311"/>
      <c r="AO163" s="311"/>
      <c r="AP163" s="43"/>
      <c r="AQ163" s="111"/>
      <c r="AR163" s="308" t="str">
        <f>VLOOKUP(G163,PL!$B$9:$BH$818,52,FALSE)</f>
        <v>-</v>
      </c>
      <c r="AS163" s="309"/>
      <c r="AT163" s="309"/>
      <c r="AU163" s="309"/>
      <c r="AV163" s="309"/>
      <c r="AW163" s="309"/>
      <c r="AX163" s="309"/>
      <c r="AY163" s="309"/>
      <c r="AZ163" s="309"/>
      <c r="BA163" s="309"/>
      <c r="BB163" s="309"/>
      <c r="BC163" s="309"/>
      <c r="BD163" s="309"/>
      <c r="BE163" s="309"/>
      <c r="BF163" s="309"/>
      <c r="BG163" s="309"/>
      <c r="BH163" s="124"/>
      <c r="BI163" s="41"/>
      <c r="BK163" s="412">
        <f>BK151+BK143-IF(MID($G$127,8,2)="PF",BK131,0)</f>
        <v>0</v>
      </c>
      <c r="BL163" s="413"/>
      <c r="BM163" s="414"/>
      <c r="BN163" s="412">
        <f t="shared" ref="BN163" si="75">BN151+BN143-IF(MID($G$127,8,2)="PF",BN131,0)</f>
        <v>0</v>
      </c>
      <c r="BO163" s="413"/>
      <c r="BP163" s="414"/>
      <c r="BQ163" s="412">
        <f t="shared" ref="BQ163" si="76">BQ151+BQ143-IF(MID($G$127,8,2)="PF",BQ131,0)</f>
        <v>0</v>
      </c>
      <c r="BR163" s="413"/>
      <c r="BS163" s="414"/>
      <c r="BT163" s="412">
        <f t="shared" ref="BT163" si="77">BT151+BT143-IF(MID($G$127,8,2)="PF",BT131,0)</f>
        <v>0</v>
      </c>
      <c r="BU163" s="413"/>
      <c r="BV163" s="414"/>
      <c r="BW163" s="412">
        <f t="shared" ref="BW163" si="78">BW151+BW143-IF(MID($G$127,8,2)="PF",BW131,0)</f>
        <v>0</v>
      </c>
      <c r="BX163" s="413"/>
      <c r="BY163" s="414"/>
      <c r="BZ163" s="412">
        <f t="shared" ref="BZ163" si="79">BZ151+BZ143-IF(MID($G$127,8,2)="PF",BZ131,0)</f>
        <v>0</v>
      </c>
      <c r="CA163" s="413"/>
      <c r="CB163" s="414"/>
      <c r="CC163" s="412">
        <f t="shared" ref="CC163" si="80">CC151+CC143-IF(MID($G$127,8,2)="PF",CC131,0)</f>
        <v>0</v>
      </c>
      <c r="CD163" s="413"/>
      <c r="CE163" s="414"/>
      <c r="CF163" s="412">
        <f t="shared" ref="CF163" si="81">CF151+CF143-IF(MID($G$127,8,2)="PF",CF131,0)</f>
        <v>0</v>
      </c>
      <c r="CG163" s="413"/>
      <c r="CH163" s="414"/>
      <c r="CI163" s="412">
        <f t="shared" ref="CI163" si="82">CI151+CI143-IF(MID($G$127,8,2)="PF",CI131,0)</f>
        <v>0</v>
      </c>
      <c r="CJ163" s="413"/>
      <c r="CK163" s="414"/>
      <c r="CL163" s="412">
        <f t="shared" ref="CL163" si="83">CL151+CL143-IF(MID($G$127,8,2)="PF",CL131,0)</f>
        <v>0</v>
      </c>
      <c r="CM163" s="413"/>
      <c r="CN163" s="414"/>
      <c r="CO163" s="412">
        <f t="shared" ref="CO163" si="84">CO151+CO143-IF(MID($G$127,8,2)="PF",CO131,0)</f>
        <v>0</v>
      </c>
      <c r="CP163" s="413"/>
      <c r="CQ163" s="414"/>
      <c r="CR163" s="412">
        <f t="shared" ref="CR163" si="85">CR151+CR143-IF(MID($G$127,8,2)="PF",CR131,0)</f>
        <v>0</v>
      </c>
      <c r="CS163" s="413"/>
      <c r="CT163" s="414"/>
      <c r="CU163" s="412">
        <f t="shared" ref="CU163" si="86">CU151+CU143-IF(MID($G$127,8,2)="PF",CU131,0)</f>
        <v>0</v>
      </c>
      <c r="CV163" s="413"/>
      <c r="CW163" s="414"/>
      <c r="CX163" s="412">
        <f t="shared" ref="CX163" si="87">CX151+CX143-IF(MID($G$127,8,2)="PF",CX131,0)</f>
        <v>0</v>
      </c>
      <c r="CY163" s="413"/>
      <c r="CZ163" s="414"/>
      <c r="DA163" s="412">
        <f t="shared" ref="DA163" si="88">DA151+DA143-IF(MID($G$127,8,2)="PF",DA131,0)</f>
        <v>0</v>
      </c>
      <c r="DB163" s="413"/>
      <c r="DC163" s="414"/>
      <c r="DD163" s="412">
        <f t="shared" ref="DD163" si="89">DD151+DD143-IF(MID($G$127,8,2)="PF",DD131,0)</f>
        <v>0</v>
      </c>
      <c r="DE163" s="413"/>
      <c r="DF163" s="414"/>
      <c r="DH163" s="311"/>
      <c r="DI163" s="311"/>
      <c r="DJ163" s="311"/>
      <c r="DK163" s="311"/>
      <c r="DL163" s="321"/>
      <c r="DM163" s="321"/>
      <c r="DN163" s="321"/>
      <c r="DO163" s="321"/>
      <c r="DP163" s="321"/>
      <c r="DQ163" s="321"/>
      <c r="DR163" s="321"/>
      <c r="DS163" s="321"/>
    </row>
    <row r="164" spans="1:123" ht="7.4" customHeight="1" x14ac:dyDescent="0.5">
      <c r="A164" s="42"/>
      <c r="B164" s="42"/>
      <c r="C164" s="311"/>
      <c r="D164" s="311"/>
      <c r="E164" s="41"/>
      <c r="F164" s="42"/>
      <c r="G164" s="319"/>
      <c r="H164" s="319"/>
      <c r="I164" s="319"/>
      <c r="J164" s="319"/>
      <c r="K164" s="319"/>
      <c r="L164" s="319"/>
      <c r="M164" s="319"/>
      <c r="N164" s="319"/>
      <c r="O164" s="319"/>
      <c r="P164" s="319"/>
      <c r="Q164" s="319"/>
      <c r="R164" s="320"/>
      <c r="S164" s="42"/>
      <c r="T164" s="405"/>
      <c r="U164" s="405"/>
      <c r="V164" s="405"/>
      <c r="W164" s="405"/>
      <c r="X164" s="405"/>
      <c r="Y164" s="405"/>
      <c r="Z164" s="405"/>
      <c r="AA164" s="405"/>
      <c r="AB164" s="405"/>
      <c r="AC164" s="405"/>
      <c r="AD164" s="405"/>
      <c r="AE164" s="405"/>
      <c r="AF164" s="405"/>
      <c r="AG164" s="405"/>
      <c r="AH164" s="405"/>
      <c r="AI164" s="405"/>
      <c r="AJ164" s="411"/>
      <c r="AK164" s="42"/>
      <c r="AL164" s="311"/>
      <c r="AM164" s="311"/>
      <c r="AN164" s="311"/>
      <c r="AO164" s="311"/>
      <c r="AP164" s="43"/>
      <c r="AQ164" s="111"/>
      <c r="AR164" s="309"/>
      <c r="AS164" s="309"/>
      <c r="AT164" s="309"/>
      <c r="AU164" s="309"/>
      <c r="AV164" s="309"/>
      <c r="AW164" s="309"/>
      <c r="AX164" s="309"/>
      <c r="AY164" s="309"/>
      <c r="AZ164" s="309"/>
      <c r="BA164" s="309"/>
      <c r="BB164" s="309"/>
      <c r="BC164" s="309"/>
      <c r="BD164" s="309"/>
      <c r="BE164" s="309"/>
      <c r="BF164" s="309"/>
      <c r="BG164" s="309"/>
      <c r="BH164" s="124"/>
      <c r="BI164" s="41"/>
      <c r="BK164" s="412"/>
      <c r="BL164" s="413"/>
      <c r="BM164" s="414"/>
      <c r="BN164" s="412"/>
      <c r="BO164" s="413"/>
      <c r="BP164" s="414"/>
      <c r="BQ164" s="412"/>
      <c r="BR164" s="413"/>
      <c r="BS164" s="414"/>
      <c r="BT164" s="412"/>
      <c r="BU164" s="413"/>
      <c r="BV164" s="414"/>
      <c r="BW164" s="412"/>
      <c r="BX164" s="413"/>
      <c r="BY164" s="414"/>
      <c r="BZ164" s="412"/>
      <c r="CA164" s="413"/>
      <c r="CB164" s="414"/>
      <c r="CC164" s="412"/>
      <c r="CD164" s="413"/>
      <c r="CE164" s="414"/>
      <c r="CF164" s="412"/>
      <c r="CG164" s="413"/>
      <c r="CH164" s="414"/>
      <c r="CI164" s="412"/>
      <c r="CJ164" s="413"/>
      <c r="CK164" s="414"/>
      <c r="CL164" s="412"/>
      <c r="CM164" s="413"/>
      <c r="CN164" s="414"/>
      <c r="CO164" s="412"/>
      <c r="CP164" s="413"/>
      <c r="CQ164" s="414"/>
      <c r="CR164" s="412"/>
      <c r="CS164" s="413"/>
      <c r="CT164" s="414"/>
      <c r="CU164" s="412"/>
      <c r="CV164" s="413"/>
      <c r="CW164" s="414"/>
      <c r="CX164" s="412"/>
      <c r="CY164" s="413"/>
      <c r="CZ164" s="414"/>
      <c r="DA164" s="412"/>
      <c r="DB164" s="413"/>
      <c r="DC164" s="414"/>
      <c r="DD164" s="412"/>
      <c r="DE164" s="413"/>
      <c r="DF164" s="414"/>
      <c r="DH164" s="311"/>
      <c r="DI164" s="311"/>
      <c r="DJ164" s="311"/>
      <c r="DK164" s="311"/>
      <c r="DL164" s="321"/>
      <c r="DM164" s="321"/>
      <c r="DN164" s="321"/>
      <c r="DO164" s="321"/>
      <c r="DP164" s="321"/>
      <c r="DQ164" s="321"/>
      <c r="DR164" s="321"/>
      <c r="DS164" s="321"/>
    </row>
    <row r="165" spans="1:123" ht="7.4" customHeight="1" x14ac:dyDescent="0.5">
      <c r="A165" s="42"/>
      <c r="B165" s="42"/>
      <c r="C165" s="333"/>
      <c r="D165" s="333"/>
      <c r="E165" s="41"/>
      <c r="F165" s="42"/>
      <c r="G165" s="56"/>
      <c r="H165" s="56"/>
      <c r="I165" s="56"/>
      <c r="J165" s="56"/>
      <c r="K165" s="56"/>
      <c r="L165" s="56"/>
      <c r="M165" s="56"/>
      <c r="N165" s="56"/>
      <c r="O165" s="56"/>
      <c r="P165" s="56"/>
      <c r="Q165" s="56"/>
      <c r="R165" s="126"/>
      <c r="S165" s="42"/>
      <c r="T165" s="116" t="str">
        <f>VLOOKUP(G163,PL!$B$9:$BH$1265,33,FALSE)</f>
        <v>.</v>
      </c>
      <c r="AJ165" s="41"/>
      <c r="AK165" s="42"/>
      <c r="AL165" s="311"/>
      <c r="AM165" s="311"/>
      <c r="AN165" s="311"/>
      <c r="AO165" s="311"/>
      <c r="AP165" s="43"/>
      <c r="AQ165" s="42"/>
      <c r="AR165" s="46"/>
      <c r="AS165" s="46"/>
      <c r="AT165" s="46"/>
      <c r="AU165" s="46"/>
      <c r="AV165" s="46"/>
      <c r="AW165" s="46"/>
      <c r="AX165" s="105"/>
      <c r="AY165" s="79"/>
      <c r="AZ165" s="119"/>
      <c r="BA165" s="119"/>
      <c r="BB165" s="119"/>
      <c r="BC165" s="119"/>
      <c r="BD165" s="119"/>
      <c r="BE165" s="119"/>
      <c r="BF165" s="119"/>
      <c r="BG165" s="119"/>
      <c r="BH165" s="124"/>
      <c r="BI165" s="41"/>
      <c r="BK165" s="194"/>
      <c r="BL165" s="123"/>
      <c r="BM165" s="195"/>
      <c r="BN165" s="194"/>
      <c r="BO165" s="123"/>
      <c r="BP165" s="195"/>
      <c r="BQ165" s="194"/>
      <c r="BR165" s="123"/>
      <c r="BS165" s="195"/>
      <c r="BT165" s="194"/>
      <c r="BU165" s="123"/>
      <c r="BV165" s="195"/>
      <c r="BW165" s="194"/>
      <c r="BX165" s="123"/>
      <c r="BY165" s="195"/>
      <c r="BZ165" s="194"/>
      <c r="CA165" s="123"/>
      <c r="CB165" s="195"/>
      <c r="CC165" s="194"/>
      <c r="CD165" s="123"/>
      <c r="CE165" s="195"/>
      <c r="CF165" s="194"/>
      <c r="CG165" s="123"/>
      <c r="CH165" s="195"/>
      <c r="CI165" s="194"/>
      <c r="CJ165" s="123"/>
      <c r="CK165" s="195"/>
      <c r="CL165" s="194"/>
      <c r="CM165" s="123"/>
      <c r="CN165" s="195"/>
      <c r="CO165" s="194"/>
      <c r="CP165" s="123"/>
      <c r="CQ165" s="195"/>
      <c r="CR165" s="194"/>
      <c r="CS165" s="123"/>
      <c r="CT165" s="195"/>
      <c r="CU165" s="194"/>
      <c r="CV165" s="123"/>
      <c r="CW165" s="195"/>
      <c r="CX165" s="194"/>
      <c r="CY165" s="123"/>
      <c r="CZ165" s="195"/>
      <c r="DA165" s="194"/>
      <c r="DB165" s="123"/>
      <c r="DC165" s="195"/>
      <c r="DD165" s="194"/>
      <c r="DE165" s="123"/>
      <c r="DF165" s="195"/>
      <c r="DH165" s="311"/>
      <c r="DI165" s="311"/>
      <c r="DJ165" s="311"/>
      <c r="DK165" s="311"/>
      <c r="DL165" s="321"/>
      <c r="DM165" s="321"/>
      <c r="DN165" s="321"/>
      <c r="DO165" s="321"/>
      <c r="DP165" s="321"/>
      <c r="DQ165" s="321"/>
      <c r="DR165" s="321"/>
      <c r="DS165" s="321"/>
    </row>
    <row r="166" spans="1:123" ht="7.4" customHeight="1" x14ac:dyDescent="0.5">
      <c r="A166" s="42"/>
      <c r="B166" s="42"/>
      <c r="C166" s="333"/>
      <c r="D166" s="333"/>
      <c r="E166" s="41"/>
      <c r="F166" s="42"/>
      <c r="G166" s="56"/>
      <c r="H166" s="56"/>
      <c r="I166" s="56"/>
      <c r="J166" s="56"/>
      <c r="K166" s="56"/>
      <c r="L166" s="56"/>
      <c r="M166" s="56"/>
      <c r="N166" s="56"/>
      <c r="O166" s="56"/>
      <c r="P166" s="56"/>
      <c r="Q166" s="56"/>
      <c r="R166" s="126"/>
      <c r="S166" s="42"/>
      <c r="AJ166" s="41"/>
      <c r="AK166" s="42"/>
      <c r="AL166" s="311"/>
      <c r="AM166" s="311"/>
      <c r="AN166" s="311"/>
      <c r="AO166" s="311"/>
      <c r="AP166" s="43"/>
      <c r="AQ166" s="42"/>
      <c r="AR166" s="46"/>
      <c r="AS166" s="46"/>
      <c r="AT166" s="46"/>
      <c r="AU166" s="46"/>
      <c r="AV166" s="46"/>
      <c r="AW166" s="46"/>
      <c r="AX166" s="105"/>
      <c r="AY166" s="79"/>
      <c r="AZ166" s="119"/>
      <c r="BA166" s="119"/>
      <c r="BB166" s="119"/>
      <c r="BC166" s="119"/>
      <c r="BD166" s="119"/>
      <c r="BE166" s="119"/>
      <c r="BF166" s="119"/>
      <c r="BG166" s="119"/>
      <c r="BH166" s="124"/>
      <c r="BI166" s="41"/>
      <c r="BK166" s="194"/>
      <c r="BL166" s="123"/>
      <c r="BM166" s="195"/>
      <c r="BN166" s="194"/>
      <c r="BO166" s="123"/>
      <c r="BP166" s="195"/>
      <c r="BQ166" s="194"/>
      <c r="BR166" s="123"/>
      <c r="BS166" s="195"/>
      <c r="BT166" s="194"/>
      <c r="BU166" s="123"/>
      <c r="BV166" s="195"/>
      <c r="BW166" s="194"/>
      <c r="BX166" s="123"/>
      <c r="BY166" s="195"/>
      <c r="BZ166" s="194"/>
      <c r="CA166" s="123"/>
      <c r="CB166" s="195"/>
      <c r="CC166" s="194"/>
      <c r="CD166" s="123"/>
      <c r="CE166" s="195"/>
      <c r="CF166" s="194"/>
      <c r="CG166" s="123"/>
      <c r="CH166" s="195"/>
      <c r="CI166" s="194"/>
      <c r="CJ166" s="123"/>
      <c r="CK166" s="195"/>
      <c r="CL166" s="194"/>
      <c r="CM166" s="123"/>
      <c r="CN166" s="195"/>
      <c r="CO166" s="194"/>
      <c r="CP166" s="123"/>
      <c r="CQ166" s="195"/>
      <c r="CR166" s="194"/>
      <c r="CS166" s="123"/>
      <c r="CT166" s="195"/>
      <c r="CU166" s="194"/>
      <c r="CV166" s="123"/>
      <c r="CW166" s="195"/>
      <c r="CX166" s="194"/>
      <c r="CY166" s="123"/>
      <c r="CZ166" s="195"/>
      <c r="DA166" s="194"/>
      <c r="DB166" s="123"/>
      <c r="DC166" s="195"/>
      <c r="DD166" s="194"/>
      <c r="DE166" s="123"/>
      <c r="DF166" s="195"/>
      <c r="DH166" s="311"/>
      <c r="DI166" s="311"/>
      <c r="DJ166" s="311"/>
      <c r="DK166" s="311"/>
      <c r="DL166" s="321"/>
      <c r="DM166" s="321"/>
      <c r="DN166" s="321"/>
      <c r="DO166" s="321"/>
      <c r="DP166" s="321"/>
      <c r="DQ166" s="321"/>
      <c r="DR166" s="321"/>
      <c r="DS166" s="321"/>
    </row>
    <row r="167" spans="1:123" ht="7.4" customHeight="1" x14ac:dyDescent="0.5">
      <c r="A167" s="42"/>
      <c r="B167" s="42"/>
      <c r="C167" s="311">
        <f>C163+1</f>
        <v>13</v>
      </c>
      <c r="D167" s="311"/>
      <c r="E167" s="41"/>
      <c r="F167" s="42"/>
      <c r="G167" s="319" t="str">
        <f>IF(AL167=0,"N/A","AXE_NST_8_PP")</f>
        <v>N/A</v>
      </c>
      <c r="H167" s="319"/>
      <c r="I167" s="319"/>
      <c r="J167" s="319"/>
      <c r="K167" s="319"/>
      <c r="L167" s="319"/>
      <c r="M167" s="319"/>
      <c r="N167" s="319"/>
      <c r="O167" s="319"/>
      <c r="P167" s="319"/>
      <c r="Q167" s="319"/>
      <c r="R167" s="320"/>
      <c r="S167" s="42"/>
      <c r="T167" s="405" t="str">
        <f>VLOOKUP(G167,PL!$B$9:$BH$1265,14,FALSE)</f>
        <v>No Item</v>
      </c>
      <c r="U167" s="405"/>
      <c r="V167" s="405"/>
      <c r="W167" s="405"/>
      <c r="X167" s="405"/>
      <c r="Y167" s="405"/>
      <c r="Z167" s="405"/>
      <c r="AA167" s="405"/>
      <c r="AB167" s="405"/>
      <c r="AC167" s="405"/>
      <c r="AD167" s="405"/>
      <c r="AE167" s="405"/>
      <c r="AF167" s="405"/>
      <c r="AG167" s="405"/>
      <c r="AH167" s="405"/>
      <c r="AI167" s="405"/>
      <c r="AJ167" s="411"/>
      <c r="AK167" s="42"/>
      <c r="AL167" s="311">
        <f>ROUND(SUM(BK167:DF167)*(1+$BF$72),0)</f>
        <v>0</v>
      </c>
      <c r="AM167" s="311"/>
      <c r="AN167" s="311"/>
      <c r="AO167" s="311"/>
      <c r="AP167" s="43"/>
      <c r="AQ167" s="111"/>
      <c r="AR167" s="308" t="str">
        <f>VLOOKUP(G167,PL!$B$9:$BH$818,52,FALSE)</f>
        <v>-</v>
      </c>
      <c r="AS167" s="309"/>
      <c r="AT167" s="309"/>
      <c r="AU167" s="309"/>
      <c r="AV167" s="309"/>
      <c r="AW167" s="309"/>
      <c r="AX167" s="309"/>
      <c r="AY167" s="309"/>
      <c r="AZ167" s="309"/>
      <c r="BA167" s="309"/>
      <c r="BB167" s="309"/>
      <c r="BC167" s="309"/>
      <c r="BD167" s="309"/>
      <c r="BE167" s="309"/>
      <c r="BF167" s="309"/>
      <c r="BG167" s="309"/>
      <c r="BH167" s="124"/>
      <c r="BI167" s="41"/>
      <c r="BK167" s="412">
        <f>BK163</f>
        <v>0</v>
      </c>
      <c r="BL167" s="413"/>
      <c r="BM167" s="414"/>
      <c r="BN167" s="412">
        <f>BN163</f>
        <v>0</v>
      </c>
      <c r="BO167" s="413"/>
      <c r="BP167" s="414"/>
      <c r="BQ167" s="412">
        <f>BQ163</f>
        <v>0</v>
      </c>
      <c r="BR167" s="413"/>
      <c r="BS167" s="414"/>
      <c r="BT167" s="412">
        <f>BT163</f>
        <v>0</v>
      </c>
      <c r="BU167" s="413"/>
      <c r="BV167" s="414"/>
      <c r="BW167" s="412">
        <f>BW163</f>
        <v>0</v>
      </c>
      <c r="BX167" s="413"/>
      <c r="BY167" s="414"/>
      <c r="BZ167" s="412">
        <f>BZ163</f>
        <v>0</v>
      </c>
      <c r="CA167" s="413"/>
      <c r="CB167" s="414"/>
      <c r="CC167" s="412">
        <f>CC163</f>
        <v>0</v>
      </c>
      <c r="CD167" s="413"/>
      <c r="CE167" s="414"/>
      <c r="CF167" s="412">
        <f>CF163</f>
        <v>0</v>
      </c>
      <c r="CG167" s="413"/>
      <c r="CH167" s="414"/>
      <c r="CI167" s="412">
        <f>CI163</f>
        <v>0</v>
      </c>
      <c r="CJ167" s="413"/>
      <c r="CK167" s="414"/>
      <c r="CL167" s="412">
        <f>CL163</f>
        <v>0</v>
      </c>
      <c r="CM167" s="413"/>
      <c r="CN167" s="414"/>
      <c r="CO167" s="412">
        <f>CO163</f>
        <v>0</v>
      </c>
      <c r="CP167" s="413"/>
      <c r="CQ167" s="414"/>
      <c r="CR167" s="412">
        <f>CR163</f>
        <v>0</v>
      </c>
      <c r="CS167" s="413"/>
      <c r="CT167" s="414"/>
      <c r="CU167" s="412">
        <f>CU163</f>
        <v>0</v>
      </c>
      <c r="CV167" s="413"/>
      <c r="CW167" s="414"/>
      <c r="CX167" s="412">
        <f>CX163</f>
        <v>0</v>
      </c>
      <c r="CY167" s="413"/>
      <c r="CZ167" s="414"/>
      <c r="DA167" s="412">
        <f>DA163</f>
        <v>0</v>
      </c>
      <c r="DB167" s="413"/>
      <c r="DC167" s="414"/>
      <c r="DD167" s="412">
        <f>DD163</f>
        <v>0</v>
      </c>
      <c r="DE167" s="413"/>
      <c r="DF167" s="414"/>
      <c r="DH167" s="311"/>
      <c r="DI167" s="311"/>
      <c r="DJ167" s="311"/>
      <c r="DK167" s="311"/>
      <c r="DL167" s="321"/>
      <c r="DM167" s="321"/>
      <c r="DN167" s="321"/>
      <c r="DO167" s="321"/>
      <c r="DP167" s="321"/>
      <c r="DQ167" s="321"/>
      <c r="DR167" s="321"/>
      <c r="DS167" s="321"/>
    </row>
    <row r="168" spans="1:123" ht="7.4" customHeight="1" x14ac:dyDescent="0.5">
      <c r="A168" s="42"/>
      <c r="B168" s="42"/>
      <c r="C168" s="311"/>
      <c r="D168" s="311"/>
      <c r="E168" s="41"/>
      <c r="F168" s="42"/>
      <c r="G168" s="319"/>
      <c r="H168" s="319"/>
      <c r="I168" s="319"/>
      <c r="J168" s="319"/>
      <c r="K168" s="319"/>
      <c r="L168" s="319"/>
      <c r="M168" s="319"/>
      <c r="N168" s="319"/>
      <c r="O168" s="319"/>
      <c r="P168" s="319"/>
      <c r="Q168" s="319"/>
      <c r="R168" s="320"/>
      <c r="S168" s="42"/>
      <c r="T168" s="405"/>
      <c r="U168" s="405"/>
      <c r="V168" s="405"/>
      <c r="W168" s="405"/>
      <c r="X168" s="405"/>
      <c r="Y168" s="405"/>
      <c r="Z168" s="405"/>
      <c r="AA168" s="405"/>
      <c r="AB168" s="405"/>
      <c r="AC168" s="405"/>
      <c r="AD168" s="405"/>
      <c r="AE168" s="405"/>
      <c r="AF168" s="405"/>
      <c r="AG168" s="405"/>
      <c r="AH168" s="405"/>
      <c r="AI168" s="405"/>
      <c r="AJ168" s="411"/>
      <c r="AK168" s="42"/>
      <c r="AL168" s="311"/>
      <c r="AM168" s="311"/>
      <c r="AN168" s="311"/>
      <c r="AO168" s="311"/>
      <c r="AP168" s="43"/>
      <c r="AQ168" s="111"/>
      <c r="AR168" s="309"/>
      <c r="AS168" s="309"/>
      <c r="AT168" s="309"/>
      <c r="AU168" s="309"/>
      <c r="AV168" s="309"/>
      <c r="AW168" s="309"/>
      <c r="AX168" s="309"/>
      <c r="AY168" s="309"/>
      <c r="AZ168" s="309"/>
      <c r="BA168" s="309"/>
      <c r="BB168" s="309"/>
      <c r="BC168" s="309"/>
      <c r="BD168" s="309"/>
      <c r="BE168" s="309"/>
      <c r="BF168" s="309"/>
      <c r="BG168" s="309"/>
      <c r="BH168" s="124"/>
      <c r="BI168" s="41"/>
      <c r="BK168" s="412"/>
      <c r="BL168" s="413"/>
      <c r="BM168" s="414"/>
      <c r="BN168" s="412"/>
      <c r="BO168" s="413"/>
      <c r="BP168" s="414"/>
      <c r="BQ168" s="412"/>
      <c r="BR168" s="413"/>
      <c r="BS168" s="414"/>
      <c r="BT168" s="412"/>
      <c r="BU168" s="413"/>
      <c r="BV168" s="414"/>
      <c r="BW168" s="412"/>
      <c r="BX168" s="413"/>
      <c r="BY168" s="414"/>
      <c r="BZ168" s="412"/>
      <c r="CA168" s="413"/>
      <c r="CB168" s="414"/>
      <c r="CC168" s="412"/>
      <c r="CD168" s="413"/>
      <c r="CE168" s="414"/>
      <c r="CF168" s="412"/>
      <c r="CG168" s="413"/>
      <c r="CH168" s="414"/>
      <c r="CI168" s="412"/>
      <c r="CJ168" s="413"/>
      <c r="CK168" s="414"/>
      <c r="CL168" s="412"/>
      <c r="CM168" s="413"/>
      <c r="CN168" s="414"/>
      <c r="CO168" s="412"/>
      <c r="CP168" s="413"/>
      <c r="CQ168" s="414"/>
      <c r="CR168" s="412"/>
      <c r="CS168" s="413"/>
      <c r="CT168" s="414"/>
      <c r="CU168" s="412"/>
      <c r="CV168" s="413"/>
      <c r="CW168" s="414"/>
      <c r="CX168" s="412"/>
      <c r="CY168" s="413"/>
      <c r="CZ168" s="414"/>
      <c r="DA168" s="412"/>
      <c r="DB168" s="413"/>
      <c r="DC168" s="414"/>
      <c r="DD168" s="412"/>
      <c r="DE168" s="413"/>
      <c r="DF168" s="414"/>
      <c r="DH168" s="311"/>
      <c r="DI168" s="311"/>
      <c r="DJ168" s="311"/>
      <c r="DK168" s="311"/>
      <c r="DL168" s="321"/>
      <c r="DM168" s="321"/>
      <c r="DN168" s="321"/>
      <c r="DO168" s="321"/>
      <c r="DP168" s="321"/>
      <c r="DQ168" s="321"/>
      <c r="DR168" s="321"/>
      <c r="DS168" s="321"/>
    </row>
    <row r="169" spans="1:123" ht="7.4" customHeight="1" x14ac:dyDescent="0.5">
      <c r="A169" s="42"/>
      <c r="B169" s="42"/>
      <c r="C169" s="333"/>
      <c r="D169" s="333"/>
      <c r="E169" s="41"/>
      <c r="F169" s="42"/>
      <c r="G169" s="56"/>
      <c r="H169" s="56"/>
      <c r="I169" s="56"/>
      <c r="J169" s="56"/>
      <c r="K169" s="56"/>
      <c r="L169" s="56"/>
      <c r="M169" s="56"/>
      <c r="N169" s="56"/>
      <c r="O169" s="56"/>
      <c r="P169" s="56"/>
      <c r="Q169" s="56"/>
      <c r="R169" s="126"/>
      <c r="S169" s="42"/>
      <c r="T169" s="116" t="str">
        <f>VLOOKUP(G167,PL!$B$9:$BH$1265,33,FALSE)</f>
        <v>.</v>
      </c>
      <c r="AJ169" s="41"/>
      <c r="AK169" s="42"/>
      <c r="AL169" s="311"/>
      <c r="AM169" s="311"/>
      <c r="AN169" s="311"/>
      <c r="AO169" s="311"/>
      <c r="AP169" s="43"/>
      <c r="AQ169" s="42"/>
      <c r="AR169" s="46"/>
      <c r="AS169" s="46"/>
      <c r="AT169" s="46"/>
      <c r="AU169" s="46"/>
      <c r="AV169" s="46"/>
      <c r="AW169" s="46"/>
      <c r="AX169" s="105"/>
      <c r="AY169" s="79"/>
      <c r="AZ169" s="119"/>
      <c r="BA169" s="119"/>
      <c r="BB169" s="119"/>
      <c r="BC169" s="119"/>
      <c r="BD169" s="119"/>
      <c r="BE169" s="119"/>
      <c r="BF169" s="119"/>
      <c r="BG169" s="119"/>
      <c r="BH169" s="124"/>
      <c r="BI169" s="41"/>
      <c r="BK169" s="194"/>
      <c r="BL169" s="123"/>
      <c r="BM169" s="195"/>
      <c r="BN169" s="194"/>
      <c r="BO169" s="123"/>
      <c r="BP169" s="195"/>
      <c r="BQ169" s="194"/>
      <c r="BR169" s="123"/>
      <c r="BS169" s="195"/>
      <c r="BT169" s="194"/>
      <c r="BU169" s="123"/>
      <c r="BV169" s="195"/>
      <c r="BW169" s="194"/>
      <c r="BX169" s="123"/>
      <c r="BY169" s="195"/>
      <c r="BZ169" s="194"/>
      <c r="CA169" s="123"/>
      <c r="CB169" s="195"/>
      <c r="CC169" s="194"/>
      <c r="CD169" s="123"/>
      <c r="CE169" s="195"/>
      <c r="CF169" s="194"/>
      <c r="CG169" s="123"/>
      <c r="CH169" s="195"/>
      <c r="CI169" s="194"/>
      <c r="CJ169" s="123"/>
      <c r="CK169" s="195"/>
      <c r="CL169" s="194"/>
      <c r="CM169" s="123"/>
      <c r="CN169" s="195"/>
      <c r="CO169" s="194"/>
      <c r="CP169" s="123"/>
      <c r="CQ169" s="195"/>
      <c r="CR169" s="194"/>
      <c r="CS169" s="123"/>
      <c r="CT169" s="195"/>
      <c r="CU169" s="194"/>
      <c r="CV169" s="123"/>
      <c r="CW169" s="195"/>
      <c r="CX169" s="194"/>
      <c r="CY169" s="123"/>
      <c r="CZ169" s="195"/>
      <c r="DA169" s="194"/>
      <c r="DB169" s="123"/>
      <c r="DC169" s="195"/>
      <c r="DD169" s="194"/>
      <c r="DE169" s="123"/>
      <c r="DF169" s="195"/>
      <c r="DH169" s="311"/>
      <c r="DI169" s="311"/>
      <c r="DJ169" s="311"/>
      <c r="DK169" s="311"/>
      <c r="DL169" s="321"/>
      <c r="DM169" s="321"/>
      <c r="DN169" s="321"/>
      <c r="DO169" s="321"/>
      <c r="DP169" s="321"/>
      <c r="DQ169" s="321"/>
      <c r="DR169" s="321"/>
      <c r="DS169" s="321"/>
    </row>
    <row r="170" spans="1:123" ht="7.4" customHeight="1" x14ac:dyDescent="0.5">
      <c r="A170" s="42"/>
      <c r="B170" s="42"/>
      <c r="C170" s="55"/>
      <c r="D170" s="55"/>
      <c r="E170" s="41"/>
      <c r="F170" s="42"/>
      <c r="G170" s="56"/>
      <c r="H170" s="56"/>
      <c r="I170" s="56"/>
      <c r="J170" s="56"/>
      <c r="K170" s="56"/>
      <c r="L170" s="56"/>
      <c r="M170" s="56"/>
      <c r="N170" s="56"/>
      <c r="O170" s="56"/>
      <c r="P170" s="56"/>
      <c r="Q170" s="56"/>
      <c r="R170" s="126"/>
      <c r="S170" s="42"/>
      <c r="AJ170" s="41"/>
      <c r="AK170" s="42"/>
      <c r="AL170" s="311"/>
      <c r="AM170" s="311"/>
      <c r="AN170" s="311"/>
      <c r="AO170" s="311"/>
      <c r="AP170" s="43"/>
      <c r="AQ170" s="42"/>
      <c r="AR170" s="46"/>
      <c r="AS170" s="46"/>
      <c r="AT170" s="46"/>
      <c r="AU170" s="46"/>
      <c r="AV170" s="46"/>
      <c r="AW170" s="46"/>
      <c r="AX170" s="105"/>
      <c r="AY170" s="79"/>
      <c r="AZ170" s="119"/>
      <c r="BA170" s="119"/>
      <c r="BB170" s="119"/>
      <c r="BC170" s="119"/>
      <c r="BD170" s="119"/>
      <c r="BE170" s="119"/>
      <c r="BF170" s="119"/>
      <c r="BG170" s="119"/>
      <c r="BH170" s="124"/>
      <c r="BI170" s="41"/>
      <c r="BK170" s="194"/>
      <c r="BL170" s="123"/>
      <c r="BM170" s="195"/>
      <c r="BN170" s="194"/>
      <c r="BO170" s="123"/>
      <c r="BP170" s="195"/>
      <c r="BQ170" s="194"/>
      <c r="BR170" s="123"/>
      <c r="BS170" s="195"/>
      <c r="BT170" s="194"/>
      <c r="BU170" s="123"/>
      <c r="BV170" s="195"/>
      <c r="BW170" s="194"/>
      <c r="BX170" s="123"/>
      <c r="BY170" s="195"/>
      <c r="BZ170" s="194"/>
      <c r="CA170" s="123"/>
      <c r="CB170" s="195"/>
      <c r="CC170" s="194"/>
      <c r="CD170" s="123"/>
      <c r="CE170" s="195"/>
      <c r="CF170" s="194"/>
      <c r="CG170" s="123"/>
      <c r="CH170" s="195"/>
      <c r="CI170" s="194"/>
      <c r="CJ170" s="123"/>
      <c r="CK170" s="195"/>
      <c r="CL170" s="194"/>
      <c r="CM170" s="123"/>
      <c r="CN170" s="195"/>
      <c r="CO170" s="194"/>
      <c r="CP170" s="123"/>
      <c r="CQ170" s="195"/>
      <c r="CR170" s="194"/>
      <c r="CS170" s="123"/>
      <c r="CT170" s="195"/>
      <c r="CU170" s="194"/>
      <c r="CV170" s="123"/>
      <c r="CW170" s="195"/>
      <c r="CX170" s="194"/>
      <c r="CY170" s="123"/>
      <c r="CZ170" s="195"/>
      <c r="DA170" s="194"/>
      <c r="DB170" s="123"/>
      <c r="DC170" s="195"/>
      <c r="DD170" s="194"/>
      <c r="DE170" s="123"/>
      <c r="DF170" s="195"/>
      <c r="DH170" s="311"/>
      <c r="DI170" s="311"/>
      <c r="DJ170" s="311"/>
      <c r="DK170" s="311"/>
      <c r="DL170" s="321"/>
      <c r="DM170" s="321"/>
      <c r="DN170" s="321"/>
      <c r="DO170" s="321"/>
      <c r="DP170" s="321"/>
      <c r="DQ170" s="321"/>
      <c r="DR170" s="321"/>
      <c r="DS170" s="321"/>
    </row>
    <row r="171" spans="1:123" ht="7.4" customHeight="1" x14ac:dyDescent="0.5">
      <c r="A171" s="42"/>
      <c r="B171" s="42"/>
      <c r="C171" s="311">
        <f>C167+1</f>
        <v>14</v>
      </c>
      <c r="D171" s="311"/>
      <c r="E171" s="41"/>
      <c r="F171" s="42"/>
      <c r="G171" s="319" t="str">
        <f>IF(AL171=0,"N/A","AXE_NE_8_SS")</f>
        <v>N/A</v>
      </c>
      <c r="H171" s="319"/>
      <c r="I171" s="319"/>
      <c r="J171" s="319"/>
      <c r="K171" s="319"/>
      <c r="L171" s="319"/>
      <c r="M171" s="319"/>
      <c r="N171" s="319"/>
      <c r="O171" s="319"/>
      <c r="P171" s="319"/>
      <c r="Q171" s="319"/>
      <c r="R171" s="320"/>
      <c r="S171" s="42"/>
      <c r="T171" s="405" t="str">
        <f>VLOOKUP(G171,PL!$B$9:$BH$1265,14,FALSE)</f>
        <v>No Item</v>
      </c>
      <c r="U171" s="405"/>
      <c r="V171" s="405"/>
      <c r="W171" s="405"/>
      <c r="X171" s="405"/>
      <c r="Y171" s="405"/>
      <c r="Z171" s="405"/>
      <c r="AA171" s="405"/>
      <c r="AB171" s="405"/>
      <c r="AC171" s="405"/>
      <c r="AD171" s="405"/>
      <c r="AE171" s="405"/>
      <c r="AF171" s="405"/>
      <c r="AG171" s="405"/>
      <c r="AH171" s="405"/>
      <c r="AI171" s="405"/>
      <c r="AJ171" s="411"/>
      <c r="AK171" s="42"/>
      <c r="AL171" s="311">
        <f>ROUND(SUM(BK171:DF171)*(1+$BF$72),0)</f>
        <v>0</v>
      </c>
      <c r="AM171" s="311"/>
      <c r="AN171" s="311"/>
      <c r="AO171" s="311"/>
      <c r="AP171" s="43"/>
      <c r="AQ171" s="111"/>
      <c r="AR171" s="308" t="str">
        <f>VLOOKUP(G171,PL!$B$9:$BH$818,52,FALSE)</f>
        <v>-</v>
      </c>
      <c r="AS171" s="309"/>
      <c r="AT171" s="309"/>
      <c r="AU171" s="309"/>
      <c r="AV171" s="309"/>
      <c r="AW171" s="309"/>
      <c r="AX171" s="309"/>
      <c r="AY171" s="309"/>
      <c r="AZ171" s="309"/>
      <c r="BA171" s="309"/>
      <c r="BB171" s="309"/>
      <c r="BC171" s="309"/>
      <c r="BD171" s="309"/>
      <c r="BE171" s="309"/>
      <c r="BF171" s="309"/>
      <c r="BG171" s="309"/>
      <c r="BH171" s="124"/>
      <c r="BI171" s="41"/>
      <c r="BK171" s="412">
        <f>IF($N$74="Angles",0,BK135*2)</f>
        <v>0</v>
      </c>
      <c r="BL171" s="413"/>
      <c r="BM171" s="414"/>
      <c r="BN171" s="412">
        <f>IF($N$74="Angles",0,BN135*2)</f>
        <v>0</v>
      </c>
      <c r="BO171" s="413"/>
      <c r="BP171" s="414"/>
      <c r="BQ171" s="412">
        <f>IF($N$74="Angles",0,BQ135*2)</f>
        <v>0</v>
      </c>
      <c r="BR171" s="413"/>
      <c r="BS171" s="414"/>
      <c r="BT171" s="412">
        <f>IF($N$74="Angles",0,BT135*2)</f>
        <v>0</v>
      </c>
      <c r="BU171" s="413"/>
      <c r="BV171" s="414"/>
      <c r="BW171" s="412">
        <f>IF($N$74="Angles",0,BW135*2)</f>
        <v>0</v>
      </c>
      <c r="BX171" s="413"/>
      <c r="BY171" s="414"/>
      <c r="BZ171" s="412">
        <f>IF($N$74="Angles",0,BZ135*2)</f>
        <v>0</v>
      </c>
      <c r="CA171" s="413"/>
      <c r="CB171" s="414"/>
      <c r="CC171" s="412">
        <f>IF($N$74="Angles",0,CC135*2)</f>
        <v>0</v>
      </c>
      <c r="CD171" s="413"/>
      <c r="CE171" s="414"/>
      <c r="CF171" s="412">
        <f>IF($N$74="Angles",0,CF135*2)</f>
        <v>0</v>
      </c>
      <c r="CG171" s="413"/>
      <c r="CH171" s="414"/>
      <c r="CI171" s="412">
        <f>IF($N$74="Angles",0,CI135*2)</f>
        <v>0</v>
      </c>
      <c r="CJ171" s="413"/>
      <c r="CK171" s="414"/>
      <c r="CL171" s="412">
        <f>IF($N$74="Angles",0,CL135*2)</f>
        <v>0</v>
      </c>
      <c r="CM171" s="413"/>
      <c r="CN171" s="414"/>
      <c r="CO171" s="412">
        <f>IF($N$74="Angles",0,CO135*2)</f>
        <v>0</v>
      </c>
      <c r="CP171" s="413"/>
      <c r="CQ171" s="414"/>
      <c r="CR171" s="412">
        <f>IF($N$74="Angles",0,CR135*2)</f>
        <v>0</v>
      </c>
      <c r="CS171" s="413"/>
      <c r="CT171" s="414"/>
      <c r="CU171" s="412">
        <f>IF($N$74="Angles",0,CU135*2)</f>
        <v>0</v>
      </c>
      <c r="CV171" s="413"/>
      <c r="CW171" s="414"/>
      <c r="CX171" s="412">
        <f>IF($N$74="Angles",0,CX135*2)</f>
        <v>0</v>
      </c>
      <c r="CY171" s="413"/>
      <c r="CZ171" s="414"/>
      <c r="DA171" s="412">
        <f>IF($N$74="Angles",0,DA135*2)</f>
        <v>0</v>
      </c>
      <c r="DB171" s="413"/>
      <c r="DC171" s="414"/>
      <c r="DD171" s="412">
        <f>IF($N$74="Angles",0,DD135*2)</f>
        <v>0</v>
      </c>
      <c r="DE171" s="413"/>
      <c r="DF171" s="414"/>
      <c r="DH171" s="311"/>
      <c r="DI171" s="311"/>
      <c r="DJ171" s="311"/>
      <c r="DK171" s="311"/>
      <c r="DL171" s="321"/>
      <c r="DM171" s="321"/>
      <c r="DN171" s="321"/>
      <c r="DO171" s="321"/>
      <c r="DP171" s="321"/>
      <c r="DQ171" s="321"/>
      <c r="DR171" s="321"/>
      <c r="DS171" s="321"/>
    </row>
    <row r="172" spans="1:123" ht="7.4" customHeight="1" x14ac:dyDescent="0.5">
      <c r="A172" s="42"/>
      <c r="B172" s="42"/>
      <c r="C172" s="311"/>
      <c r="D172" s="311"/>
      <c r="E172" s="41"/>
      <c r="F172" s="42"/>
      <c r="G172" s="319"/>
      <c r="H172" s="319"/>
      <c r="I172" s="319"/>
      <c r="J172" s="319"/>
      <c r="K172" s="319"/>
      <c r="L172" s="319"/>
      <c r="M172" s="319"/>
      <c r="N172" s="319"/>
      <c r="O172" s="319"/>
      <c r="P172" s="319"/>
      <c r="Q172" s="319"/>
      <c r="R172" s="320"/>
      <c r="S172" s="42"/>
      <c r="T172" s="405"/>
      <c r="U172" s="405"/>
      <c r="V172" s="405"/>
      <c r="W172" s="405"/>
      <c r="X172" s="405"/>
      <c r="Y172" s="405"/>
      <c r="Z172" s="405"/>
      <c r="AA172" s="405"/>
      <c r="AB172" s="405"/>
      <c r="AC172" s="405"/>
      <c r="AD172" s="405"/>
      <c r="AE172" s="405"/>
      <c r="AF172" s="405"/>
      <c r="AG172" s="405"/>
      <c r="AH172" s="405"/>
      <c r="AI172" s="405"/>
      <c r="AJ172" s="411"/>
      <c r="AK172" s="42"/>
      <c r="AL172" s="311"/>
      <c r="AM172" s="311"/>
      <c r="AN172" s="311"/>
      <c r="AO172" s="311"/>
      <c r="AP172" s="43"/>
      <c r="AQ172" s="111"/>
      <c r="AR172" s="309"/>
      <c r="AS172" s="309"/>
      <c r="AT172" s="309"/>
      <c r="AU172" s="309"/>
      <c r="AV172" s="309"/>
      <c r="AW172" s="309"/>
      <c r="AX172" s="309"/>
      <c r="AY172" s="309"/>
      <c r="AZ172" s="309"/>
      <c r="BA172" s="309"/>
      <c r="BB172" s="309"/>
      <c r="BC172" s="309"/>
      <c r="BD172" s="309"/>
      <c r="BE172" s="309"/>
      <c r="BF172" s="309"/>
      <c r="BG172" s="309"/>
      <c r="BH172" s="124"/>
      <c r="BI172" s="41"/>
      <c r="BK172" s="412"/>
      <c r="BL172" s="413"/>
      <c r="BM172" s="414"/>
      <c r="BN172" s="412"/>
      <c r="BO172" s="413"/>
      <c r="BP172" s="414"/>
      <c r="BQ172" s="412"/>
      <c r="BR172" s="413"/>
      <c r="BS172" s="414"/>
      <c r="BT172" s="412"/>
      <c r="BU172" s="413"/>
      <c r="BV172" s="414"/>
      <c r="BW172" s="412"/>
      <c r="BX172" s="413"/>
      <c r="BY172" s="414"/>
      <c r="BZ172" s="412"/>
      <c r="CA172" s="413"/>
      <c r="CB172" s="414"/>
      <c r="CC172" s="412"/>
      <c r="CD172" s="413"/>
      <c r="CE172" s="414"/>
      <c r="CF172" s="412"/>
      <c r="CG172" s="413"/>
      <c r="CH172" s="414"/>
      <c r="CI172" s="412"/>
      <c r="CJ172" s="413"/>
      <c r="CK172" s="414"/>
      <c r="CL172" s="412"/>
      <c r="CM172" s="413"/>
      <c r="CN172" s="414"/>
      <c r="CO172" s="412"/>
      <c r="CP172" s="413"/>
      <c r="CQ172" s="414"/>
      <c r="CR172" s="412"/>
      <c r="CS172" s="413"/>
      <c r="CT172" s="414"/>
      <c r="CU172" s="412"/>
      <c r="CV172" s="413"/>
      <c r="CW172" s="414"/>
      <c r="CX172" s="412"/>
      <c r="CY172" s="413"/>
      <c r="CZ172" s="414"/>
      <c r="DA172" s="412"/>
      <c r="DB172" s="413"/>
      <c r="DC172" s="414"/>
      <c r="DD172" s="412"/>
      <c r="DE172" s="413"/>
      <c r="DF172" s="414"/>
      <c r="DH172" s="311"/>
      <c r="DI172" s="311"/>
      <c r="DJ172" s="311"/>
      <c r="DK172" s="311"/>
      <c r="DL172" s="321"/>
      <c r="DM172" s="321"/>
      <c r="DN172" s="321"/>
      <c r="DO172" s="321"/>
      <c r="DP172" s="321"/>
      <c r="DQ172" s="321"/>
      <c r="DR172" s="321"/>
      <c r="DS172" s="321"/>
    </row>
    <row r="173" spans="1:123" ht="7.4" customHeight="1" x14ac:dyDescent="0.5">
      <c r="A173" s="42"/>
      <c r="B173" s="42"/>
      <c r="C173" s="311"/>
      <c r="D173" s="311"/>
      <c r="E173" s="41"/>
      <c r="F173" s="42"/>
      <c r="G173" s="120"/>
      <c r="H173" s="56"/>
      <c r="I173" s="56"/>
      <c r="J173" s="56"/>
      <c r="K173" s="56"/>
      <c r="L173" s="56"/>
      <c r="M173" s="56"/>
      <c r="N173" s="56"/>
      <c r="O173" s="56"/>
      <c r="P173" s="56"/>
      <c r="Q173" s="56"/>
      <c r="R173" s="126"/>
      <c r="S173" s="42"/>
      <c r="T173" s="116" t="str">
        <f>VLOOKUP(G171,PL!$B$9:$BH$1265,33,FALSE)</f>
        <v>.</v>
      </c>
      <c r="AJ173" s="41"/>
      <c r="AK173" s="42"/>
      <c r="AL173" s="311"/>
      <c r="AM173" s="311"/>
      <c r="AN173" s="311"/>
      <c r="AO173" s="311"/>
      <c r="AP173" s="43"/>
      <c r="AQ173" s="42"/>
      <c r="AR173" s="119"/>
      <c r="AS173" s="119"/>
      <c r="AT173" s="119"/>
      <c r="AU173" s="119"/>
      <c r="AV173" s="119"/>
      <c r="AW173" s="119"/>
      <c r="AX173" s="105"/>
      <c r="AZ173" s="119"/>
      <c r="BA173" s="119"/>
      <c r="BB173" s="119"/>
      <c r="BC173" s="119"/>
      <c r="BD173" s="119"/>
      <c r="BE173" s="119"/>
      <c r="BF173" s="119"/>
      <c r="BG173" s="119"/>
      <c r="BH173" s="124"/>
      <c r="BI173" s="41"/>
      <c r="BK173" s="194"/>
      <c r="BL173" s="123"/>
      <c r="BM173" s="195"/>
      <c r="BN173" s="194"/>
      <c r="BO173" s="123"/>
      <c r="BP173" s="195"/>
      <c r="BQ173" s="194"/>
      <c r="BR173" s="123"/>
      <c r="BS173" s="195"/>
      <c r="BT173" s="194"/>
      <c r="BU173" s="123"/>
      <c r="BV173" s="195"/>
      <c r="BW173" s="194"/>
      <c r="BX173" s="123"/>
      <c r="BY173" s="195"/>
      <c r="BZ173" s="194"/>
      <c r="CA173" s="123"/>
      <c r="CB173" s="195"/>
      <c r="CC173" s="194"/>
      <c r="CD173" s="123"/>
      <c r="CE173" s="195"/>
      <c r="CF173" s="194"/>
      <c r="CG173" s="123"/>
      <c r="CH173" s="195"/>
      <c r="CI173" s="194"/>
      <c r="CJ173" s="123"/>
      <c r="CK173" s="195"/>
      <c r="CL173" s="194"/>
      <c r="CM173" s="123"/>
      <c r="CN173" s="195"/>
      <c r="CO173" s="194"/>
      <c r="CP173" s="123"/>
      <c r="CQ173" s="195"/>
      <c r="CR173" s="194"/>
      <c r="CS173" s="123"/>
      <c r="CT173" s="195"/>
      <c r="CU173" s="194"/>
      <c r="CV173" s="123"/>
      <c r="CW173" s="195"/>
      <c r="CX173" s="194"/>
      <c r="CY173" s="123"/>
      <c r="CZ173" s="195"/>
      <c r="DA173" s="194"/>
      <c r="DB173" s="123"/>
      <c r="DC173" s="195"/>
      <c r="DD173" s="194"/>
      <c r="DE173" s="123"/>
      <c r="DF173" s="195"/>
      <c r="DH173" s="311"/>
      <c r="DI173" s="311"/>
      <c r="DJ173" s="311"/>
      <c r="DK173" s="311"/>
      <c r="DL173" s="321"/>
      <c r="DM173" s="321"/>
      <c r="DN173" s="321"/>
      <c r="DO173" s="321"/>
      <c r="DP173" s="321"/>
      <c r="DQ173" s="321"/>
      <c r="DR173" s="321"/>
      <c r="DS173" s="321"/>
    </row>
    <row r="174" spans="1:123" ht="7.4" customHeight="1" x14ac:dyDescent="0.5">
      <c r="A174" s="42"/>
      <c r="B174" s="42"/>
      <c r="C174" s="333"/>
      <c r="D174" s="333"/>
      <c r="E174" s="41"/>
      <c r="F174" s="42"/>
      <c r="R174" s="41"/>
      <c r="S174" s="42"/>
      <c r="AJ174" s="41"/>
      <c r="AK174" s="42"/>
      <c r="AL174" s="311"/>
      <c r="AM174" s="311"/>
      <c r="AN174" s="311"/>
      <c r="AO174" s="311"/>
      <c r="AP174" s="43"/>
      <c r="AQ174" s="42"/>
      <c r="AR174" s="119"/>
      <c r="AS174" s="119"/>
      <c r="AT174" s="119"/>
      <c r="AU174" s="119"/>
      <c r="AV174" s="119"/>
      <c r="AW174" s="119"/>
      <c r="AX174" s="105"/>
      <c r="AZ174" s="119"/>
      <c r="BA174" s="119"/>
      <c r="BB174" s="119"/>
      <c r="BC174" s="119"/>
      <c r="BD174" s="119"/>
      <c r="BE174" s="119"/>
      <c r="BF174" s="119"/>
      <c r="BG174" s="119"/>
      <c r="BH174" s="124"/>
      <c r="BI174" s="41"/>
      <c r="BK174" s="194"/>
      <c r="BL174" s="123"/>
      <c r="BM174" s="195"/>
      <c r="BN174" s="194"/>
      <c r="BO174" s="123"/>
      <c r="BP174" s="195"/>
      <c r="BQ174" s="194"/>
      <c r="BR174" s="123"/>
      <c r="BS174" s="195"/>
      <c r="BT174" s="194"/>
      <c r="BU174" s="123"/>
      <c r="BV174" s="195"/>
      <c r="BW174" s="194"/>
      <c r="BX174" s="123"/>
      <c r="BY174" s="195"/>
      <c r="BZ174" s="194"/>
      <c r="CA174" s="123"/>
      <c r="CB174" s="195"/>
      <c r="CC174" s="194"/>
      <c r="CD174" s="123"/>
      <c r="CE174" s="195"/>
      <c r="CF174" s="194"/>
      <c r="CG174" s="123"/>
      <c r="CH174" s="195"/>
      <c r="CI174" s="194"/>
      <c r="CJ174" s="123"/>
      <c r="CK174" s="195"/>
      <c r="CL174" s="194"/>
      <c r="CM174" s="123"/>
      <c r="CN174" s="195"/>
      <c r="CO174" s="194"/>
      <c r="CP174" s="123"/>
      <c r="CQ174" s="195"/>
      <c r="CR174" s="194"/>
      <c r="CS174" s="123"/>
      <c r="CT174" s="195"/>
      <c r="CU174" s="194"/>
      <c r="CV174" s="123"/>
      <c r="CW174" s="195"/>
      <c r="CX174" s="194"/>
      <c r="CY174" s="123"/>
      <c r="CZ174" s="195"/>
      <c r="DA174" s="194"/>
      <c r="DB174" s="123"/>
      <c r="DC174" s="195"/>
      <c r="DD174" s="194"/>
      <c r="DE174" s="123"/>
      <c r="DF174" s="195"/>
      <c r="DH174" s="311"/>
      <c r="DI174" s="311"/>
      <c r="DJ174" s="311"/>
      <c r="DK174" s="311"/>
      <c r="DL174" s="321"/>
      <c r="DM174" s="321"/>
      <c r="DN174" s="321"/>
      <c r="DO174" s="321"/>
      <c r="DP174" s="321"/>
      <c r="DQ174" s="321"/>
      <c r="DR174" s="321"/>
      <c r="DS174" s="321"/>
    </row>
    <row r="175" spans="1:123" ht="7.4" customHeight="1" x14ac:dyDescent="0.5">
      <c r="A175" s="42"/>
      <c r="B175" s="42"/>
      <c r="C175" s="311">
        <f>C171+1</f>
        <v>15</v>
      </c>
      <c r="D175" s="311"/>
      <c r="E175" s="41"/>
      <c r="F175" s="42"/>
      <c r="G175" s="319" t="str">
        <f>IF(AL175=0,"N/A","AXE_RW_C_5_SS")</f>
        <v>N/A</v>
      </c>
      <c r="H175" s="319"/>
      <c r="I175" s="319"/>
      <c r="J175" s="319"/>
      <c r="K175" s="319"/>
      <c r="L175" s="319"/>
      <c r="M175" s="319"/>
      <c r="N175" s="319"/>
      <c r="O175" s="319"/>
      <c r="P175" s="319"/>
      <c r="Q175" s="319"/>
      <c r="R175" s="320"/>
      <c r="S175" s="42"/>
      <c r="T175" s="405" t="str">
        <f>VLOOKUP(G175,PL!$B$9:$BH$1265,14,FALSE)</f>
        <v>No Item</v>
      </c>
      <c r="U175" s="405"/>
      <c r="V175" s="405"/>
      <c r="W175" s="405"/>
      <c r="X175" s="405"/>
      <c r="Y175" s="405"/>
      <c r="Z175" s="405"/>
      <c r="AA175" s="405"/>
      <c r="AB175" s="405"/>
      <c r="AC175" s="405"/>
      <c r="AD175" s="405"/>
      <c r="AE175" s="405"/>
      <c r="AF175" s="405"/>
      <c r="AG175" s="405"/>
      <c r="AH175" s="405"/>
      <c r="AI175" s="405"/>
      <c r="AJ175" s="411"/>
      <c r="AK175" s="42"/>
      <c r="AL175" s="311">
        <f>ROUND(SUM(BK175:DF175)*(1+$BF$72),0)</f>
        <v>0</v>
      </c>
      <c r="AM175" s="311"/>
      <c r="AN175" s="311"/>
      <c r="AO175" s="311"/>
      <c r="AP175" s="43"/>
      <c r="AQ175" s="111"/>
      <c r="AR175" s="308" t="str">
        <f>VLOOKUP(G175,PL!$B$9:$BH$818,52,FALSE)</f>
        <v>-</v>
      </c>
      <c r="AS175" s="309"/>
      <c r="AT175" s="309"/>
      <c r="AU175" s="309"/>
      <c r="AV175" s="309"/>
      <c r="AW175" s="309"/>
      <c r="AX175" s="309"/>
      <c r="AY175" s="309"/>
      <c r="AZ175" s="309"/>
      <c r="BA175" s="309"/>
      <c r="BB175" s="309"/>
      <c r="BC175" s="309"/>
      <c r="BD175" s="309"/>
      <c r="BE175" s="309"/>
      <c r="BF175" s="309"/>
      <c r="BG175" s="309"/>
      <c r="BH175" s="124"/>
      <c r="BI175" s="41"/>
      <c r="BJ175" s="49"/>
      <c r="BK175" s="412">
        <f>BK179*4</f>
        <v>0</v>
      </c>
      <c r="BL175" s="413"/>
      <c r="BM175" s="414"/>
      <c r="BN175" s="412">
        <f t="shared" ref="BN175" si="90">BN179*4</f>
        <v>0</v>
      </c>
      <c r="BO175" s="413"/>
      <c r="BP175" s="414"/>
      <c r="BQ175" s="412">
        <f t="shared" ref="BQ175" si="91">BQ179*4</f>
        <v>0</v>
      </c>
      <c r="BR175" s="413"/>
      <c r="BS175" s="414"/>
      <c r="BT175" s="412">
        <f t="shared" ref="BT175" si="92">BT179*4</f>
        <v>0</v>
      </c>
      <c r="BU175" s="413"/>
      <c r="BV175" s="414"/>
      <c r="BW175" s="412">
        <f t="shared" ref="BW175" si="93">BW179*4</f>
        <v>0</v>
      </c>
      <c r="BX175" s="413"/>
      <c r="BY175" s="414"/>
      <c r="BZ175" s="412">
        <f t="shared" ref="BZ175" si="94">BZ179*4</f>
        <v>0</v>
      </c>
      <c r="CA175" s="413"/>
      <c r="CB175" s="414"/>
      <c r="CC175" s="412">
        <f t="shared" ref="CC175" si="95">CC179*4</f>
        <v>0</v>
      </c>
      <c r="CD175" s="413"/>
      <c r="CE175" s="414"/>
      <c r="CF175" s="412">
        <f t="shared" ref="CF175" si="96">CF179*4</f>
        <v>0</v>
      </c>
      <c r="CG175" s="413"/>
      <c r="CH175" s="414"/>
      <c r="CI175" s="412">
        <f t="shared" ref="CI175" si="97">CI179*4</f>
        <v>0</v>
      </c>
      <c r="CJ175" s="413"/>
      <c r="CK175" s="414"/>
      <c r="CL175" s="412">
        <f t="shared" ref="CL175" si="98">CL179*4</f>
        <v>0</v>
      </c>
      <c r="CM175" s="413"/>
      <c r="CN175" s="414"/>
      <c r="CO175" s="412">
        <f t="shared" ref="CO175" si="99">CO179*4</f>
        <v>0</v>
      </c>
      <c r="CP175" s="413"/>
      <c r="CQ175" s="414"/>
      <c r="CR175" s="412">
        <f t="shared" ref="CR175" si="100">CR179*4</f>
        <v>0</v>
      </c>
      <c r="CS175" s="413"/>
      <c r="CT175" s="414"/>
      <c r="CU175" s="412">
        <f t="shared" ref="CU175" si="101">CU179*4</f>
        <v>0</v>
      </c>
      <c r="CV175" s="413"/>
      <c r="CW175" s="414"/>
      <c r="CX175" s="412">
        <f t="shared" ref="CX175" si="102">CX179*4</f>
        <v>0</v>
      </c>
      <c r="CY175" s="413"/>
      <c r="CZ175" s="414"/>
      <c r="DA175" s="412">
        <f t="shared" ref="DA175" si="103">DA179*4</f>
        <v>0</v>
      </c>
      <c r="DB175" s="413"/>
      <c r="DC175" s="414"/>
      <c r="DD175" s="412">
        <f t="shared" ref="DD175" si="104">DD179*4</f>
        <v>0</v>
      </c>
      <c r="DE175" s="413"/>
      <c r="DF175" s="414"/>
      <c r="DH175" s="311"/>
      <c r="DI175" s="311"/>
      <c r="DJ175" s="311"/>
      <c r="DK175" s="311"/>
      <c r="DL175" s="321"/>
      <c r="DM175" s="321"/>
      <c r="DN175" s="321"/>
      <c r="DO175" s="321"/>
      <c r="DP175" s="321"/>
      <c r="DQ175" s="321"/>
      <c r="DR175" s="321"/>
      <c r="DS175" s="321"/>
    </row>
    <row r="176" spans="1:123" ht="7.4" customHeight="1" x14ac:dyDescent="0.5">
      <c r="A176" s="42"/>
      <c r="B176" s="42"/>
      <c r="C176" s="311"/>
      <c r="D176" s="311"/>
      <c r="E176" s="41"/>
      <c r="F176" s="42"/>
      <c r="G176" s="319"/>
      <c r="H176" s="319"/>
      <c r="I176" s="319"/>
      <c r="J176" s="319"/>
      <c r="K176" s="319"/>
      <c r="L176" s="319"/>
      <c r="M176" s="319"/>
      <c r="N176" s="319"/>
      <c r="O176" s="319"/>
      <c r="P176" s="319"/>
      <c r="Q176" s="319"/>
      <c r="R176" s="320"/>
      <c r="S176" s="42"/>
      <c r="T176" s="405"/>
      <c r="U176" s="405"/>
      <c r="V176" s="405"/>
      <c r="W176" s="405"/>
      <c r="X176" s="405"/>
      <c r="Y176" s="405"/>
      <c r="Z176" s="405"/>
      <c r="AA176" s="405"/>
      <c r="AB176" s="405"/>
      <c r="AC176" s="405"/>
      <c r="AD176" s="405"/>
      <c r="AE176" s="405"/>
      <c r="AF176" s="405"/>
      <c r="AG176" s="405"/>
      <c r="AH176" s="405"/>
      <c r="AI176" s="405"/>
      <c r="AJ176" s="411"/>
      <c r="AK176" s="42"/>
      <c r="AL176" s="311"/>
      <c r="AM176" s="311"/>
      <c r="AN176" s="311"/>
      <c r="AO176" s="311"/>
      <c r="AP176" s="43"/>
      <c r="AQ176" s="111"/>
      <c r="AR176" s="309"/>
      <c r="AS176" s="309"/>
      <c r="AT176" s="309"/>
      <c r="AU176" s="309"/>
      <c r="AV176" s="309"/>
      <c r="AW176" s="309"/>
      <c r="AX176" s="309"/>
      <c r="AY176" s="309"/>
      <c r="AZ176" s="309"/>
      <c r="BA176" s="309"/>
      <c r="BB176" s="309"/>
      <c r="BC176" s="309"/>
      <c r="BD176" s="309"/>
      <c r="BE176" s="309"/>
      <c r="BF176" s="309"/>
      <c r="BG176" s="309"/>
      <c r="BH176" s="124"/>
      <c r="BI176" s="41"/>
      <c r="BJ176" s="49"/>
      <c r="BK176" s="412"/>
      <c r="BL176" s="413"/>
      <c r="BM176" s="414"/>
      <c r="BN176" s="412"/>
      <c r="BO176" s="413"/>
      <c r="BP176" s="414"/>
      <c r="BQ176" s="412"/>
      <c r="BR176" s="413"/>
      <c r="BS176" s="414"/>
      <c r="BT176" s="412"/>
      <c r="BU176" s="413"/>
      <c r="BV176" s="414"/>
      <c r="BW176" s="412"/>
      <c r="BX176" s="413"/>
      <c r="BY176" s="414"/>
      <c r="BZ176" s="412"/>
      <c r="CA176" s="413"/>
      <c r="CB176" s="414"/>
      <c r="CC176" s="412"/>
      <c r="CD176" s="413"/>
      <c r="CE176" s="414"/>
      <c r="CF176" s="412"/>
      <c r="CG176" s="413"/>
      <c r="CH176" s="414"/>
      <c r="CI176" s="412"/>
      <c r="CJ176" s="413"/>
      <c r="CK176" s="414"/>
      <c r="CL176" s="412"/>
      <c r="CM176" s="413"/>
      <c r="CN176" s="414"/>
      <c r="CO176" s="412"/>
      <c r="CP176" s="413"/>
      <c r="CQ176" s="414"/>
      <c r="CR176" s="412"/>
      <c r="CS176" s="413"/>
      <c r="CT176" s="414"/>
      <c r="CU176" s="412"/>
      <c r="CV176" s="413"/>
      <c r="CW176" s="414"/>
      <c r="CX176" s="412"/>
      <c r="CY176" s="413"/>
      <c r="CZ176" s="414"/>
      <c r="DA176" s="412"/>
      <c r="DB176" s="413"/>
      <c r="DC176" s="414"/>
      <c r="DD176" s="412"/>
      <c r="DE176" s="413"/>
      <c r="DF176" s="414"/>
      <c r="DH176" s="311"/>
      <c r="DI176" s="311"/>
      <c r="DJ176" s="311"/>
      <c r="DK176" s="311"/>
      <c r="DL176" s="321"/>
      <c r="DM176" s="321"/>
      <c r="DN176" s="321"/>
      <c r="DO176" s="321"/>
      <c r="DP176" s="321"/>
      <c r="DQ176" s="321"/>
      <c r="DR176" s="321"/>
      <c r="DS176" s="321"/>
    </row>
    <row r="177" spans="1:123" ht="7.4" customHeight="1" x14ac:dyDescent="0.5">
      <c r="A177" s="42"/>
      <c r="B177" s="42"/>
      <c r="C177" s="55"/>
      <c r="D177" s="55"/>
      <c r="E177" s="41"/>
      <c r="F177" s="42"/>
      <c r="G177" s="120"/>
      <c r="H177" s="56"/>
      <c r="I177" s="56"/>
      <c r="J177" s="56"/>
      <c r="K177" s="56"/>
      <c r="L177" s="56"/>
      <c r="M177" s="56"/>
      <c r="N177" s="56"/>
      <c r="O177" s="56"/>
      <c r="P177" s="56"/>
      <c r="Q177" s="56"/>
      <c r="R177" s="126"/>
      <c r="S177" s="42"/>
      <c r="T177" s="116" t="str">
        <f>VLOOKUP(G175,PL!$B$9:$BH$1265,33,FALSE)</f>
        <v>.</v>
      </c>
      <c r="AJ177" s="44"/>
      <c r="AK177" s="42"/>
      <c r="AL177" s="311"/>
      <c r="AM177" s="311"/>
      <c r="AN177" s="311"/>
      <c r="AO177" s="311"/>
      <c r="AP177" s="43"/>
      <c r="AQ177" s="42"/>
      <c r="AR177" s="119"/>
      <c r="AS177" s="119"/>
      <c r="AT177" s="119"/>
      <c r="AU177" s="119"/>
      <c r="AV177" s="119"/>
      <c r="AW177" s="119"/>
      <c r="AX177" s="105"/>
      <c r="AZ177" s="119"/>
      <c r="BA177" s="119"/>
      <c r="BB177" s="119"/>
      <c r="BC177" s="119"/>
      <c r="BD177" s="119"/>
      <c r="BE177" s="119"/>
      <c r="BF177" s="119"/>
      <c r="BG177" s="119"/>
      <c r="BH177" s="124"/>
      <c r="BI177" s="41"/>
      <c r="BK177" s="194"/>
      <c r="BL177" s="123"/>
      <c r="BM177" s="195"/>
      <c r="BN177" s="194"/>
      <c r="BO177" s="123"/>
      <c r="BP177" s="195"/>
      <c r="BQ177" s="194"/>
      <c r="BR177" s="123"/>
      <c r="BS177" s="195"/>
      <c r="BT177" s="194"/>
      <c r="BU177" s="123"/>
      <c r="BV177" s="195"/>
      <c r="BW177" s="194"/>
      <c r="BX177" s="123"/>
      <c r="BY177" s="195"/>
      <c r="BZ177" s="194"/>
      <c r="CA177" s="123"/>
      <c r="CB177" s="195"/>
      <c r="CC177" s="194"/>
      <c r="CD177" s="123"/>
      <c r="CE177" s="195"/>
      <c r="CF177" s="194"/>
      <c r="CG177" s="123"/>
      <c r="CH177" s="195"/>
      <c r="CI177" s="194"/>
      <c r="CJ177" s="123"/>
      <c r="CK177" s="195"/>
      <c r="CL177" s="194"/>
      <c r="CM177" s="123"/>
      <c r="CN177" s="195"/>
      <c r="CO177" s="194"/>
      <c r="CP177" s="123"/>
      <c r="CQ177" s="195"/>
      <c r="CR177" s="194"/>
      <c r="CS177" s="123"/>
      <c r="CT177" s="195"/>
      <c r="CU177" s="194"/>
      <c r="CV177" s="123"/>
      <c r="CW177" s="195"/>
      <c r="CX177" s="194"/>
      <c r="CY177" s="123"/>
      <c r="CZ177" s="195"/>
      <c r="DA177" s="194"/>
      <c r="DB177" s="123"/>
      <c r="DC177" s="195"/>
      <c r="DD177" s="194"/>
      <c r="DE177" s="123"/>
      <c r="DF177" s="195"/>
      <c r="DH177" s="311"/>
      <c r="DI177" s="311"/>
      <c r="DJ177" s="311"/>
      <c r="DK177" s="311"/>
      <c r="DL177" s="321"/>
      <c r="DM177" s="321"/>
      <c r="DN177" s="321"/>
      <c r="DO177" s="321"/>
      <c r="DP177" s="321"/>
      <c r="DQ177" s="321"/>
      <c r="DR177" s="321"/>
      <c r="DS177" s="321"/>
    </row>
    <row r="178" spans="1:123" ht="7.4" customHeight="1" x14ac:dyDescent="0.5">
      <c r="A178" s="42"/>
      <c r="B178" s="42"/>
      <c r="C178" s="43"/>
      <c r="D178" s="43"/>
      <c r="E178" s="41"/>
      <c r="F178" s="42"/>
      <c r="G178" s="120"/>
      <c r="H178" s="56"/>
      <c r="I178" s="56"/>
      <c r="J178" s="56"/>
      <c r="K178" s="56"/>
      <c r="L178" s="56"/>
      <c r="M178" s="56"/>
      <c r="N178" s="56"/>
      <c r="O178" s="56"/>
      <c r="P178" s="56"/>
      <c r="Q178" s="56"/>
      <c r="R178" s="126"/>
      <c r="S178" s="42"/>
      <c r="AJ178" s="41"/>
      <c r="AK178" s="42"/>
      <c r="AL178" s="311"/>
      <c r="AM178" s="311"/>
      <c r="AN178" s="311"/>
      <c r="AO178" s="311"/>
      <c r="AP178" s="43"/>
      <c r="AQ178" s="42"/>
      <c r="AR178" s="119"/>
      <c r="AS178" s="119"/>
      <c r="AT178" s="119"/>
      <c r="AU178" s="119"/>
      <c r="AV178" s="119"/>
      <c r="AW178" s="119"/>
      <c r="AX178" s="105"/>
      <c r="AZ178" s="119"/>
      <c r="BA178" s="119"/>
      <c r="BB178" s="119"/>
      <c r="BC178" s="119"/>
      <c r="BD178" s="119"/>
      <c r="BE178" s="119"/>
      <c r="BF178" s="119"/>
      <c r="BG178" s="119"/>
      <c r="BH178" s="124"/>
      <c r="BI178" s="41"/>
      <c r="BK178" s="194"/>
      <c r="BL178" s="123"/>
      <c r="BM178" s="195"/>
      <c r="BN178" s="194"/>
      <c r="BO178" s="123"/>
      <c r="BP178" s="195"/>
      <c r="BQ178" s="194"/>
      <c r="BR178" s="123"/>
      <c r="BS178" s="195"/>
      <c r="BT178" s="194"/>
      <c r="BU178" s="123"/>
      <c r="BV178" s="195"/>
      <c r="BW178" s="194"/>
      <c r="BX178" s="123"/>
      <c r="BY178" s="195"/>
      <c r="BZ178" s="194"/>
      <c r="CA178" s="123"/>
      <c r="CB178" s="195"/>
      <c r="CC178" s="194"/>
      <c r="CD178" s="123"/>
      <c r="CE178" s="195"/>
      <c r="CF178" s="194"/>
      <c r="CG178" s="123"/>
      <c r="CH178" s="195"/>
      <c r="CI178" s="194"/>
      <c r="CJ178" s="123"/>
      <c r="CK178" s="195"/>
      <c r="CL178" s="194"/>
      <c r="CM178" s="123"/>
      <c r="CN178" s="195"/>
      <c r="CO178" s="194"/>
      <c r="CP178" s="123"/>
      <c r="CQ178" s="195"/>
      <c r="CR178" s="194"/>
      <c r="CS178" s="123"/>
      <c r="CT178" s="195"/>
      <c r="CU178" s="194"/>
      <c r="CV178" s="123"/>
      <c r="CW178" s="195"/>
      <c r="CX178" s="194"/>
      <c r="CY178" s="123"/>
      <c r="CZ178" s="195"/>
      <c r="DA178" s="194"/>
      <c r="DB178" s="123"/>
      <c r="DC178" s="195"/>
      <c r="DD178" s="194"/>
      <c r="DE178" s="123"/>
      <c r="DF178" s="195"/>
      <c r="DH178" s="311"/>
      <c r="DI178" s="311"/>
      <c r="DJ178" s="311"/>
      <c r="DK178" s="311"/>
      <c r="DL178" s="321"/>
      <c r="DM178" s="321"/>
      <c r="DN178" s="321"/>
      <c r="DO178" s="321"/>
      <c r="DP178" s="321"/>
      <c r="DQ178" s="321"/>
      <c r="DR178" s="321"/>
      <c r="DS178" s="321"/>
    </row>
    <row r="179" spans="1:123" ht="7.4" customHeight="1" x14ac:dyDescent="0.5">
      <c r="A179" s="42"/>
      <c r="B179" s="42"/>
      <c r="C179" s="311">
        <f>C175+1</f>
        <v>16</v>
      </c>
      <c r="D179" s="311"/>
      <c r="E179" s="41"/>
      <c r="F179" s="42"/>
      <c r="G179" s="319" t="str">
        <f>IF(AL179=0,"N/A","AXE_RW_B_6_SS")</f>
        <v>N/A</v>
      </c>
      <c r="H179" s="319"/>
      <c r="I179" s="319"/>
      <c r="J179" s="319"/>
      <c r="K179" s="319"/>
      <c r="L179" s="319"/>
      <c r="M179" s="319"/>
      <c r="N179" s="319"/>
      <c r="O179" s="319"/>
      <c r="P179" s="319"/>
      <c r="Q179" s="319"/>
      <c r="R179" s="320"/>
      <c r="S179" s="42"/>
      <c r="T179" s="405" t="str">
        <f>VLOOKUP(G179,PL!$B$9:$BH$1265,14,FALSE)</f>
        <v>No Item</v>
      </c>
      <c r="U179" s="405"/>
      <c r="V179" s="405"/>
      <c r="W179" s="405"/>
      <c r="X179" s="405"/>
      <c r="Y179" s="405"/>
      <c r="Z179" s="405"/>
      <c r="AA179" s="405"/>
      <c r="AB179" s="405"/>
      <c r="AC179" s="405"/>
      <c r="AD179" s="405"/>
      <c r="AE179" s="405"/>
      <c r="AF179" s="405"/>
      <c r="AG179" s="405"/>
      <c r="AH179" s="405"/>
      <c r="AI179" s="405"/>
      <c r="AJ179" s="411"/>
      <c r="AK179" s="42"/>
      <c r="AL179" s="311">
        <f>ROUND(SUM(BK179:DF179)*(1+$BF$72),0)</f>
        <v>0</v>
      </c>
      <c r="AM179" s="311"/>
      <c r="AN179" s="311"/>
      <c r="AO179" s="311"/>
      <c r="AP179" s="43"/>
      <c r="AQ179" s="111"/>
      <c r="AR179" s="308" t="str">
        <f>VLOOKUP(G179,PL!$B$9:$BH$818,52,FALSE)</f>
        <v>-</v>
      </c>
      <c r="AS179" s="309"/>
      <c r="AT179" s="309"/>
      <c r="AU179" s="309"/>
      <c r="AV179" s="309"/>
      <c r="AW179" s="309"/>
      <c r="AX179" s="309"/>
      <c r="AY179" s="309"/>
      <c r="AZ179" s="309"/>
      <c r="BA179" s="309"/>
      <c r="BB179" s="309"/>
      <c r="BC179" s="309"/>
      <c r="BD179" s="309"/>
      <c r="BE179" s="309"/>
      <c r="BF179" s="309"/>
      <c r="BG179" s="309"/>
      <c r="BH179" s="124"/>
      <c r="BI179" s="41"/>
      <c r="BJ179" s="49"/>
      <c r="BK179" s="412">
        <f>IF($N$74="Cables",BK135,0)</f>
        <v>0</v>
      </c>
      <c r="BL179" s="413"/>
      <c r="BM179" s="414"/>
      <c r="BN179" s="412">
        <f>IF($N$74="Cables",BN135,0)</f>
        <v>0</v>
      </c>
      <c r="BO179" s="413"/>
      <c r="BP179" s="414"/>
      <c r="BQ179" s="412">
        <f>IF($N$74="Cables",BQ135,0)</f>
        <v>0</v>
      </c>
      <c r="BR179" s="413"/>
      <c r="BS179" s="414"/>
      <c r="BT179" s="412">
        <f>IF($N$74="Cables",BT135,0)</f>
        <v>0</v>
      </c>
      <c r="BU179" s="413"/>
      <c r="BV179" s="414"/>
      <c r="BW179" s="412">
        <f>IF($N$74="Cables",BW135,0)</f>
        <v>0</v>
      </c>
      <c r="BX179" s="413"/>
      <c r="BY179" s="414"/>
      <c r="BZ179" s="412">
        <f>IF($N$74="Cables",BZ135,0)</f>
        <v>0</v>
      </c>
      <c r="CA179" s="413"/>
      <c r="CB179" s="414"/>
      <c r="CC179" s="412">
        <f>IF($N$74="Cables",CC135,0)</f>
        <v>0</v>
      </c>
      <c r="CD179" s="413"/>
      <c r="CE179" s="414"/>
      <c r="CF179" s="412">
        <f>IF($N$74="Cables",CF135,0)</f>
        <v>0</v>
      </c>
      <c r="CG179" s="413"/>
      <c r="CH179" s="414"/>
      <c r="CI179" s="412">
        <f>IF($N$74="Cables",CI135,0)</f>
        <v>0</v>
      </c>
      <c r="CJ179" s="413"/>
      <c r="CK179" s="414"/>
      <c r="CL179" s="412">
        <f>IF($N$74="Cables",CL135,0)</f>
        <v>0</v>
      </c>
      <c r="CM179" s="413"/>
      <c r="CN179" s="414"/>
      <c r="CO179" s="412">
        <f>IF($N$74="Cables",CO135,0)</f>
        <v>0</v>
      </c>
      <c r="CP179" s="413"/>
      <c r="CQ179" s="414"/>
      <c r="CR179" s="412">
        <f>IF($N$74="Cables",CR135,0)</f>
        <v>0</v>
      </c>
      <c r="CS179" s="413"/>
      <c r="CT179" s="414"/>
      <c r="CU179" s="412">
        <f>IF($N$74="Cables",CU135,0)</f>
        <v>0</v>
      </c>
      <c r="CV179" s="413"/>
      <c r="CW179" s="414"/>
      <c r="CX179" s="412">
        <f>IF($N$74="Cables",CX135,0)</f>
        <v>0</v>
      </c>
      <c r="CY179" s="413"/>
      <c r="CZ179" s="414"/>
      <c r="DA179" s="412">
        <f>IF($N$74="Cables",DA135,0)</f>
        <v>0</v>
      </c>
      <c r="DB179" s="413"/>
      <c r="DC179" s="414"/>
      <c r="DD179" s="412">
        <f>IF($N$74="Cables",DD135,0)</f>
        <v>0</v>
      </c>
      <c r="DE179" s="413"/>
      <c r="DF179" s="414"/>
      <c r="DH179" s="311"/>
      <c r="DI179" s="311"/>
      <c r="DJ179" s="311"/>
      <c r="DK179" s="311"/>
      <c r="DL179" s="321"/>
      <c r="DM179" s="321"/>
      <c r="DN179" s="321"/>
      <c r="DO179" s="321"/>
      <c r="DP179" s="321"/>
      <c r="DQ179" s="321"/>
      <c r="DR179" s="321"/>
      <c r="DS179" s="321"/>
    </row>
    <row r="180" spans="1:123" ht="7.4" customHeight="1" x14ac:dyDescent="0.5">
      <c r="A180" s="42"/>
      <c r="B180" s="42"/>
      <c r="C180" s="311"/>
      <c r="D180" s="311"/>
      <c r="E180" s="41"/>
      <c r="F180" s="42"/>
      <c r="G180" s="319"/>
      <c r="H180" s="319"/>
      <c r="I180" s="319"/>
      <c r="J180" s="319"/>
      <c r="K180" s="319"/>
      <c r="L180" s="319"/>
      <c r="M180" s="319"/>
      <c r="N180" s="319"/>
      <c r="O180" s="319"/>
      <c r="P180" s="319"/>
      <c r="Q180" s="319"/>
      <c r="R180" s="320"/>
      <c r="S180" s="42"/>
      <c r="T180" s="405"/>
      <c r="U180" s="405"/>
      <c r="V180" s="405"/>
      <c r="W180" s="405"/>
      <c r="X180" s="405"/>
      <c r="Y180" s="405"/>
      <c r="Z180" s="405"/>
      <c r="AA180" s="405"/>
      <c r="AB180" s="405"/>
      <c r="AC180" s="405"/>
      <c r="AD180" s="405"/>
      <c r="AE180" s="405"/>
      <c r="AF180" s="405"/>
      <c r="AG180" s="405"/>
      <c r="AH180" s="405"/>
      <c r="AI180" s="405"/>
      <c r="AJ180" s="411"/>
      <c r="AK180" s="42"/>
      <c r="AL180" s="311"/>
      <c r="AM180" s="311"/>
      <c r="AN180" s="311"/>
      <c r="AO180" s="311"/>
      <c r="AP180" s="43"/>
      <c r="AQ180" s="111"/>
      <c r="AR180" s="309"/>
      <c r="AS180" s="309"/>
      <c r="AT180" s="309"/>
      <c r="AU180" s="309"/>
      <c r="AV180" s="309"/>
      <c r="AW180" s="309"/>
      <c r="AX180" s="309"/>
      <c r="AY180" s="309"/>
      <c r="AZ180" s="309"/>
      <c r="BA180" s="309"/>
      <c r="BB180" s="309"/>
      <c r="BC180" s="309"/>
      <c r="BD180" s="309"/>
      <c r="BE180" s="309"/>
      <c r="BF180" s="309"/>
      <c r="BG180" s="309"/>
      <c r="BH180" s="124"/>
      <c r="BI180" s="41"/>
      <c r="BJ180" s="49"/>
      <c r="BK180" s="412"/>
      <c r="BL180" s="413"/>
      <c r="BM180" s="414"/>
      <c r="BN180" s="412"/>
      <c r="BO180" s="413"/>
      <c r="BP180" s="414"/>
      <c r="BQ180" s="412"/>
      <c r="BR180" s="413"/>
      <c r="BS180" s="414"/>
      <c r="BT180" s="412"/>
      <c r="BU180" s="413"/>
      <c r="BV180" s="414"/>
      <c r="BW180" s="412"/>
      <c r="BX180" s="413"/>
      <c r="BY180" s="414"/>
      <c r="BZ180" s="412"/>
      <c r="CA180" s="413"/>
      <c r="CB180" s="414"/>
      <c r="CC180" s="412"/>
      <c r="CD180" s="413"/>
      <c r="CE180" s="414"/>
      <c r="CF180" s="412"/>
      <c r="CG180" s="413"/>
      <c r="CH180" s="414"/>
      <c r="CI180" s="412"/>
      <c r="CJ180" s="413"/>
      <c r="CK180" s="414"/>
      <c r="CL180" s="412"/>
      <c r="CM180" s="413"/>
      <c r="CN180" s="414"/>
      <c r="CO180" s="412"/>
      <c r="CP180" s="413"/>
      <c r="CQ180" s="414"/>
      <c r="CR180" s="412"/>
      <c r="CS180" s="413"/>
      <c r="CT180" s="414"/>
      <c r="CU180" s="412"/>
      <c r="CV180" s="413"/>
      <c r="CW180" s="414"/>
      <c r="CX180" s="412"/>
      <c r="CY180" s="413"/>
      <c r="CZ180" s="414"/>
      <c r="DA180" s="412"/>
      <c r="DB180" s="413"/>
      <c r="DC180" s="414"/>
      <c r="DD180" s="412"/>
      <c r="DE180" s="413"/>
      <c r="DF180" s="414"/>
      <c r="DH180" s="311"/>
      <c r="DI180" s="311"/>
      <c r="DJ180" s="311"/>
      <c r="DK180" s="311"/>
      <c r="DL180" s="321"/>
      <c r="DM180" s="321"/>
      <c r="DN180" s="321"/>
      <c r="DO180" s="321"/>
      <c r="DP180" s="321"/>
      <c r="DQ180" s="321"/>
      <c r="DR180" s="321"/>
      <c r="DS180" s="321"/>
    </row>
    <row r="181" spans="1:123" ht="7.4" customHeight="1" x14ac:dyDescent="0.5">
      <c r="A181" s="42"/>
      <c r="B181" s="42"/>
      <c r="C181" s="55"/>
      <c r="D181" s="55"/>
      <c r="E181" s="41"/>
      <c r="F181" s="42"/>
      <c r="G181" s="120"/>
      <c r="H181" s="56"/>
      <c r="I181" s="56"/>
      <c r="J181" s="56"/>
      <c r="K181" s="56"/>
      <c r="L181" s="56"/>
      <c r="M181" s="56"/>
      <c r="N181" s="56"/>
      <c r="O181" s="56"/>
      <c r="P181" s="56"/>
      <c r="Q181" s="56"/>
      <c r="R181" s="126"/>
      <c r="S181" s="42"/>
      <c r="T181" s="116" t="str">
        <f>VLOOKUP(G179,PL!$B$9:$BH$1265,33,FALSE)</f>
        <v>.</v>
      </c>
      <c r="AJ181" s="44"/>
      <c r="AK181" s="42"/>
      <c r="AL181" s="311"/>
      <c r="AM181" s="311"/>
      <c r="AN181" s="311"/>
      <c r="AO181" s="311"/>
      <c r="AP181" s="43"/>
      <c r="AQ181" s="42"/>
      <c r="AR181" s="119"/>
      <c r="AS181" s="119"/>
      <c r="AT181" s="119"/>
      <c r="AU181" s="119"/>
      <c r="AV181" s="119"/>
      <c r="AW181" s="119"/>
      <c r="AX181" s="105"/>
      <c r="AZ181" s="119"/>
      <c r="BA181" s="119"/>
      <c r="BB181" s="119"/>
      <c r="BC181" s="119"/>
      <c r="BD181" s="119"/>
      <c r="BE181" s="119"/>
      <c r="BF181" s="119"/>
      <c r="BG181" s="119"/>
      <c r="BH181" s="124"/>
      <c r="BI181" s="41"/>
      <c r="BK181" s="194"/>
      <c r="BL181" s="123"/>
      <c r="BM181" s="195"/>
      <c r="BN181" s="194"/>
      <c r="BO181" s="123"/>
      <c r="BP181" s="195"/>
      <c r="BQ181" s="194"/>
      <c r="BR181" s="123"/>
      <c r="BS181" s="195"/>
      <c r="BT181" s="194"/>
      <c r="BU181" s="123"/>
      <c r="BV181" s="195"/>
      <c r="BW181" s="194"/>
      <c r="BX181" s="123"/>
      <c r="BY181" s="195"/>
      <c r="BZ181" s="194"/>
      <c r="CA181" s="123"/>
      <c r="CB181" s="195"/>
      <c r="CC181" s="194"/>
      <c r="CD181" s="123"/>
      <c r="CE181" s="195"/>
      <c r="CF181" s="194"/>
      <c r="CG181" s="123"/>
      <c r="CH181" s="195"/>
      <c r="CI181" s="194"/>
      <c r="CJ181" s="123"/>
      <c r="CK181" s="195"/>
      <c r="CL181" s="194"/>
      <c r="CM181" s="123"/>
      <c r="CN181" s="195"/>
      <c r="CO181" s="194"/>
      <c r="CP181" s="123"/>
      <c r="CQ181" s="195"/>
      <c r="CR181" s="194"/>
      <c r="CS181" s="123"/>
      <c r="CT181" s="195"/>
      <c r="CU181" s="194"/>
      <c r="CV181" s="123"/>
      <c r="CW181" s="195"/>
      <c r="CX181" s="194"/>
      <c r="CY181" s="123"/>
      <c r="CZ181" s="195"/>
      <c r="DA181" s="194"/>
      <c r="DB181" s="123"/>
      <c r="DC181" s="195"/>
      <c r="DD181" s="194"/>
      <c r="DE181" s="123"/>
      <c r="DF181" s="195"/>
      <c r="DH181" s="311"/>
      <c r="DI181" s="311"/>
      <c r="DJ181" s="311"/>
      <c r="DK181" s="311"/>
      <c r="DL181" s="321"/>
      <c r="DM181" s="321"/>
      <c r="DN181" s="321"/>
      <c r="DO181" s="321"/>
      <c r="DP181" s="321"/>
      <c r="DQ181" s="321"/>
      <c r="DR181" s="321"/>
      <c r="DS181" s="321"/>
    </row>
    <row r="182" spans="1:123" ht="7.4" customHeight="1" x14ac:dyDescent="0.5">
      <c r="A182" s="42"/>
      <c r="B182" s="42"/>
      <c r="C182" s="55"/>
      <c r="D182" s="55"/>
      <c r="E182" s="41"/>
      <c r="F182" s="42"/>
      <c r="G182" s="120"/>
      <c r="H182" s="56"/>
      <c r="I182" s="56"/>
      <c r="J182" s="56"/>
      <c r="K182" s="56"/>
      <c r="L182" s="56"/>
      <c r="M182" s="56"/>
      <c r="N182" s="56"/>
      <c r="O182" s="56"/>
      <c r="P182" s="56"/>
      <c r="Q182" s="56"/>
      <c r="R182" s="126"/>
      <c r="S182" s="42"/>
      <c r="AJ182" s="41"/>
      <c r="AK182" s="42"/>
      <c r="AL182" s="311"/>
      <c r="AM182" s="311"/>
      <c r="AN182" s="311"/>
      <c r="AO182" s="311"/>
      <c r="AP182" s="43"/>
      <c r="AQ182" s="42"/>
      <c r="AR182" s="119"/>
      <c r="AS182" s="119"/>
      <c r="AT182" s="119"/>
      <c r="AU182" s="119"/>
      <c r="AV182" s="119"/>
      <c r="AW182" s="119"/>
      <c r="AX182" s="105"/>
      <c r="AZ182" s="119"/>
      <c r="BA182" s="119"/>
      <c r="BB182" s="119"/>
      <c r="BC182" s="119"/>
      <c r="BD182" s="119"/>
      <c r="BE182" s="119"/>
      <c r="BF182" s="119"/>
      <c r="BG182" s="119"/>
      <c r="BH182" s="124"/>
      <c r="BI182" s="124"/>
      <c r="BK182" s="194"/>
      <c r="BL182" s="123"/>
      <c r="BM182" s="195"/>
      <c r="BN182" s="194"/>
      <c r="BO182" s="123"/>
      <c r="BP182" s="195"/>
      <c r="BQ182" s="194"/>
      <c r="BR182" s="123"/>
      <c r="BS182" s="195"/>
      <c r="BT182" s="194"/>
      <c r="BU182" s="123"/>
      <c r="BV182" s="195"/>
      <c r="BW182" s="194"/>
      <c r="BX182" s="123"/>
      <c r="BY182" s="195"/>
      <c r="BZ182" s="194"/>
      <c r="CA182" s="123"/>
      <c r="CB182" s="195"/>
      <c r="CC182" s="194"/>
      <c r="CD182" s="123"/>
      <c r="CE182" s="195"/>
      <c r="CF182" s="194"/>
      <c r="CG182" s="123"/>
      <c r="CH182" s="195"/>
      <c r="CI182" s="194"/>
      <c r="CJ182" s="123"/>
      <c r="CK182" s="195"/>
      <c r="CL182" s="194"/>
      <c r="CM182" s="123"/>
      <c r="CN182" s="195"/>
      <c r="CO182" s="194"/>
      <c r="CP182" s="123"/>
      <c r="CQ182" s="195"/>
      <c r="CR182" s="194"/>
      <c r="CS182" s="123"/>
      <c r="CT182" s="195"/>
      <c r="CU182" s="194"/>
      <c r="CV182" s="123"/>
      <c r="CW182" s="195"/>
      <c r="CX182" s="194"/>
      <c r="CY182" s="123"/>
      <c r="CZ182" s="195"/>
      <c r="DA182" s="194"/>
      <c r="DB182" s="123"/>
      <c r="DC182" s="195"/>
      <c r="DD182" s="194"/>
      <c r="DE182" s="123"/>
      <c r="DF182" s="195"/>
      <c r="DH182" s="311"/>
      <c r="DI182" s="311"/>
      <c r="DJ182" s="311"/>
      <c r="DK182" s="311"/>
      <c r="DL182" s="321"/>
      <c r="DM182" s="321"/>
      <c r="DN182" s="321"/>
      <c r="DO182" s="321"/>
      <c r="DP182" s="321"/>
      <c r="DQ182" s="321"/>
      <c r="DR182" s="321"/>
      <c r="DS182" s="321"/>
    </row>
    <row r="183" spans="1:123" ht="7.4" customHeight="1" x14ac:dyDescent="0.5">
      <c r="A183" s="42"/>
      <c r="B183" s="42"/>
      <c r="C183" s="311">
        <f>C179+1</f>
        <v>17</v>
      </c>
      <c r="D183" s="311"/>
      <c r="E183" s="41"/>
      <c r="F183" s="42"/>
      <c r="G183" s="319" t="str">
        <f>IF(AL183=0,"N/A","AXE_ST_6.3_22_SC")</f>
        <v>AXE_ST_6.3_22_SC</v>
      </c>
      <c r="H183" s="319"/>
      <c r="I183" s="319"/>
      <c r="J183" s="319"/>
      <c r="K183" s="319"/>
      <c r="L183" s="319"/>
      <c r="M183" s="319"/>
      <c r="N183" s="319"/>
      <c r="O183" s="319"/>
      <c r="P183" s="319"/>
      <c r="Q183" s="319"/>
      <c r="R183" s="320"/>
      <c r="S183" s="42"/>
      <c r="T183" s="405" t="str">
        <f>VLOOKUP(G183,PL!$B$9:$BH$1265,14,FALSE)</f>
        <v>Self Drilling Tek Screw</v>
      </c>
      <c r="U183" s="405"/>
      <c r="V183" s="405"/>
      <c r="W183" s="405"/>
      <c r="X183" s="405"/>
      <c r="Y183" s="405"/>
      <c r="Z183" s="405"/>
      <c r="AA183" s="405"/>
      <c r="AB183" s="405"/>
      <c r="AC183" s="405"/>
      <c r="AD183" s="405"/>
      <c r="AE183" s="405"/>
      <c r="AF183" s="405"/>
      <c r="AG183" s="405"/>
      <c r="AH183" s="405"/>
      <c r="AI183" s="405"/>
      <c r="AJ183" s="411"/>
      <c r="AK183" s="42"/>
      <c r="AL183" s="311">
        <f>ROUND(SUM(BK183:DF183)*(1+$BF$72),0)</f>
        <v>1664</v>
      </c>
      <c r="AM183" s="311"/>
      <c r="AN183" s="311"/>
      <c r="AO183" s="311"/>
      <c r="AP183" s="43"/>
      <c r="AQ183" s="111"/>
      <c r="AR183" s="308" t="str">
        <f>VLOOKUP(G183,PL!$B$9:$BH$818,52,FALSE)</f>
        <v>SOL-5952</v>
      </c>
      <c r="AS183" s="309"/>
      <c r="AT183" s="309"/>
      <c r="AU183" s="309"/>
      <c r="AV183" s="309"/>
      <c r="AW183" s="309"/>
      <c r="AX183" s="309"/>
      <c r="AY183" s="309"/>
      <c r="AZ183" s="309"/>
      <c r="BA183" s="309"/>
      <c r="BB183" s="309"/>
      <c r="BC183" s="309"/>
      <c r="BD183" s="309"/>
      <c r="BE183" s="309"/>
      <c r="BF183" s="309"/>
      <c r="BG183" s="309"/>
      <c r="BH183" s="124"/>
      <c r="BI183" s="41"/>
      <c r="BK183" s="412">
        <f>IF(OR(MID($G$127,8,2)="IB",MID($G$127,8,2)="RS",MID($G$127,8,2)="CO"),BK127*4,
IF(MID($G$127,8,2)="RF",BK127*2,0))</f>
        <v>1600</v>
      </c>
      <c r="BL183" s="413"/>
      <c r="BM183" s="414"/>
      <c r="BN183" s="412">
        <f>IF(OR(MID($G$127,8,2)="IB",MID($G$127,8,2)="RS",MID($G$127,8,2)="CO"),BN127*4,
IF(MID($G$127,8,2)="RF",BN127*2,0))</f>
        <v>0</v>
      </c>
      <c r="BO183" s="413"/>
      <c r="BP183" s="414"/>
      <c r="BQ183" s="412">
        <f>IF(OR(MID($G$127,8,2)="IB",MID($G$127,8,2)="RS",MID($G$127,8,2)="CO"),BQ127*4,
IF(MID($G$127,8,2)="RF",BQ127*2,0))</f>
        <v>0</v>
      </c>
      <c r="BR183" s="413"/>
      <c r="BS183" s="414"/>
      <c r="BT183" s="412">
        <f>IF(OR(MID($G$127,8,2)="IB",MID($G$127,8,2)="RS",MID($G$127,8,2)="CO"),BT127*4,
IF(MID($G$127,8,2)="RF",BT127*2,0))</f>
        <v>0</v>
      </c>
      <c r="BU183" s="413"/>
      <c r="BV183" s="414"/>
      <c r="BW183" s="412">
        <f>IF(OR(MID($G$127,8,2)="IB",MID($G$127,8,2)="RS",MID($G$127,8,2)="CO"),BW127*4,
IF(MID($G$127,8,2)="RF",BW127*2,0))</f>
        <v>0</v>
      </c>
      <c r="BX183" s="413"/>
      <c r="BY183" s="414"/>
      <c r="BZ183" s="412">
        <f>IF(OR(MID($G$127,8,2)="IB",MID($G$127,8,2)="RS",MID($G$127,8,2)="CO"),BZ127*4,
IF(MID($G$127,8,2)="RF",BZ127*2,0))</f>
        <v>0</v>
      </c>
      <c r="CA183" s="413"/>
      <c r="CB183" s="414"/>
      <c r="CC183" s="412">
        <f>IF(OR(MID($G$127,8,2)="IB",MID($G$127,8,2)="RS",MID($G$127,8,2)="CO"),CC127*4,
IF(MID($G$127,8,2)="RF",CC127*2,0))</f>
        <v>0</v>
      </c>
      <c r="CD183" s="413"/>
      <c r="CE183" s="414"/>
      <c r="CF183" s="412">
        <f>IF(OR(MID($G$127,8,2)="IB",MID($G$127,8,2)="RS",MID($G$127,8,2)="CO"),CF127*4,
IF(MID($G$127,8,2)="RF",CF127*2,0))</f>
        <v>0</v>
      </c>
      <c r="CG183" s="413"/>
      <c r="CH183" s="414"/>
      <c r="CI183" s="412">
        <f>IF(OR(MID($G$127,8,2)="IB",MID($G$127,8,2)="RS",MID($G$127,8,2)="CO"),CI127*4,
IF(MID($G$127,8,2)="RF",CI127*2,0))</f>
        <v>0</v>
      </c>
      <c r="CJ183" s="413"/>
      <c r="CK183" s="414"/>
      <c r="CL183" s="412">
        <f>IF(OR(MID($G$127,8,2)="IB",MID($G$127,8,2)="RS",MID($G$127,8,2)="CO"),CL127*4,
IF(MID($G$127,8,2)="RF",CL127*2,0))</f>
        <v>0</v>
      </c>
      <c r="CM183" s="413"/>
      <c r="CN183" s="414"/>
      <c r="CO183" s="412">
        <f>IF(OR(MID($G$127,8,2)="IB",MID($G$127,8,2)="RS",MID($G$127,8,2)="CO"),CO127*4,
IF(MID($G$127,8,2)="RF",CO127*2,0))</f>
        <v>0</v>
      </c>
      <c r="CP183" s="413"/>
      <c r="CQ183" s="414"/>
      <c r="CR183" s="412">
        <f>IF(OR(MID($G$127,8,2)="IB",MID($G$127,8,2)="RS",MID($G$127,8,2)="CO"),CR127*4,
IF(MID($G$127,8,2)="RF",CR127*2,0))</f>
        <v>0</v>
      </c>
      <c r="CS183" s="413"/>
      <c r="CT183" s="414"/>
      <c r="CU183" s="412">
        <f>IF(OR(MID($G$127,8,2)="IB",MID($G$127,8,2)="RS",MID($G$127,8,2)="CO"),CU127*4,
IF(MID($G$127,8,2)="RF",CU127*2,0))</f>
        <v>0</v>
      </c>
      <c r="CV183" s="413"/>
      <c r="CW183" s="414"/>
      <c r="CX183" s="412">
        <f>IF(OR(MID($G$127,8,2)="IB",MID($G$127,8,2)="RS",MID($G$127,8,2)="CO"),CX127*4,
IF(MID($G$127,8,2)="RF",CX127*2,0))</f>
        <v>0</v>
      </c>
      <c r="CY183" s="413"/>
      <c r="CZ183" s="414"/>
      <c r="DA183" s="412">
        <f>IF(OR(MID($G$127,8,2)="IB",MID($G$127,8,2)="RS",MID($G$127,8,2)="CO"),DA127*4,
IF(MID($G$127,8,2)="RF",DA127*2,0))</f>
        <v>0</v>
      </c>
      <c r="DB183" s="413"/>
      <c r="DC183" s="414"/>
      <c r="DD183" s="412">
        <f>IF(OR(MID($G$127,8,2)="IB",MID($G$127,8,2)="RS",MID($G$127,8,2)="CO"),DD127*4,
IF(MID($G$127,8,2)="RF",DD127*2,0))</f>
        <v>0</v>
      </c>
      <c r="DE183" s="413"/>
      <c r="DF183" s="414"/>
      <c r="DH183" s="311"/>
      <c r="DI183" s="311"/>
      <c r="DJ183" s="311"/>
      <c r="DK183" s="311"/>
      <c r="DL183" s="321"/>
      <c r="DM183" s="321"/>
      <c r="DN183" s="321"/>
      <c r="DO183" s="321"/>
      <c r="DP183" s="321"/>
      <c r="DQ183" s="321"/>
      <c r="DR183" s="321"/>
      <c r="DS183" s="321"/>
    </row>
    <row r="184" spans="1:123" ht="7.4" customHeight="1" x14ac:dyDescent="0.5">
      <c r="A184" s="42"/>
      <c r="B184" s="42"/>
      <c r="C184" s="311"/>
      <c r="D184" s="311"/>
      <c r="E184" s="41"/>
      <c r="F184" s="42"/>
      <c r="G184" s="319"/>
      <c r="H184" s="319"/>
      <c r="I184" s="319"/>
      <c r="J184" s="319"/>
      <c r="K184" s="319"/>
      <c r="L184" s="319"/>
      <c r="M184" s="319"/>
      <c r="N184" s="319"/>
      <c r="O184" s="319"/>
      <c r="P184" s="319"/>
      <c r="Q184" s="319"/>
      <c r="R184" s="320"/>
      <c r="S184" s="42"/>
      <c r="T184" s="405"/>
      <c r="U184" s="405"/>
      <c r="V184" s="405"/>
      <c r="W184" s="405"/>
      <c r="X184" s="405"/>
      <c r="Y184" s="405"/>
      <c r="Z184" s="405"/>
      <c r="AA184" s="405"/>
      <c r="AB184" s="405"/>
      <c r="AC184" s="405"/>
      <c r="AD184" s="405"/>
      <c r="AE184" s="405"/>
      <c r="AF184" s="405"/>
      <c r="AG184" s="405"/>
      <c r="AH184" s="405"/>
      <c r="AI184" s="405"/>
      <c r="AJ184" s="411"/>
      <c r="AK184" s="42"/>
      <c r="AL184" s="311"/>
      <c r="AM184" s="311"/>
      <c r="AN184" s="311"/>
      <c r="AO184" s="311"/>
      <c r="AP184" s="43"/>
      <c r="AQ184" s="111"/>
      <c r="AR184" s="309"/>
      <c r="AS184" s="309"/>
      <c r="AT184" s="309"/>
      <c r="AU184" s="309"/>
      <c r="AV184" s="309"/>
      <c r="AW184" s="309"/>
      <c r="AX184" s="309"/>
      <c r="AY184" s="309"/>
      <c r="AZ184" s="309"/>
      <c r="BA184" s="309"/>
      <c r="BB184" s="309"/>
      <c r="BC184" s="309"/>
      <c r="BD184" s="309"/>
      <c r="BE184" s="309"/>
      <c r="BF184" s="309"/>
      <c r="BG184" s="309"/>
      <c r="BH184" s="124"/>
      <c r="BI184" s="41"/>
      <c r="BK184" s="412"/>
      <c r="BL184" s="413"/>
      <c r="BM184" s="414"/>
      <c r="BN184" s="412"/>
      <c r="BO184" s="413"/>
      <c r="BP184" s="414"/>
      <c r="BQ184" s="412"/>
      <c r="BR184" s="413"/>
      <c r="BS184" s="414"/>
      <c r="BT184" s="412"/>
      <c r="BU184" s="413"/>
      <c r="BV184" s="414"/>
      <c r="BW184" s="412"/>
      <c r="BX184" s="413"/>
      <c r="BY184" s="414"/>
      <c r="BZ184" s="412"/>
      <c r="CA184" s="413"/>
      <c r="CB184" s="414"/>
      <c r="CC184" s="412"/>
      <c r="CD184" s="413"/>
      <c r="CE184" s="414"/>
      <c r="CF184" s="412"/>
      <c r="CG184" s="413"/>
      <c r="CH184" s="414"/>
      <c r="CI184" s="412"/>
      <c r="CJ184" s="413"/>
      <c r="CK184" s="414"/>
      <c r="CL184" s="412"/>
      <c r="CM184" s="413"/>
      <c r="CN184" s="414"/>
      <c r="CO184" s="412"/>
      <c r="CP184" s="413"/>
      <c r="CQ184" s="414"/>
      <c r="CR184" s="412"/>
      <c r="CS184" s="413"/>
      <c r="CT184" s="414"/>
      <c r="CU184" s="412"/>
      <c r="CV184" s="413"/>
      <c r="CW184" s="414"/>
      <c r="CX184" s="412"/>
      <c r="CY184" s="413"/>
      <c r="CZ184" s="414"/>
      <c r="DA184" s="412"/>
      <c r="DB184" s="413"/>
      <c r="DC184" s="414"/>
      <c r="DD184" s="412"/>
      <c r="DE184" s="413"/>
      <c r="DF184" s="414"/>
      <c r="DH184" s="311"/>
      <c r="DI184" s="311"/>
      <c r="DJ184" s="311"/>
      <c r="DK184" s="311"/>
      <c r="DL184" s="321"/>
      <c r="DM184" s="321"/>
      <c r="DN184" s="321"/>
      <c r="DO184" s="321"/>
      <c r="DP184" s="321"/>
      <c r="DQ184" s="321"/>
      <c r="DR184" s="321"/>
      <c r="DS184" s="321"/>
    </row>
    <row r="185" spans="1:123" ht="7.4" customHeight="1" x14ac:dyDescent="0.5">
      <c r="A185" s="42"/>
      <c r="B185" s="42"/>
      <c r="C185" s="55"/>
      <c r="D185" s="55"/>
      <c r="E185" s="41"/>
      <c r="F185" s="42"/>
      <c r="G185" s="56"/>
      <c r="H185" s="56"/>
      <c r="I185" s="56"/>
      <c r="J185" s="56"/>
      <c r="K185" s="56"/>
      <c r="L185" s="56"/>
      <c r="M185" s="56"/>
      <c r="N185" s="56"/>
      <c r="O185" s="56"/>
      <c r="P185" s="56"/>
      <c r="Q185" s="56"/>
      <c r="R185" s="126"/>
      <c r="S185" s="42"/>
      <c r="T185" s="116" t="str">
        <f>VLOOKUP(G183,PL!$B$9:$BH$1265,33,FALSE)</f>
        <v>Class4 Coated Steel, M6.3x22</v>
      </c>
      <c r="AJ185" s="41"/>
      <c r="AK185" s="42"/>
      <c r="AL185" s="311"/>
      <c r="AM185" s="311"/>
      <c r="AN185" s="311"/>
      <c r="AO185" s="311"/>
      <c r="AP185" s="43"/>
      <c r="AQ185" s="229"/>
      <c r="AR185" s="46"/>
      <c r="AS185" s="46"/>
      <c r="AT185" s="46"/>
      <c r="AU185" s="46"/>
      <c r="AV185" s="46"/>
      <c r="AW185" s="46"/>
      <c r="AX185" s="105"/>
      <c r="AY185" s="79"/>
      <c r="AZ185" s="119"/>
      <c r="BA185" s="119"/>
      <c r="BB185" s="119"/>
      <c r="BC185" s="119"/>
      <c r="BD185" s="119"/>
      <c r="BE185" s="119"/>
      <c r="BF185" s="119"/>
      <c r="BG185" s="119"/>
      <c r="BH185" s="124"/>
      <c r="BI185" s="41"/>
      <c r="BK185" s="194"/>
      <c r="BL185" s="123"/>
      <c r="BM185" s="195"/>
      <c r="BN185" s="194"/>
      <c r="BO185" s="123"/>
      <c r="BP185" s="195"/>
      <c r="BQ185" s="194"/>
      <c r="BR185" s="123"/>
      <c r="BS185" s="195"/>
      <c r="BT185" s="194"/>
      <c r="BU185" s="123"/>
      <c r="BV185" s="195"/>
      <c r="BW185" s="194"/>
      <c r="BX185" s="123"/>
      <c r="BY185" s="195"/>
      <c r="BZ185" s="194"/>
      <c r="CA185" s="123"/>
      <c r="CB185" s="195"/>
      <c r="CC185" s="194"/>
      <c r="CD185" s="123"/>
      <c r="CE185" s="195"/>
      <c r="CF185" s="194"/>
      <c r="CG185" s="123"/>
      <c r="CH185" s="195"/>
      <c r="CI185" s="194"/>
      <c r="CJ185" s="123"/>
      <c r="CK185" s="195"/>
      <c r="CL185" s="194"/>
      <c r="CM185" s="123"/>
      <c r="CN185" s="195"/>
      <c r="CO185" s="194"/>
      <c r="CP185" s="123"/>
      <c r="CQ185" s="195"/>
      <c r="CR185" s="194"/>
      <c r="CS185" s="123"/>
      <c r="CT185" s="195"/>
      <c r="CU185" s="194"/>
      <c r="CV185" s="123"/>
      <c r="CW185" s="195"/>
      <c r="CX185" s="194"/>
      <c r="CY185" s="123"/>
      <c r="CZ185" s="195"/>
      <c r="DA185" s="194"/>
      <c r="DB185" s="123"/>
      <c r="DC185" s="195"/>
      <c r="DD185" s="194"/>
      <c r="DE185" s="123"/>
      <c r="DF185" s="195"/>
      <c r="DH185" s="311"/>
      <c r="DI185" s="311"/>
      <c r="DJ185" s="311"/>
      <c r="DK185" s="311"/>
      <c r="DL185" s="321"/>
      <c r="DM185" s="321"/>
      <c r="DN185" s="321"/>
      <c r="DO185" s="321"/>
      <c r="DP185" s="321"/>
      <c r="DQ185" s="321"/>
      <c r="DR185" s="321"/>
      <c r="DS185" s="321"/>
    </row>
    <row r="186" spans="1:123" ht="7.4" customHeight="1" x14ac:dyDescent="0.5">
      <c r="A186" s="42"/>
      <c r="B186" s="42"/>
      <c r="C186" s="55"/>
      <c r="D186" s="55"/>
      <c r="E186" s="41"/>
      <c r="F186" s="42"/>
      <c r="G186" s="56"/>
      <c r="H186" s="56"/>
      <c r="I186" s="56"/>
      <c r="J186" s="56"/>
      <c r="K186" s="56"/>
      <c r="L186" s="56"/>
      <c r="M186" s="56"/>
      <c r="N186" s="56"/>
      <c r="O186" s="56"/>
      <c r="P186" s="56"/>
      <c r="Q186" s="56"/>
      <c r="R186" s="126"/>
      <c r="S186" s="42"/>
      <c r="AJ186" s="41"/>
      <c r="AK186" s="42"/>
      <c r="AL186" s="311"/>
      <c r="AM186" s="311"/>
      <c r="AN186" s="311"/>
      <c r="AO186" s="311"/>
      <c r="AP186" s="43"/>
      <c r="AQ186" s="229"/>
      <c r="AR186" s="46"/>
      <c r="AS186" s="46"/>
      <c r="AT186" s="46"/>
      <c r="AU186" s="46"/>
      <c r="AV186" s="46"/>
      <c r="AW186" s="46"/>
      <c r="AX186" s="105"/>
      <c r="AY186" s="79"/>
      <c r="AZ186" s="119"/>
      <c r="BA186" s="119"/>
      <c r="BB186" s="119"/>
      <c r="BC186" s="119"/>
      <c r="BD186" s="119"/>
      <c r="BE186" s="119"/>
      <c r="BF186" s="119"/>
      <c r="BG186" s="119"/>
      <c r="BH186" s="124"/>
      <c r="BI186" s="41"/>
      <c r="BK186" s="194"/>
      <c r="BL186" s="123"/>
      <c r="BM186" s="195"/>
      <c r="BN186" s="194"/>
      <c r="BO186" s="123"/>
      <c r="BP186" s="195"/>
      <c r="BQ186" s="194"/>
      <c r="BR186" s="123"/>
      <c r="BS186" s="195"/>
      <c r="BT186" s="194"/>
      <c r="BU186" s="123"/>
      <c r="BV186" s="195"/>
      <c r="BW186" s="194"/>
      <c r="BX186" s="123"/>
      <c r="BY186" s="195"/>
      <c r="BZ186" s="194"/>
      <c r="CA186" s="123"/>
      <c r="CB186" s="195"/>
      <c r="CC186" s="194"/>
      <c r="CD186" s="123"/>
      <c r="CE186" s="195"/>
      <c r="CF186" s="194"/>
      <c r="CG186" s="123"/>
      <c r="CH186" s="195"/>
      <c r="CI186" s="194"/>
      <c r="CJ186" s="123"/>
      <c r="CK186" s="195"/>
      <c r="CL186" s="194"/>
      <c r="CM186" s="123"/>
      <c r="CN186" s="195"/>
      <c r="CO186" s="194"/>
      <c r="CP186" s="123"/>
      <c r="CQ186" s="195"/>
      <c r="CR186" s="194"/>
      <c r="CS186" s="123"/>
      <c r="CT186" s="195"/>
      <c r="CU186" s="194"/>
      <c r="CV186" s="123"/>
      <c r="CW186" s="195"/>
      <c r="CX186" s="194"/>
      <c r="CY186" s="123"/>
      <c r="CZ186" s="195"/>
      <c r="DA186" s="194"/>
      <c r="DB186" s="123"/>
      <c r="DC186" s="195"/>
      <c r="DD186" s="194"/>
      <c r="DE186" s="123"/>
      <c r="DF186" s="195"/>
      <c r="DH186" s="311"/>
      <c r="DI186" s="311"/>
      <c r="DJ186" s="311"/>
      <c r="DK186" s="311"/>
      <c r="DL186" s="321"/>
      <c r="DM186" s="321"/>
      <c r="DN186" s="321"/>
      <c r="DO186" s="321"/>
      <c r="DP186" s="321"/>
      <c r="DQ186" s="321"/>
      <c r="DR186" s="321"/>
      <c r="DS186" s="321"/>
    </row>
    <row r="187" spans="1:123" ht="7.4" customHeight="1" x14ac:dyDescent="0.5">
      <c r="A187" s="42"/>
      <c r="B187" s="42"/>
      <c r="C187" s="311">
        <f>C183+1</f>
        <v>18</v>
      </c>
      <c r="D187" s="311"/>
      <c r="E187" s="41"/>
      <c r="F187" s="42"/>
      <c r="G187" s="319" t="str">
        <f>IF(AL187=0,"N/A","AXE_ST_5.5_85_SC")</f>
        <v>N/A</v>
      </c>
      <c r="H187" s="319"/>
      <c r="I187" s="319"/>
      <c r="J187" s="319"/>
      <c r="K187" s="319"/>
      <c r="L187" s="319"/>
      <c r="M187" s="319"/>
      <c r="N187" s="319"/>
      <c r="O187" s="319"/>
      <c r="P187" s="319"/>
      <c r="Q187" s="319"/>
      <c r="R187" s="320"/>
      <c r="S187" s="42"/>
      <c r="T187" s="405" t="str">
        <f>VLOOKUP(G187,PL!$B$9:$BH$1265,14,FALSE)</f>
        <v>No Item</v>
      </c>
      <c r="U187" s="405"/>
      <c r="V187" s="405"/>
      <c r="W187" s="405"/>
      <c r="X187" s="405"/>
      <c r="Y187" s="405"/>
      <c r="Z187" s="405"/>
      <c r="AA187" s="405"/>
      <c r="AB187" s="405"/>
      <c r="AC187" s="405"/>
      <c r="AD187" s="405"/>
      <c r="AE187" s="405"/>
      <c r="AF187" s="405"/>
      <c r="AG187" s="405"/>
      <c r="AH187" s="405"/>
      <c r="AI187" s="405"/>
      <c r="AJ187" s="411"/>
      <c r="AK187" s="42"/>
      <c r="AL187" s="311">
        <f>ROUND(SUM(BK187:DF187)*(1+$BF$72),0)</f>
        <v>0</v>
      </c>
      <c r="AM187" s="311"/>
      <c r="AN187" s="311"/>
      <c r="AO187" s="311"/>
      <c r="AP187" s="43"/>
      <c r="AQ187" s="111"/>
      <c r="AR187" s="308" t="str">
        <f>VLOOKUP(G187,PL!$B$9:$BH$818,52,FALSE)</f>
        <v>-</v>
      </c>
      <c r="AS187" s="309"/>
      <c r="AT187" s="309"/>
      <c r="AU187" s="309"/>
      <c r="AV187" s="309"/>
      <c r="AW187" s="309"/>
      <c r="AX187" s="309"/>
      <c r="AY187" s="309"/>
      <c r="AZ187" s="309"/>
      <c r="BA187" s="309"/>
      <c r="BB187" s="309"/>
      <c r="BC187" s="309"/>
      <c r="BD187" s="309"/>
      <c r="BE187" s="309"/>
      <c r="BF187" s="309"/>
      <c r="BG187" s="309"/>
      <c r="BH187" s="124"/>
      <c r="BI187" s="41"/>
      <c r="BK187" s="412">
        <f>IF(MID($G$127,8,1)="L",IF($AO$35="Flat Surface",0,BK127),0)</f>
        <v>0</v>
      </c>
      <c r="BL187" s="413"/>
      <c r="BM187" s="414"/>
      <c r="BN187" s="412">
        <f>IF(MID($G$127,8,1)="L",IF($AO$35="Flat Surface",0,BN127),0)</f>
        <v>0</v>
      </c>
      <c r="BO187" s="413"/>
      <c r="BP187" s="414"/>
      <c r="BQ187" s="412">
        <f>IF(MID($G$127,8,1)="L",IF($AO$35="Flat Surface",0,BQ127),0)</f>
        <v>0</v>
      </c>
      <c r="BR187" s="413"/>
      <c r="BS187" s="414"/>
      <c r="BT187" s="412">
        <f>IF(MID($G$127,8,1)="L",IF($AO$35="Flat Surface",0,BT127),0)</f>
        <v>0</v>
      </c>
      <c r="BU187" s="413"/>
      <c r="BV187" s="414"/>
      <c r="BW187" s="412">
        <f>IF(MID($G$127,8,1)="L",IF($AO$35="Flat Surface",0,BW127),0)</f>
        <v>0</v>
      </c>
      <c r="BX187" s="413"/>
      <c r="BY187" s="414"/>
      <c r="BZ187" s="412">
        <f>IF(MID($G$127,8,1)="L",IF($AO$35="Flat Surface",0,BZ127),0)</f>
        <v>0</v>
      </c>
      <c r="CA187" s="413"/>
      <c r="CB187" s="414"/>
      <c r="CC187" s="412">
        <f>IF(MID($G$127,8,1)="L",IF($AO$35="Flat Surface",0,CC127),0)</f>
        <v>0</v>
      </c>
      <c r="CD187" s="413"/>
      <c r="CE187" s="414"/>
      <c r="CF187" s="412">
        <f>IF(MID($G$127,8,1)="L",IF($AO$35="Flat Surface",0,CF127),0)</f>
        <v>0</v>
      </c>
      <c r="CG187" s="413"/>
      <c r="CH187" s="414"/>
      <c r="CI187" s="412">
        <f>IF(MID($G$127,8,1)="L",IF($AO$35="Flat Surface",0,CI127),0)</f>
        <v>0</v>
      </c>
      <c r="CJ187" s="413"/>
      <c r="CK187" s="414"/>
      <c r="CL187" s="412">
        <f>IF(MID($G$127,8,1)="L",IF($AO$35="Flat Surface",0,CL127),0)</f>
        <v>0</v>
      </c>
      <c r="CM187" s="413"/>
      <c r="CN187" s="414"/>
      <c r="CO187" s="412">
        <f>IF(MID($G$127,8,1)="L",IF($AO$35="Flat Surface",0,CO127),0)</f>
        <v>0</v>
      </c>
      <c r="CP187" s="413"/>
      <c r="CQ187" s="414"/>
      <c r="CR187" s="412">
        <f>IF(MID($G$127,8,1)="L",IF($AO$35="Flat Surface",0,CR127),0)</f>
        <v>0</v>
      </c>
      <c r="CS187" s="413"/>
      <c r="CT187" s="414"/>
      <c r="CU187" s="412">
        <f>IF(MID($G$127,8,1)="L",IF($AO$35="Flat Surface",0,CU127),0)</f>
        <v>0</v>
      </c>
      <c r="CV187" s="413"/>
      <c r="CW187" s="414"/>
      <c r="CX187" s="412">
        <f>IF(MID($G$127,8,1)="L",IF($AO$35="Flat Surface",0,CX127),0)</f>
        <v>0</v>
      </c>
      <c r="CY187" s="413"/>
      <c r="CZ187" s="414"/>
      <c r="DA187" s="412">
        <f>IF(MID($G$127,8,1)="L",IF($AO$35="Flat Surface",0,DA127),0)</f>
        <v>0</v>
      </c>
      <c r="DB187" s="413"/>
      <c r="DC187" s="414"/>
      <c r="DD187" s="412">
        <f>IF(MID($G$127,8,1)="L",IF($AO$35="Flat Surface",0,DD127),0)</f>
        <v>0</v>
      </c>
      <c r="DE187" s="413"/>
      <c r="DF187" s="414"/>
      <c r="DH187" s="311"/>
      <c r="DI187" s="311"/>
      <c r="DJ187" s="311"/>
      <c r="DK187" s="311"/>
      <c r="DL187" s="321"/>
      <c r="DM187" s="321"/>
      <c r="DN187" s="321"/>
      <c r="DO187" s="321"/>
      <c r="DP187" s="321"/>
      <c r="DQ187" s="321"/>
      <c r="DR187" s="321"/>
      <c r="DS187" s="321"/>
    </row>
    <row r="188" spans="1:123" ht="7.4" customHeight="1" x14ac:dyDescent="0.5">
      <c r="A188" s="42"/>
      <c r="B188" s="42"/>
      <c r="C188" s="311"/>
      <c r="D188" s="311"/>
      <c r="E188" s="41"/>
      <c r="F188" s="42"/>
      <c r="G188" s="319"/>
      <c r="H188" s="319"/>
      <c r="I188" s="319"/>
      <c r="J188" s="319"/>
      <c r="K188" s="319"/>
      <c r="L188" s="319"/>
      <c r="M188" s="319"/>
      <c r="N188" s="319"/>
      <c r="O188" s="319"/>
      <c r="P188" s="319"/>
      <c r="Q188" s="319"/>
      <c r="R188" s="320"/>
      <c r="S188" s="42"/>
      <c r="T188" s="405"/>
      <c r="U188" s="405"/>
      <c r="V188" s="405"/>
      <c r="W188" s="405"/>
      <c r="X188" s="405"/>
      <c r="Y188" s="405"/>
      <c r="Z188" s="405"/>
      <c r="AA188" s="405"/>
      <c r="AB188" s="405"/>
      <c r="AC188" s="405"/>
      <c r="AD188" s="405"/>
      <c r="AE188" s="405"/>
      <c r="AF188" s="405"/>
      <c r="AG188" s="405"/>
      <c r="AH188" s="405"/>
      <c r="AI188" s="405"/>
      <c r="AJ188" s="411"/>
      <c r="AK188" s="42"/>
      <c r="AL188" s="311"/>
      <c r="AM188" s="311"/>
      <c r="AN188" s="311"/>
      <c r="AO188" s="311"/>
      <c r="AP188" s="43"/>
      <c r="AQ188" s="111"/>
      <c r="AR188" s="309"/>
      <c r="AS188" s="309"/>
      <c r="AT188" s="309"/>
      <c r="AU188" s="309"/>
      <c r="AV188" s="309"/>
      <c r="AW188" s="309"/>
      <c r="AX188" s="309"/>
      <c r="AY188" s="309"/>
      <c r="AZ188" s="309"/>
      <c r="BA188" s="309"/>
      <c r="BB188" s="309"/>
      <c r="BC188" s="309"/>
      <c r="BD188" s="309"/>
      <c r="BE188" s="309"/>
      <c r="BF188" s="309"/>
      <c r="BG188" s="309"/>
      <c r="BH188" s="124"/>
      <c r="BI188" s="41"/>
      <c r="BK188" s="412"/>
      <c r="BL188" s="413"/>
      <c r="BM188" s="414"/>
      <c r="BN188" s="412"/>
      <c r="BO188" s="413"/>
      <c r="BP188" s="414"/>
      <c r="BQ188" s="412"/>
      <c r="BR188" s="413"/>
      <c r="BS188" s="414"/>
      <c r="BT188" s="412"/>
      <c r="BU188" s="413"/>
      <c r="BV188" s="414"/>
      <c r="BW188" s="412"/>
      <c r="BX188" s="413"/>
      <c r="BY188" s="414"/>
      <c r="BZ188" s="412"/>
      <c r="CA188" s="413"/>
      <c r="CB188" s="414"/>
      <c r="CC188" s="412"/>
      <c r="CD188" s="413"/>
      <c r="CE188" s="414"/>
      <c r="CF188" s="412"/>
      <c r="CG188" s="413"/>
      <c r="CH188" s="414"/>
      <c r="CI188" s="412"/>
      <c r="CJ188" s="413"/>
      <c r="CK188" s="414"/>
      <c r="CL188" s="412"/>
      <c r="CM188" s="413"/>
      <c r="CN188" s="414"/>
      <c r="CO188" s="412"/>
      <c r="CP188" s="413"/>
      <c r="CQ188" s="414"/>
      <c r="CR188" s="412"/>
      <c r="CS188" s="413"/>
      <c r="CT188" s="414"/>
      <c r="CU188" s="412"/>
      <c r="CV188" s="413"/>
      <c r="CW188" s="414"/>
      <c r="CX188" s="412"/>
      <c r="CY188" s="413"/>
      <c r="CZ188" s="414"/>
      <c r="DA188" s="412"/>
      <c r="DB188" s="413"/>
      <c r="DC188" s="414"/>
      <c r="DD188" s="412"/>
      <c r="DE188" s="413"/>
      <c r="DF188" s="414"/>
      <c r="DH188" s="311"/>
      <c r="DI188" s="311"/>
      <c r="DJ188" s="311"/>
      <c r="DK188" s="311"/>
      <c r="DL188" s="321"/>
      <c r="DM188" s="321"/>
      <c r="DN188" s="321"/>
      <c r="DO188" s="321"/>
      <c r="DP188" s="321"/>
      <c r="DQ188" s="321"/>
      <c r="DR188" s="321"/>
      <c r="DS188" s="321"/>
    </row>
    <row r="189" spans="1:123" ht="7.4" customHeight="1" x14ac:dyDescent="0.5">
      <c r="A189" s="42"/>
      <c r="B189" s="42"/>
      <c r="C189" s="55"/>
      <c r="D189" s="55"/>
      <c r="E189" s="41"/>
      <c r="F189" s="42"/>
      <c r="G189" s="56"/>
      <c r="H189" s="56"/>
      <c r="I189" s="56"/>
      <c r="J189" s="56"/>
      <c r="K189" s="56"/>
      <c r="L189" s="56"/>
      <c r="M189" s="56"/>
      <c r="N189" s="56"/>
      <c r="O189" s="56"/>
      <c r="P189" s="56"/>
      <c r="Q189" s="56"/>
      <c r="R189" s="126"/>
      <c r="S189" s="42"/>
      <c r="T189" s="116" t="str">
        <f>VLOOKUP(G187,PL!$B$9:$BH$1265,33,FALSE)</f>
        <v>.</v>
      </c>
      <c r="AJ189" s="41"/>
      <c r="AK189" s="42"/>
      <c r="AL189" s="311"/>
      <c r="AM189" s="311"/>
      <c r="AN189" s="311"/>
      <c r="AO189" s="311"/>
      <c r="AP189" s="43"/>
      <c r="AQ189" s="229"/>
      <c r="AR189" s="46"/>
      <c r="AS189" s="46"/>
      <c r="AT189" s="46"/>
      <c r="AU189" s="46"/>
      <c r="AV189" s="46"/>
      <c r="AW189" s="46"/>
      <c r="AX189" s="105"/>
      <c r="AY189" s="79"/>
      <c r="AZ189" s="119"/>
      <c r="BA189" s="119"/>
      <c r="BB189" s="119"/>
      <c r="BC189" s="119"/>
      <c r="BD189" s="119"/>
      <c r="BE189" s="119"/>
      <c r="BF189" s="119"/>
      <c r="BG189" s="119"/>
      <c r="BH189" s="124"/>
      <c r="BI189" s="41"/>
      <c r="BK189" s="194"/>
      <c r="BL189" s="123"/>
      <c r="BM189" s="195"/>
      <c r="BN189" s="194"/>
      <c r="BO189" s="123"/>
      <c r="BP189" s="195"/>
      <c r="BQ189" s="194"/>
      <c r="BR189" s="123"/>
      <c r="BS189" s="195"/>
      <c r="BT189" s="194"/>
      <c r="BU189" s="123"/>
      <c r="BV189" s="195"/>
      <c r="BW189" s="194"/>
      <c r="BX189" s="123"/>
      <c r="BY189" s="195"/>
      <c r="BZ189" s="194"/>
      <c r="CA189" s="123"/>
      <c r="CB189" s="195"/>
      <c r="CC189" s="194"/>
      <c r="CD189" s="123"/>
      <c r="CE189" s="195"/>
      <c r="CF189" s="194"/>
      <c r="CG189" s="123"/>
      <c r="CH189" s="195"/>
      <c r="CI189" s="194"/>
      <c r="CJ189" s="123"/>
      <c r="CK189" s="195"/>
      <c r="CL189" s="194"/>
      <c r="CM189" s="123"/>
      <c r="CN189" s="195"/>
      <c r="CO189" s="194"/>
      <c r="CP189" s="123"/>
      <c r="CQ189" s="195"/>
      <c r="CR189" s="194"/>
      <c r="CS189" s="123"/>
      <c r="CT189" s="195"/>
      <c r="CU189" s="194"/>
      <c r="CV189" s="123"/>
      <c r="CW189" s="195"/>
      <c r="CX189" s="194"/>
      <c r="CY189" s="123"/>
      <c r="CZ189" s="195"/>
      <c r="DA189" s="194"/>
      <c r="DB189" s="123"/>
      <c r="DC189" s="195"/>
      <c r="DD189" s="194"/>
      <c r="DE189" s="123"/>
      <c r="DF189" s="195"/>
      <c r="DH189" s="311"/>
      <c r="DI189" s="311"/>
      <c r="DJ189" s="311"/>
      <c r="DK189" s="311"/>
      <c r="DL189" s="321"/>
      <c r="DM189" s="321"/>
      <c r="DN189" s="321"/>
      <c r="DO189" s="321"/>
      <c r="DP189" s="321"/>
      <c r="DQ189" s="321"/>
      <c r="DR189" s="321"/>
      <c r="DS189" s="321"/>
    </row>
    <row r="190" spans="1:123" ht="7.4" customHeight="1" x14ac:dyDescent="0.5">
      <c r="A190" s="42"/>
      <c r="B190" s="42"/>
      <c r="C190" s="55"/>
      <c r="D190" s="55"/>
      <c r="E190" s="41"/>
      <c r="F190" s="42"/>
      <c r="G190" s="120"/>
      <c r="H190" s="56"/>
      <c r="I190" s="56"/>
      <c r="J190" s="56"/>
      <c r="K190" s="56"/>
      <c r="L190" s="56"/>
      <c r="M190" s="56"/>
      <c r="N190" s="56"/>
      <c r="O190" s="56"/>
      <c r="P190" s="56"/>
      <c r="Q190" s="56"/>
      <c r="R190" s="126"/>
      <c r="S190" s="42"/>
      <c r="AJ190" s="41"/>
      <c r="AK190" s="42"/>
      <c r="AL190" s="311"/>
      <c r="AM190" s="311"/>
      <c r="AN190" s="311"/>
      <c r="AO190" s="311"/>
      <c r="AP190" s="43"/>
      <c r="AQ190" s="42"/>
      <c r="AR190" s="119"/>
      <c r="AS190" s="119"/>
      <c r="AT190" s="119"/>
      <c r="AU190" s="119"/>
      <c r="AV190" s="119"/>
      <c r="AW190" s="119"/>
      <c r="AX190" s="105"/>
      <c r="AZ190" s="119"/>
      <c r="BA190" s="119"/>
      <c r="BB190" s="119"/>
      <c r="BC190" s="119"/>
      <c r="BD190" s="119"/>
      <c r="BE190" s="119"/>
      <c r="BF190" s="119"/>
      <c r="BG190" s="119"/>
      <c r="BH190" s="124"/>
      <c r="BI190" s="41"/>
      <c r="BK190" s="194"/>
      <c r="BL190" s="123"/>
      <c r="BM190" s="195"/>
      <c r="BN190" s="194"/>
      <c r="BO190" s="123"/>
      <c r="BP190" s="195"/>
      <c r="BQ190" s="194"/>
      <c r="BR190" s="123"/>
      <c r="BS190" s="195"/>
      <c r="BT190" s="194"/>
      <c r="BU190" s="123"/>
      <c r="BV190" s="195"/>
      <c r="BW190" s="194"/>
      <c r="BX190" s="123"/>
      <c r="BY190" s="195"/>
      <c r="BZ190" s="194"/>
      <c r="CA190" s="123"/>
      <c r="CB190" s="195"/>
      <c r="CC190" s="194"/>
      <c r="CD190" s="123"/>
      <c r="CE190" s="195"/>
      <c r="CF190" s="194"/>
      <c r="CG190" s="123"/>
      <c r="CH190" s="195"/>
      <c r="CI190" s="194"/>
      <c r="CJ190" s="123"/>
      <c r="CK190" s="195"/>
      <c r="CL190" s="194"/>
      <c r="CM190" s="123"/>
      <c r="CN190" s="195"/>
      <c r="CO190" s="194"/>
      <c r="CP190" s="123"/>
      <c r="CQ190" s="195"/>
      <c r="CR190" s="194"/>
      <c r="CS190" s="123"/>
      <c r="CT190" s="195"/>
      <c r="CU190" s="194"/>
      <c r="CV190" s="123"/>
      <c r="CW190" s="195"/>
      <c r="CX190" s="194"/>
      <c r="CY190" s="123"/>
      <c r="CZ190" s="195"/>
      <c r="DA190" s="194"/>
      <c r="DB190" s="123"/>
      <c r="DC190" s="195"/>
      <c r="DD190" s="194"/>
      <c r="DE190" s="123"/>
      <c r="DF190" s="195"/>
      <c r="DH190" s="311"/>
      <c r="DI190" s="311"/>
      <c r="DJ190" s="311"/>
      <c r="DK190" s="311"/>
      <c r="DL190" s="321"/>
      <c r="DM190" s="321"/>
      <c r="DN190" s="321"/>
      <c r="DO190" s="321"/>
      <c r="DP190" s="321"/>
      <c r="DQ190" s="321"/>
      <c r="DR190" s="321"/>
      <c r="DS190" s="321"/>
    </row>
    <row r="191" spans="1:123" ht="7.4" customHeight="1" x14ac:dyDescent="0.5">
      <c r="A191" s="42"/>
      <c r="B191" s="42"/>
      <c r="C191" s="311">
        <f>C187+1</f>
        <v>19</v>
      </c>
      <c r="D191" s="311"/>
      <c r="E191" s="41"/>
      <c r="F191" s="42"/>
      <c r="G191" s="319" t="str">
        <f>IF(AL191=0,"N/A","AXE_RW_G_TT")</f>
        <v>N/A</v>
      </c>
      <c r="H191" s="319"/>
      <c r="I191" s="319"/>
      <c r="J191" s="319"/>
      <c r="K191" s="319"/>
      <c r="L191" s="319"/>
      <c r="M191" s="319"/>
      <c r="N191" s="319"/>
      <c r="O191" s="319"/>
      <c r="P191" s="319"/>
      <c r="Q191" s="319"/>
      <c r="R191" s="320"/>
      <c r="S191" s="42"/>
      <c r="T191" s="316" t="str">
        <f>VLOOKUP(G191,PL!$B$9:$BH$1265,14,FALSE)</f>
        <v>No Item</v>
      </c>
      <c r="U191" s="316"/>
      <c r="V191" s="316"/>
      <c r="W191" s="316"/>
      <c r="X191" s="316"/>
      <c r="Y191" s="316"/>
      <c r="Z191" s="316"/>
      <c r="AA191" s="316"/>
      <c r="AB191" s="316"/>
      <c r="AC191" s="316"/>
      <c r="AD191" s="316"/>
      <c r="AE191" s="316"/>
      <c r="AF191" s="316"/>
      <c r="AG191" s="316"/>
      <c r="AH191" s="316"/>
      <c r="AI191" s="316"/>
      <c r="AJ191" s="317"/>
      <c r="AK191" s="42"/>
      <c r="AL191" s="311">
        <f>SUM(BK191:DF191)</f>
        <v>0</v>
      </c>
      <c r="AM191" s="311"/>
      <c r="AN191" s="311"/>
      <c r="AO191" s="311"/>
      <c r="AP191" s="43"/>
      <c r="AQ191" s="111"/>
      <c r="AR191" s="308" t="str">
        <f>VLOOKUP(G191,PL!$B$9:$BH$818,52,FALSE)</f>
        <v>-</v>
      </c>
      <c r="AS191" s="309"/>
      <c r="AT191" s="309"/>
      <c r="AU191" s="309"/>
      <c r="AV191" s="309"/>
      <c r="AW191" s="309"/>
      <c r="AX191" s="309"/>
      <c r="AY191" s="309"/>
      <c r="AZ191" s="309"/>
      <c r="BA191" s="309"/>
      <c r="BB191" s="309"/>
      <c r="BC191" s="309"/>
      <c r="BD191" s="309"/>
      <c r="BE191" s="309"/>
      <c r="BF191" s="309"/>
      <c r="BG191" s="309"/>
      <c r="BH191" s="124"/>
      <c r="BI191" s="124"/>
      <c r="BK191" s="412">
        <f>IF($N$74="Gripple",1,0)</f>
        <v>0</v>
      </c>
      <c r="BL191" s="413"/>
      <c r="BM191" s="414"/>
      <c r="BN191" s="412"/>
      <c r="BO191" s="413"/>
      <c r="BP191" s="414"/>
      <c r="BQ191" s="412"/>
      <c r="BR191" s="413"/>
      <c r="BS191" s="414"/>
      <c r="BT191" s="412"/>
      <c r="BU191" s="413"/>
      <c r="BV191" s="414"/>
      <c r="BW191" s="412"/>
      <c r="BX191" s="413"/>
      <c r="BY191" s="414"/>
      <c r="BZ191" s="412"/>
      <c r="CA191" s="413"/>
      <c r="CB191" s="414"/>
      <c r="CC191" s="412"/>
      <c r="CD191" s="413"/>
      <c r="CE191" s="414"/>
      <c r="CF191" s="412"/>
      <c r="CG191" s="413"/>
      <c r="CH191" s="414"/>
      <c r="CI191" s="412"/>
      <c r="CJ191" s="413"/>
      <c r="CK191" s="414"/>
      <c r="CL191" s="412"/>
      <c r="CM191" s="413"/>
      <c r="CN191" s="414"/>
      <c r="CO191" s="412"/>
      <c r="CP191" s="413"/>
      <c r="CQ191" s="414"/>
      <c r="CR191" s="412"/>
      <c r="CS191" s="413"/>
      <c r="CT191" s="414"/>
      <c r="CU191" s="412"/>
      <c r="CV191" s="413"/>
      <c r="CW191" s="414"/>
      <c r="CX191" s="412"/>
      <c r="CY191" s="413"/>
      <c r="CZ191" s="414"/>
      <c r="DA191" s="412"/>
      <c r="DB191" s="413"/>
      <c r="DC191" s="414"/>
      <c r="DD191" s="412"/>
      <c r="DE191" s="413"/>
      <c r="DF191" s="414"/>
      <c r="DH191" s="311"/>
      <c r="DI191" s="311"/>
      <c r="DJ191" s="311"/>
      <c r="DK191" s="311"/>
      <c r="DL191" s="321"/>
      <c r="DM191" s="321"/>
      <c r="DN191" s="321"/>
      <c r="DO191" s="321"/>
      <c r="DP191" s="321"/>
      <c r="DQ191" s="321"/>
      <c r="DR191" s="321"/>
      <c r="DS191" s="321"/>
    </row>
    <row r="192" spans="1:123" ht="7.4" customHeight="1" x14ac:dyDescent="0.5">
      <c r="A192" s="42"/>
      <c r="B192" s="42"/>
      <c r="C192" s="311"/>
      <c r="D192" s="311"/>
      <c r="E192" s="41"/>
      <c r="F192" s="42"/>
      <c r="G192" s="319"/>
      <c r="H192" s="319"/>
      <c r="I192" s="319"/>
      <c r="J192" s="319"/>
      <c r="K192" s="319"/>
      <c r="L192" s="319"/>
      <c r="M192" s="319"/>
      <c r="N192" s="319"/>
      <c r="O192" s="319"/>
      <c r="P192" s="319"/>
      <c r="Q192" s="319"/>
      <c r="R192" s="320"/>
      <c r="S192" s="42"/>
      <c r="T192" s="316"/>
      <c r="U192" s="316"/>
      <c r="V192" s="316"/>
      <c r="W192" s="316"/>
      <c r="X192" s="316"/>
      <c r="Y192" s="316"/>
      <c r="Z192" s="316"/>
      <c r="AA192" s="316"/>
      <c r="AB192" s="316"/>
      <c r="AC192" s="316"/>
      <c r="AD192" s="316"/>
      <c r="AE192" s="316"/>
      <c r="AF192" s="316"/>
      <c r="AG192" s="316"/>
      <c r="AH192" s="316"/>
      <c r="AI192" s="316"/>
      <c r="AJ192" s="317"/>
      <c r="AK192" s="42"/>
      <c r="AL192" s="311"/>
      <c r="AM192" s="311"/>
      <c r="AN192" s="311"/>
      <c r="AO192" s="311"/>
      <c r="AP192" s="43"/>
      <c r="AQ192" s="111"/>
      <c r="AR192" s="309"/>
      <c r="AS192" s="309"/>
      <c r="AT192" s="309"/>
      <c r="AU192" s="309"/>
      <c r="AV192" s="309"/>
      <c r="AW192" s="309"/>
      <c r="AX192" s="309"/>
      <c r="AY192" s="309"/>
      <c r="AZ192" s="309"/>
      <c r="BA192" s="309"/>
      <c r="BB192" s="309"/>
      <c r="BC192" s="309"/>
      <c r="BD192" s="309"/>
      <c r="BE192" s="309"/>
      <c r="BF192" s="309"/>
      <c r="BG192" s="309"/>
      <c r="BH192" s="124"/>
      <c r="BI192" s="124"/>
      <c r="BK192" s="412"/>
      <c r="BL192" s="413"/>
      <c r="BM192" s="414"/>
      <c r="BN192" s="412"/>
      <c r="BO192" s="413"/>
      <c r="BP192" s="414"/>
      <c r="BQ192" s="412"/>
      <c r="BR192" s="413"/>
      <c r="BS192" s="414"/>
      <c r="BT192" s="412"/>
      <c r="BU192" s="413"/>
      <c r="BV192" s="414"/>
      <c r="BW192" s="412"/>
      <c r="BX192" s="413"/>
      <c r="BY192" s="414"/>
      <c r="BZ192" s="412"/>
      <c r="CA192" s="413"/>
      <c r="CB192" s="414"/>
      <c r="CC192" s="412"/>
      <c r="CD192" s="413"/>
      <c r="CE192" s="414"/>
      <c r="CF192" s="412"/>
      <c r="CG192" s="413"/>
      <c r="CH192" s="414"/>
      <c r="CI192" s="412"/>
      <c r="CJ192" s="413"/>
      <c r="CK192" s="414"/>
      <c r="CL192" s="412"/>
      <c r="CM192" s="413"/>
      <c r="CN192" s="414"/>
      <c r="CO192" s="412"/>
      <c r="CP192" s="413"/>
      <c r="CQ192" s="414"/>
      <c r="CR192" s="412"/>
      <c r="CS192" s="413"/>
      <c r="CT192" s="414"/>
      <c r="CU192" s="412"/>
      <c r="CV192" s="413"/>
      <c r="CW192" s="414"/>
      <c r="CX192" s="412"/>
      <c r="CY192" s="413"/>
      <c r="CZ192" s="414"/>
      <c r="DA192" s="412"/>
      <c r="DB192" s="413"/>
      <c r="DC192" s="414"/>
      <c r="DD192" s="412"/>
      <c r="DE192" s="413"/>
      <c r="DF192" s="414"/>
      <c r="DH192" s="311"/>
      <c r="DI192" s="311"/>
      <c r="DJ192" s="311"/>
      <c r="DK192" s="311"/>
      <c r="DL192" s="321"/>
      <c r="DM192" s="321"/>
      <c r="DN192" s="321"/>
      <c r="DO192" s="321"/>
      <c r="DP192" s="321"/>
      <c r="DQ192" s="321"/>
      <c r="DR192" s="321"/>
      <c r="DS192" s="321"/>
    </row>
    <row r="193" spans="1:124" ht="7.4" customHeight="1" x14ac:dyDescent="0.5">
      <c r="A193" s="42"/>
      <c r="B193" s="42"/>
      <c r="C193" s="55"/>
      <c r="D193" s="55"/>
      <c r="E193" s="41"/>
      <c r="F193" s="42"/>
      <c r="G193" s="120"/>
      <c r="H193" s="56"/>
      <c r="I193" s="56"/>
      <c r="J193" s="56"/>
      <c r="K193" s="56"/>
      <c r="L193" s="56"/>
      <c r="M193" s="56"/>
      <c r="N193" s="56"/>
      <c r="O193" s="56"/>
      <c r="P193" s="56"/>
      <c r="Q193" s="56"/>
      <c r="R193" s="126"/>
      <c r="S193" s="42"/>
      <c r="T193" s="116" t="str">
        <f>VLOOKUP(G191,PL!$B$9:$BH$1265,33,FALSE)</f>
        <v>.</v>
      </c>
      <c r="AJ193" s="41"/>
      <c r="AK193" s="42"/>
      <c r="AL193" s="311"/>
      <c r="AM193" s="311"/>
      <c r="AN193" s="311"/>
      <c r="AO193" s="311"/>
      <c r="AP193" s="43"/>
      <c r="AQ193" s="42"/>
      <c r="AR193" s="119"/>
      <c r="AS193" s="119"/>
      <c r="AT193" s="119"/>
      <c r="AU193" s="119"/>
      <c r="AV193" s="119"/>
      <c r="AW193" s="119"/>
      <c r="AX193" s="105"/>
      <c r="AZ193" s="119"/>
      <c r="BA193" s="119"/>
      <c r="BB193" s="119"/>
      <c r="BC193" s="119"/>
      <c r="BD193" s="119"/>
      <c r="BE193" s="119"/>
      <c r="BF193" s="119"/>
      <c r="BG193" s="119"/>
      <c r="BH193" s="124"/>
      <c r="BI193" s="124"/>
      <c r="BK193" s="194"/>
      <c r="BL193" s="123"/>
      <c r="BM193" s="195"/>
      <c r="BN193" s="194"/>
      <c r="BO193" s="123"/>
      <c r="BP193" s="195"/>
      <c r="BQ193" s="194"/>
      <c r="BR193" s="123"/>
      <c r="BS193" s="195"/>
      <c r="BT193" s="194"/>
      <c r="BU193" s="123"/>
      <c r="BV193" s="195"/>
      <c r="BW193" s="194"/>
      <c r="BX193" s="123"/>
      <c r="BY193" s="195"/>
      <c r="BZ193" s="194"/>
      <c r="CA193" s="123"/>
      <c r="CB193" s="195"/>
      <c r="CC193" s="194"/>
      <c r="CD193" s="123"/>
      <c r="CE193" s="195"/>
      <c r="CF193" s="194"/>
      <c r="CG193" s="123"/>
      <c r="CH193" s="195"/>
      <c r="CI193" s="194"/>
      <c r="CJ193" s="123"/>
      <c r="CK193" s="195"/>
      <c r="CL193" s="194"/>
      <c r="CM193" s="123"/>
      <c r="CN193" s="195"/>
      <c r="CO193" s="194"/>
      <c r="CP193" s="123"/>
      <c r="CQ193" s="195"/>
      <c r="CR193" s="194"/>
      <c r="CS193" s="123"/>
      <c r="CT193" s="195"/>
      <c r="CU193" s="194"/>
      <c r="CV193" s="123"/>
      <c r="CW193" s="195"/>
      <c r="CX193" s="194"/>
      <c r="CY193" s="123"/>
      <c r="CZ193" s="195"/>
      <c r="DA193" s="194"/>
      <c r="DB193" s="123"/>
      <c r="DC193" s="195"/>
      <c r="DD193" s="194"/>
      <c r="DE193" s="123"/>
      <c r="DF193" s="195"/>
      <c r="DH193" s="311"/>
      <c r="DI193" s="311"/>
      <c r="DJ193" s="311"/>
      <c r="DK193" s="311"/>
      <c r="DL193" s="321"/>
      <c r="DM193" s="321"/>
      <c r="DN193" s="321"/>
      <c r="DO193" s="321"/>
      <c r="DP193" s="321"/>
      <c r="DQ193" s="321"/>
      <c r="DR193" s="321"/>
      <c r="DS193" s="321"/>
    </row>
    <row r="194" spans="1:124" ht="7.4" customHeight="1" x14ac:dyDescent="0.5">
      <c r="A194" s="42"/>
      <c r="B194" s="42"/>
      <c r="C194" s="55"/>
      <c r="D194" s="55"/>
      <c r="E194" s="41"/>
      <c r="F194" s="42"/>
      <c r="G194" s="56"/>
      <c r="H194" s="56"/>
      <c r="I194" s="56"/>
      <c r="J194" s="56"/>
      <c r="K194" s="56"/>
      <c r="L194" s="56"/>
      <c r="M194" s="56"/>
      <c r="N194" s="56"/>
      <c r="O194" s="56"/>
      <c r="P194" s="56"/>
      <c r="Q194" s="56"/>
      <c r="R194" s="126"/>
      <c r="S194" s="42"/>
      <c r="AJ194" s="41"/>
      <c r="AK194" s="42"/>
      <c r="AL194" s="311"/>
      <c r="AM194" s="311"/>
      <c r="AN194" s="311"/>
      <c r="AO194" s="311"/>
      <c r="AP194" s="43"/>
      <c r="AQ194" s="229"/>
      <c r="AR194" s="46"/>
      <c r="AS194" s="46"/>
      <c r="AT194" s="46"/>
      <c r="AU194" s="46"/>
      <c r="AV194" s="46"/>
      <c r="AW194" s="46"/>
      <c r="AX194" s="105"/>
      <c r="AY194" s="79"/>
      <c r="AZ194" s="119"/>
      <c r="BA194" s="119"/>
      <c r="BB194" s="119"/>
      <c r="BC194" s="119"/>
      <c r="BD194" s="119"/>
      <c r="BE194" s="119"/>
      <c r="BF194" s="119"/>
      <c r="BG194" s="119"/>
      <c r="BH194" s="124"/>
      <c r="BI194" s="41"/>
      <c r="BK194" s="194"/>
      <c r="BL194" s="123"/>
      <c r="BM194" s="195"/>
      <c r="BN194" s="194"/>
      <c r="BO194" s="123"/>
      <c r="BP194" s="195"/>
      <c r="BQ194" s="194"/>
      <c r="BR194" s="123"/>
      <c r="BS194" s="195"/>
      <c r="BT194" s="194"/>
      <c r="BU194" s="123"/>
      <c r="BV194" s="195"/>
      <c r="BW194" s="194"/>
      <c r="BX194" s="123"/>
      <c r="BY194" s="195"/>
      <c r="BZ194" s="194"/>
      <c r="CA194" s="123"/>
      <c r="CB194" s="195"/>
      <c r="CC194" s="194"/>
      <c r="CD194" s="123"/>
      <c r="CE194" s="195"/>
      <c r="CF194" s="194"/>
      <c r="CG194" s="123"/>
      <c r="CH194" s="195"/>
      <c r="CI194" s="194"/>
      <c r="CJ194" s="123"/>
      <c r="CK194" s="195"/>
      <c r="CL194" s="194"/>
      <c r="CM194" s="123"/>
      <c r="CN194" s="195"/>
      <c r="CO194" s="194"/>
      <c r="CP194" s="123"/>
      <c r="CQ194" s="195"/>
      <c r="CR194" s="194"/>
      <c r="CS194" s="123"/>
      <c r="CT194" s="195"/>
      <c r="CU194" s="194"/>
      <c r="CV194" s="123"/>
      <c r="CW194" s="195"/>
      <c r="CX194" s="194"/>
      <c r="CY194" s="123"/>
      <c r="CZ194" s="195"/>
      <c r="DA194" s="194"/>
      <c r="DB194" s="123"/>
      <c r="DC194" s="195"/>
      <c r="DD194" s="194"/>
      <c r="DE194" s="123"/>
      <c r="DF194" s="195"/>
      <c r="DH194" s="311"/>
      <c r="DI194" s="311"/>
      <c r="DJ194" s="311"/>
      <c r="DK194" s="311"/>
      <c r="DL194" s="321"/>
      <c r="DM194" s="321"/>
      <c r="DN194" s="321"/>
      <c r="DO194" s="321"/>
      <c r="DP194" s="321"/>
      <c r="DQ194" s="321"/>
      <c r="DR194" s="321"/>
      <c r="DS194" s="321"/>
    </row>
    <row r="195" spans="1:124" ht="7.4" customHeight="1" x14ac:dyDescent="0.5">
      <c r="A195" s="42"/>
      <c r="B195" s="42"/>
      <c r="C195" s="311">
        <f>C191+1</f>
        <v>20</v>
      </c>
      <c r="D195" s="311"/>
      <c r="E195" s="41"/>
      <c r="F195" s="42"/>
      <c r="G195" s="322" t="str">
        <f>IF(AL195=0,"N/A","Anti_Seize_S")</f>
        <v>N/A</v>
      </c>
      <c r="H195" s="322"/>
      <c r="I195" s="322"/>
      <c r="J195" s="322"/>
      <c r="K195" s="322"/>
      <c r="L195" s="322"/>
      <c r="M195" s="322"/>
      <c r="N195" s="322"/>
      <c r="O195" s="322"/>
      <c r="P195" s="322"/>
      <c r="Q195" s="322"/>
      <c r="R195" s="323"/>
      <c r="S195" s="42"/>
      <c r="T195" s="316" t="str">
        <f>VLOOKUP(G195,PL!$B$9:$BH$1265,14,FALSE)</f>
        <v>No Item</v>
      </c>
      <c r="U195" s="316"/>
      <c r="V195" s="316"/>
      <c r="W195" s="316"/>
      <c r="X195" s="316"/>
      <c r="Y195" s="316"/>
      <c r="Z195" s="316"/>
      <c r="AA195" s="316"/>
      <c r="AB195" s="316"/>
      <c r="AC195" s="316"/>
      <c r="AD195" s="316"/>
      <c r="AE195" s="316"/>
      <c r="AF195" s="316"/>
      <c r="AG195" s="316"/>
      <c r="AH195" s="316"/>
      <c r="AI195" s="316"/>
      <c r="AJ195" s="317"/>
      <c r="AK195" s="42"/>
      <c r="AL195" s="311">
        <f>SUM(BK195:DF195)</f>
        <v>0</v>
      </c>
      <c r="AM195" s="311"/>
      <c r="AN195" s="311"/>
      <c r="AO195" s="311"/>
      <c r="AP195" s="43"/>
      <c r="AQ195" s="111"/>
      <c r="AR195" s="308" t="str">
        <f>VLOOKUP(G195,PL!$B$9:$BH$818,52,FALSE)</f>
        <v>-</v>
      </c>
      <c r="AS195" s="309"/>
      <c r="AT195" s="309"/>
      <c r="AU195" s="309"/>
      <c r="AV195" s="309"/>
      <c r="AW195" s="309"/>
      <c r="AX195" s="309"/>
      <c r="AY195" s="309"/>
      <c r="AZ195" s="309"/>
      <c r="BA195" s="309"/>
      <c r="BB195" s="309"/>
      <c r="BC195" s="309"/>
      <c r="BD195" s="309"/>
      <c r="BE195" s="309"/>
      <c r="BF195" s="309"/>
      <c r="BG195" s="309"/>
      <c r="BH195" s="124"/>
      <c r="BI195" s="41"/>
      <c r="BK195" s="412">
        <f>IF($N$70="Not Included",ROUNDUP(SUM(BK123:DF123)/1000,0),0)</f>
        <v>0</v>
      </c>
      <c r="BL195" s="413"/>
      <c r="BM195" s="414"/>
      <c r="BN195" s="194"/>
      <c r="BO195" s="123"/>
      <c r="BP195" s="195"/>
      <c r="BQ195" s="194"/>
      <c r="BR195" s="123"/>
      <c r="BS195" s="195"/>
      <c r="BT195" s="194"/>
      <c r="BU195" s="123"/>
      <c r="BV195" s="195"/>
      <c r="BW195" s="194"/>
      <c r="BX195" s="123"/>
      <c r="BY195" s="195"/>
      <c r="BZ195" s="194"/>
      <c r="CA195" s="123"/>
      <c r="CB195" s="195"/>
      <c r="CC195" s="194"/>
      <c r="CD195" s="123"/>
      <c r="CE195" s="195"/>
      <c r="CF195" s="194"/>
      <c r="CG195" s="123"/>
      <c r="CH195" s="195"/>
      <c r="CI195" s="194"/>
      <c r="CJ195" s="123"/>
      <c r="CK195" s="195"/>
      <c r="CL195" s="194"/>
      <c r="CM195" s="123"/>
      <c r="CN195" s="195"/>
      <c r="CO195" s="194"/>
      <c r="CP195" s="123"/>
      <c r="CQ195" s="195"/>
      <c r="CR195" s="194"/>
      <c r="CS195" s="123"/>
      <c r="CT195" s="195"/>
      <c r="CU195" s="194"/>
      <c r="CV195" s="123"/>
      <c r="CW195" s="195"/>
      <c r="CX195" s="194"/>
      <c r="CY195" s="123"/>
      <c r="CZ195" s="195"/>
      <c r="DA195" s="194"/>
      <c r="DB195" s="123"/>
      <c r="DC195" s="195"/>
      <c r="DD195" s="194"/>
      <c r="DE195" s="123"/>
      <c r="DF195" s="195"/>
      <c r="DL195" s="105"/>
      <c r="DM195" s="105"/>
      <c r="DN195" s="105"/>
      <c r="DO195" s="105"/>
      <c r="DP195" s="105"/>
      <c r="DQ195" s="105"/>
      <c r="DR195" s="105"/>
      <c r="DS195" s="105"/>
    </row>
    <row r="196" spans="1:124" ht="7.4" customHeight="1" x14ac:dyDescent="0.5">
      <c r="A196" s="42"/>
      <c r="B196" s="42"/>
      <c r="C196" s="311"/>
      <c r="D196" s="311"/>
      <c r="E196" s="41"/>
      <c r="F196" s="42"/>
      <c r="G196" s="322"/>
      <c r="H196" s="322"/>
      <c r="I196" s="322"/>
      <c r="J196" s="322"/>
      <c r="K196" s="322"/>
      <c r="L196" s="322"/>
      <c r="M196" s="322"/>
      <c r="N196" s="322"/>
      <c r="O196" s="322"/>
      <c r="P196" s="322"/>
      <c r="Q196" s="322"/>
      <c r="R196" s="323"/>
      <c r="S196" s="42"/>
      <c r="T196" s="316"/>
      <c r="U196" s="316"/>
      <c r="V196" s="316"/>
      <c r="W196" s="316"/>
      <c r="X196" s="316"/>
      <c r="Y196" s="316"/>
      <c r="Z196" s="316"/>
      <c r="AA196" s="316"/>
      <c r="AB196" s="316"/>
      <c r="AC196" s="316"/>
      <c r="AD196" s="316"/>
      <c r="AE196" s="316"/>
      <c r="AF196" s="316"/>
      <c r="AG196" s="316"/>
      <c r="AH196" s="316"/>
      <c r="AI196" s="316"/>
      <c r="AJ196" s="317"/>
      <c r="AK196" s="42"/>
      <c r="AL196" s="311"/>
      <c r="AM196" s="311"/>
      <c r="AN196" s="311"/>
      <c r="AO196" s="311"/>
      <c r="AP196" s="43"/>
      <c r="AQ196" s="111"/>
      <c r="AR196" s="309"/>
      <c r="AS196" s="309"/>
      <c r="AT196" s="309"/>
      <c r="AU196" s="309"/>
      <c r="AV196" s="309"/>
      <c r="AW196" s="309"/>
      <c r="AX196" s="309"/>
      <c r="AY196" s="309"/>
      <c r="AZ196" s="309"/>
      <c r="BA196" s="309"/>
      <c r="BB196" s="309"/>
      <c r="BC196" s="309"/>
      <c r="BD196" s="309"/>
      <c r="BE196" s="309"/>
      <c r="BF196" s="309"/>
      <c r="BG196" s="309"/>
      <c r="BH196" s="124"/>
      <c r="BI196" s="41"/>
      <c r="BK196" s="412"/>
      <c r="BL196" s="413"/>
      <c r="BM196" s="414"/>
      <c r="BN196" s="194"/>
      <c r="BO196" s="123"/>
      <c r="BP196" s="195"/>
      <c r="BQ196" s="194"/>
      <c r="BR196" s="123"/>
      <c r="BS196" s="195"/>
      <c r="BT196" s="194"/>
      <c r="BU196" s="123"/>
      <c r="BV196" s="195"/>
      <c r="BW196" s="194"/>
      <c r="BX196" s="123"/>
      <c r="BY196" s="195"/>
      <c r="BZ196" s="194"/>
      <c r="CA196" s="123"/>
      <c r="CB196" s="195"/>
      <c r="CC196" s="194"/>
      <c r="CD196" s="123"/>
      <c r="CE196" s="195"/>
      <c r="CF196" s="194"/>
      <c r="CG196" s="123"/>
      <c r="CH196" s="195"/>
      <c r="CI196" s="194"/>
      <c r="CJ196" s="123"/>
      <c r="CK196" s="195"/>
      <c r="CL196" s="194"/>
      <c r="CM196" s="123"/>
      <c r="CN196" s="195"/>
      <c r="CO196" s="194"/>
      <c r="CP196" s="123"/>
      <c r="CQ196" s="195"/>
      <c r="CR196" s="194"/>
      <c r="CS196" s="123"/>
      <c r="CT196" s="195"/>
      <c r="CU196" s="194"/>
      <c r="CV196" s="123"/>
      <c r="CW196" s="195"/>
      <c r="CX196" s="194"/>
      <c r="CY196" s="123"/>
      <c r="CZ196" s="195"/>
      <c r="DA196" s="194"/>
      <c r="DB196" s="123"/>
      <c r="DC196" s="195"/>
      <c r="DD196" s="194"/>
      <c r="DE196" s="123"/>
      <c r="DF196" s="195"/>
      <c r="DL196" s="105"/>
      <c r="DM196" s="105"/>
      <c r="DN196" s="105"/>
      <c r="DO196" s="105"/>
      <c r="DP196" s="105"/>
      <c r="DQ196" s="105"/>
      <c r="DR196" s="105"/>
      <c r="DS196" s="105"/>
    </row>
    <row r="197" spans="1:124" ht="7.4" customHeight="1" x14ac:dyDescent="0.5">
      <c r="A197" s="42"/>
      <c r="B197" s="42"/>
      <c r="C197" s="75"/>
      <c r="D197" s="75"/>
      <c r="E197" s="41"/>
      <c r="F197" s="42"/>
      <c r="G197" s="56"/>
      <c r="H197" s="56"/>
      <c r="I197" s="56"/>
      <c r="J197" s="56"/>
      <c r="K197" s="56"/>
      <c r="L197" s="56"/>
      <c r="M197" s="56"/>
      <c r="N197" s="56"/>
      <c r="O197" s="56"/>
      <c r="P197" s="56"/>
      <c r="Q197" s="56"/>
      <c r="R197" s="126"/>
      <c r="S197" s="42"/>
      <c r="T197" s="116" t="str">
        <f>VLOOKUP(G195,PL!$B$9:$BH$1265,33,FALSE)</f>
        <v>.</v>
      </c>
      <c r="U197" s="49"/>
      <c r="V197" s="49"/>
      <c r="W197" s="49"/>
      <c r="X197" s="49"/>
      <c r="Y197" s="49"/>
      <c r="Z197" s="49"/>
      <c r="AA197" s="49"/>
      <c r="AB197" s="49"/>
      <c r="AC197" s="49"/>
      <c r="AD197" s="49"/>
      <c r="AE197" s="49"/>
      <c r="AF197" s="49"/>
      <c r="AG197" s="49"/>
      <c r="AH197" s="49"/>
      <c r="AI197" s="49"/>
      <c r="AJ197" s="110"/>
      <c r="AK197" s="42"/>
      <c r="AL197" s="127"/>
      <c r="AM197" s="127"/>
      <c r="AN197" s="127"/>
      <c r="AO197" s="127"/>
      <c r="AP197" s="43"/>
      <c r="AQ197" s="111"/>
      <c r="AR197" s="112"/>
      <c r="AS197" s="112"/>
      <c r="AT197" s="112"/>
      <c r="AU197" s="112"/>
      <c r="AV197" s="112"/>
      <c r="AW197" s="112"/>
      <c r="AX197" s="112"/>
      <c r="AY197" s="112"/>
      <c r="AZ197" s="112"/>
      <c r="BA197" s="112"/>
      <c r="BB197" s="112"/>
      <c r="BC197" s="112"/>
      <c r="BD197" s="112"/>
      <c r="BE197" s="112"/>
      <c r="BF197" s="112"/>
      <c r="BG197" s="112"/>
      <c r="BH197" s="124"/>
      <c r="BI197" s="41"/>
      <c r="BK197" s="194"/>
      <c r="BL197" s="123"/>
      <c r="BM197" s="195"/>
      <c r="BN197" s="194"/>
      <c r="BO197" s="123"/>
      <c r="BP197" s="195"/>
      <c r="BQ197" s="194"/>
      <c r="BR197" s="123"/>
      <c r="BS197" s="195"/>
      <c r="BT197" s="194"/>
      <c r="BU197" s="123"/>
      <c r="BV197" s="195"/>
      <c r="BW197" s="194"/>
      <c r="BX197" s="123"/>
      <c r="BY197" s="195"/>
      <c r="BZ197" s="194"/>
      <c r="CA197" s="123"/>
      <c r="CB197" s="195"/>
      <c r="CC197" s="194"/>
      <c r="CD197" s="123"/>
      <c r="CE197" s="195"/>
      <c r="CF197" s="194"/>
      <c r="CG197" s="123"/>
      <c r="CH197" s="195"/>
      <c r="CI197" s="194"/>
      <c r="CJ197" s="123"/>
      <c r="CK197" s="195"/>
      <c r="CL197" s="194"/>
      <c r="CM197" s="123"/>
      <c r="CN197" s="195"/>
      <c r="CO197" s="194"/>
      <c r="CP197" s="123"/>
      <c r="CQ197" s="195"/>
      <c r="CR197" s="194"/>
      <c r="CS197" s="123"/>
      <c r="CT197" s="195"/>
      <c r="CU197" s="194"/>
      <c r="CV197" s="123"/>
      <c r="CW197" s="195"/>
      <c r="CX197" s="194"/>
      <c r="CY197" s="123"/>
      <c r="CZ197" s="195"/>
      <c r="DA197" s="194"/>
      <c r="DB197" s="123"/>
      <c r="DC197" s="195"/>
      <c r="DD197" s="194"/>
      <c r="DE197" s="123"/>
      <c r="DF197" s="195"/>
      <c r="DL197" s="105"/>
      <c r="DM197" s="105"/>
      <c r="DN197" s="105"/>
      <c r="DO197" s="105"/>
      <c r="DP197" s="105"/>
      <c r="DQ197" s="105"/>
      <c r="DR197" s="105"/>
      <c r="DS197" s="105"/>
    </row>
    <row r="198" spans="1:124" ht="7.4" customHeight="1" x14ac:dyDescent="0.5">
      <c r="A198" s="42"/>
      <c r="B198" s="42"/>
      <c r="C198" s="55"/>
      <c r="D198" s="55"/>
      <c r="E198" s="41"/>
      <c r="F198" s="42"/>
      <c r="G198" s="56"/>
      <c r="H198" s="56"/>
      <c r="I198" s="56"/>
      <c r="J198" s="56"/>
      <c r="K198" s="56"/>
      <c r="L198" s="56"/>
      <c r="M198" s="56"/>
      <c r="N198" s="56"/>
      <c r="O198" s="56"/>
      <c r="P198" s="56"/>
      <c r="Q198" s="56"/>
      <c r="R198" s="126"/>
      <c r="S198" s="42"/>
      <c r="AJ198" s="41"/>
      <c r="AK198" s="42"/>
      <c r="AL198" s="75"/>
      <c r="AM198" s="75"/>
      <c r="AN198" s="75"/>
      <c r="AO198" s="75"/>
      <c r="AP198" s="43"/>
      <c r="AQ198" s="42"/>
      <c r="AR198" s="119"/>
      <c r="AS198" s="119"/>
      <c r="AT198" s="119"/>
      <c r="AU198" s="119"/>
      <c r="AV198" s="119"/>
      <c r="AW198" s="119"/>
      <c r="AX198" s="105"/>
      <c r="AZ198" s="119"/>
      <c r="BA198" s="119"/>
      <c r="BB198" s="119"/>
      <c r="BC198" s="119"/>
      <c r="BD198" s="119"/>
      <c r="BE198" s="119"/>
      <c r="BF198" s="119"/>
      <c r="BG198" s="119"/>
      <c r="BH198" s="124"/>
      <c r="BI198" s="41"/>
      <c r="BK198" s="194"/>
      <c r="BL198" s="123"/>
      <c r="BM198" s="195"/>
      <c r="BN198" s="194"/>
      <c r="BO198" s="123"/>
      <c r="BP198" s="195"/>
      <c r="BQ198" s="194"/>
      <c r="BR198" s="123"/>
      <c r="BS198" s="195"/>
      <c r="BT198" s="194"/>
      <c r="BU198" s="123"/>
      <c r="BV198" s="195"/>
      <c r="BW198" s="194"/>
      <c r="BX198" s="123"/>
      <c r="BY198" s="195"/>
      <c r="BZ198" s="194"/>
      <c r="CA198" s="123"/>
      <c r="CB198" s="195"/>
      <c r="CC198" s="194"/>
      <c r="CD198" s="123"/>
      <c r="CE198" s="195"/>
      <c r="CF198" s="194"/>
      <c r="CG198" s="123"/>
      <c r="CH198" s="195"/>
      <c r="CI198" s="194"/>
      <c r="CJ198" s="123"/>
      <c r="CK198" s="195"/>
      <c r="CL198" s="194"/>
      <c r="CM198" s="123"/>
      <c r="CN198" s="195"/>
      <c r="CO198" s="194"/>
      <c r="CP198" s="123"/>
      <c r="CQ198" s="195"/>
      <c r="CR198" s="194"/>
      <c r="CS198" s="123"/>
      <c r="CT198" s="195"/>
      <c r="CU198" s="194"/>
      <c r="CV198" s="123"/>
      <c r="CW198" s="195"/>
      <c r="CX198" s="194"/>
      <c r="CY198" s="123"/>
      <c r="CZ198" s="195"/>
      <c r="DA198" s="194"/>
      <c r="DB198" s="123"/>
      <c r="DC198" s="195"/>
      <c r="DD198" s="194"/>
      <c r="DE198" s="123"/>
      <c r="DF198" s="195"/>
      <c r="DL198" s="105"/>
      <c r="DM198" s="105"/>
      <c r="DN198" s="105"/>
      <c r="DO198" s="105"/>
      <c r="DP198" s="105"/>
      <c r="DQ198" s="105"/>
      <c r="DR198" s="105"/>
      <c r="DS198" s="105"/>
    </row>
    <row r="199" spans="1:124" ht="7.4" customHeight="1" x14ac:dyDescent="0.5">
      <c r="A199" s="42"/>
      <c r="B199" s="42"/>
      <c r="C199" s="311">
        <f>C195+1</f>
        <v>21</v>
      </c>
      <c r="D199" s="311"/>
      <c r="E199" s="41"/>
      <c r="F199" s="42"/>
      <c r="G199" s="314" t="s">
        <v>55</v>
      </c>
      <c r="H199" s="314"/>
      <c r="I199" s="314"/>
      <c r="J199" s="314"/>
      <c r="K199" s="314"/>
      <c r="L199" s="314"/>
      <c r="M199" s="314"/>
      <c r="N199" s="314"/>
      <c r="O199" s="314"/>
      <c r="P199" s="314"/>
      <c r="Q199" s="314"/>
      <c r="R199" s="315"/>
      <c r="S199" s="42"/>
      <c r="T199" s="316" t="str">
        <f>VLOOKUP(G199,PL!$B$9:$BH$1265,14,FALSE)</f>
        <v>No Item</v>
      </c>
      <c r="U199" s="316"/>
      <c r="V199" s="316"/>
      <c r="W199" s="316"/>
      <c r="X199" s="316"/>
      <c r="Y199" s="316"/>
      <c r="Z199" s="316"/>
      <c r="AA199" s="316"/>
      <c r="AB199" s="316"/>
      <c r="AC199" s="316"/>
      <c r="AD199" s="316"/>
      <c r="AE199" s="316"/>
      <c r="AF199" s="316"/>
      <c r="AG199" s="316"/>
      <c r="AH199" s="316"/>
      <c r="AI199" s="316"/>
      <c r="AJ199" s="317"/>
      <c r="AK199" s="42"/>
      <c r="AL199" s="318">
        <v>0</v>
      </c>
      <c r="AM199" s="318"/>
      <c r="AN199" s="318"/>
      <c r="AO199" s="318"/>
      <c r="AP199" s="43"/>
      <c r="AQ199" s="111"/>
      <c r="AR199" s="308" t="str">
        <f>VLOOKUP(G199,PL!$B$9:$BH$818,52,FALSE)</f>
        <v>-</v>
      </c>
      <c r="AS199" s="309"/>
      <c r="AT199" s="309"/>
      <c r="AU199" s="309"/>
      <c r="AV199" s="309"/>
      <c r="AW199" s="309"/>
      <c r="AX199" s="309"/>
      <c r="AY199" s="309"/>
      <c r="AZ199" s="309"/>
      <c r="BA199" s="309"/>
      <c r="BB199" s="309"/>
      <c r="BC199" s="309"/>
      <c r="BD199" s="309"/>
      <c r="BE199" s="309"/>
      <c r="BF199" s="309"/>
      <c r="BG199" s="309"/>
      <c r="BH199" s="124"/>
      <c r="BI199" s="41"/>
      <c r="BK199" s="412"/>
      <c r="BL199" s="413"/>
      <c r="BM199" s="414"/>
      <c r="BN199" s="194"/>
      <c r="BO199" s="123"/>
      <c r="BP199" s="195"/>
      <c r="BQ199" s="194"/>
      <c r="BR199" s="123"/>
      <c r="BS199" s="195"/>
      <c r="BT199" s="194"/>
      <c r="BU199" s="123"/>
      <c r="BV199" s="195"/>
      <c r="BW199" s="194"/>
      <c r="BX199" s="123"/>
      <c r="BY199" s="195"/>
      <c r="BZ199" s="194"/>
      <c r="CA199" s="123"/>
      <c r="CB199" s="195"/>
      <c r="CC199" s="194"/>
      <c r="CD199" s="123"/>
      <c r="CE199" s="195"/>
      <c r="CF199" s="194"/>
      <c r="CG199" s="123"/>
      <c r="CH199" s="195"/>
      <c r="CI199" s="194"/>
      <c r="CJ199" s="123"/>
      <c r="CK199" s="195"/>
      <c r="CL199" s="194"/>
      <c r="CM199" s="123"/>
      <c r="CN199" s="195"/>
      <c r="CO199" s="194"/>
      <c r="CP199" s="123"/>
      <c r="CQ199" s="195"/>
      <c r="CR199" s="194"/>
      <c r="CS199" s="123"/>
      <c r="CT199" s="195"/>
      <c r="CU199" s="194"/>
      <c r="CV199" s="123"/>
      <c r="CW199" s="195"/>
      <c r="CX199" s="194"/>
      <c r="CY199" s="123"/>
      <c r="CZ199" s="195"/>
      <c r="DA199" s="194"/>
      <c r="DB199" s="123"/>
      <c r="DC199" s="195"/>
      <c r="DD199" s="194"/>
      <c r="DE199" s="123"/>
      <c r="DF199" s="195"/>
      <c r="DH199" s="311"/>
      <c r="DI199" s="311"/>
      <c r="DJ199" s="311"/>
      <c r="DK199" s="311"/>
      <c r="DL199" s="321"/>
      <c r="DM199" s="321"/>
      <c r="DN199" s="321"/>
      <c r="DO199" s="321"/>
      <c r="DP199" s="321"/>
      <c r="DQ199" s="321"/>
      <c r="DR199" s="321"/>
      <c r="DS199" s="321"/>
      <c r="DT199" s="321"/>
    </row>
    <row r="200" spans="1:124" ht="7.4" customHeight="1" x14ac:dyDescent="0.5">
      <c r="A200" s="42"/>
      <c r="B200" s="42"/>
      <c r="C200" s="311"/>
      <c r="D200" s="311"/>
      <c r="E200" s="41"/>
      <c r="F200" s="42"/>
      <c r="G200" s="314"/>
      <c r="H200" s="314"/>
      <c r="I200" s="314"/>
      <c r="J200" s="314"/>
      <c r="K200" s="314"/>
      <c r="L200" s="314"/>
      <c r="M200" s="314"/>
      <c r="N200" s="314"/>
      <c r="O200" s="314"/>
      <c r="P200" s="314"/>
      <c r="Q200" s="314"/>
      <c r="R200" s="315"/>
      <c r="S200" s="42"/>
      <c r="T200" s="316"/>
      <c r="U200" s="316"/>
      <c r="V200" s="316"/>
      <c r="W200" s="316"/>
      <c r="X200" s="316"/>
      <c r="Y200" s="316"/>
      <c r="Z200" s="316"/>
      <c r="AA200" s="316"/>
      <c r="AB200" s="316"/>
      <c r="AC200" s="316"/>
      <c r="AD200" s="316"/>
      <c r="AE200" s="316"/>
      <c r="AF200" s="316"/>
      <c r="AG200" s="316"/>
      <c r="AH200" s="316"/>
      <c r="AI200" s="316"/>
      <c r="AJ200" s="317"/>
      <c r="AK200" s="42"/>
      <c r="AL200" s="318"/>
      <c r="AM200" s="318"/>
      <c r="AN200" s="318"/>
      <c r="AO200" s="318"/>
      <c r="AP200" s="43"/>
      <c r="AQ200" s="111"/>
      <c r="AR200" s="309"/>
      <c r="AS200" s="309"/>
      <c r="AT200" s="309"/>
      <c r="AU200" s="309"/>
      <c r="AV200" s="309"/>
      <c r="AW200" s="309"/>
      <c r="AX200" s="309"/>
      <c r="AY200" s="309"/>
      <c r="AZ200" s="309"/>
      <c r="BA200" s="309"/>
      <c r="BB200" s="309"/>
      <c r="BC200" s="309"/>
      <c r="BD200" s="309"/>
      <c r="BE200" s="309"/>
      <c r="BF200" s="309"/>
      <c r="BG200" s="309"/>
      <c r="BH200" s="124"/>
      <c r="BI200" s="41"/>
      <c r="BK200" s="412"/>
      <c r="BL200" s="413"/>
      <c r="BM200" s="414"/>
      <c r="BN200" s="194"/>
      <c r="BO200" s="123"/>
      <c r="BP200" s="195"/>
      <c r="BQ200" s="194"/>
      <c r="BR200" s="123"/>
      <c r="BS200" s="195"/>
      <c r="BT200" s="194"/>
      <c r="BU200" s="123"/>
      <c r="BV200" s="195"/>
      <c r="BW200" s="194"/>
      <c r="BX200" s="123"/>
      <c r="BY200" s="195"/>
      <c r="BZ200" s="194"/>
      <c r="CA200" s="123"/>
      <c r="CB200" s="195"/>
      <c r="CC200" s="194"/>
      <c r="CD200" s="123"/>
      <c r="CE200" s="195"/>
      <c r="CF200" s="194"/>
      <c r="CG200" s="123"/>
      <c r="CH200" s="195"/>
      <c r="CI200" s="194"/>
      <c r="CJ200" s="123"/>
      <c r="CK200" s="195"/>
      <c r="CL200" s="194"/>
      <c r="CM200" s="123"/>
      <c r="CN200" s="195"/>
      <c r="CO200" s="194"/>
      <c r="CP200" s="123"/>
      <c r="CQ200" s="195"/>
      <c r="CR200" s="194"/>
      <c r="CS200" s="123"/>
      <c r="CT200" s="195"/>
      <c r="CU200" s="194"/>
      <c r="CV200" s="123"/>
      <c r="CW200" s="195"/>
      <c r="CX200" s="194"/>
      <c r="CY200" s="123"/>
      <c r="CZ200" s="195"/>
      <c r="DA200" s="194"/>
      <c r="DB200" s="123"/>
      <c r="DC200" s="195"/>
      <c r="DD200" s="194"/>
      <c r="DE200" s="123"/>
      <c r="DF200" s="195"/>
      <c r="DH200" s="311"/>
      <c r="DI200" s="311"/>
      <c r="DJ200" s="311"/>
      <c r="DK200" s="311"/>
      <c r="DL200" s="321"/>
      <c r="DM200" s="321"/>
      <c r="DN200" s="321"/>
      <c r="DO200" s="321"/>
      <c r="DP200" s="321"/>
      <c r="DQ200" s="321"/>
      <c r="DR200" s="321"/>
      <c r="DS200" s="321"/>
      <c r="DT200" s="321"/>
    </row>
    <row r="201" spans="1:124" ht="7.4" customHeight="1" x14ac:dyDescent="0.5">
      <c r="A201" s="42"/>
      <c r="B201" s="42"/>
      <c r="C201" s="75"/>
      <c r="D201" s="75"/>
      <c r="E201" s="41"/>
      <c r="F201" s="42"/>
      <c r="G201" s="56"/>
      <c r="H201" s="56"/>
      <c r="I201" s="56"/>
      <c r="J201" s="56"/>
      <c r="K201" s="56"/>
      <c r="L201" s="56"/>
      <c r="M201" s="56"/>
      <c r="N201" s="56"/>
      <c r="O201" s="56"/>
      <c r="P201" s="56"/>
      <c r="Q201" s="56"/>
      <c r="R201" s="126"/>
      <c r="S201" s="42"/>
      <c r="T201" s="49"/>
      <c r="U201" s="49"/>
      <c r="V201" s="49"/>
      <c r="W201" s="49"/>
      <c r="X201" s="49"/>
      <c r="Y201" s="49"/>
      <c r="Z201" s="49"/>
      <c r="AA201" s="49"/>
      <c r="AB201" s="49"/>
      <c r="AC201" s="49"/>
      <c r="AD201" s="49"/>
      <c r="AE201" s="49"/>
      <c r="AF201" s="49"/>
      <c r="AG201" s="49"/>
      <c r="AH201" s="49"/>
      <c r="AI201" s="49"/>
      <c r="AJ201" s="110"/>
      <c r="AK201" s="42"/>
      <c r="AL201" s="127"/>
      <c r="AM201" s="127"/>
      <c r="AN201" s="127"/>
      <c r="AO201" s="127"/>
      <c r="AP201" s="43"/>
      <c r="AQ201" s="128"/>
      <c r="AR201" s="275"/>
      <c r="AS201" s="275"/>
      <c r="AT201" s="275"/>
      <c r="AU201" s="275"/>
      <c r="AV201" s="275"/>
      <c r="AW201" s="275"/>
      <c r="AX201" s="105"/>
      <c r="AY201" s="130"/>
      <c r="AZ201" s="131"/>
      <c r="BA201" s="131"/>
      <c r="BB201" s="131"/>
      <c r="BC201" s="131"/>
      <c r="BD201" s="131"/>
      <c r="BE201" s="131"/>
      <c r="BF201" s="131"/>
      <c r="BG201" s="131"/>
      <c r="BH201" s="124"/>
      <c r="BI201" s="41"/>
      <c r="BK201" s="198"/>
      <c r="BL201" s="199"/>
      <c r="BM201" s="200"/>
      <c r="BN201" s="194"/>
      <c r="BO201" s="123"/>
      <c r="BP201" s="195"/>
      <c r="BQ201" s="194"/>
      <c r="BR201" s="123"/>
      <c r="BS201" s="195"/>
      <c r="BT201" s="194"/>
      <c r="BU201" s="123"/>
      <c r="BV201" s="195"/>
      <c r="BW201" s="194"/>
      <c r="BX201" s="123"/>
      <c r="BY201" s="195"/>
      <c r="BZ201" s="194"/>
      <c r="CA201" s="123"/>
      <c r="CB201" s="195"/>
      <c r="CC201" s="194"/>
      <c r="CD201" s="123"/>
      <c r="CE201" s="195"/>
      <c r="CF201" s="194"/>
      <c r="CG201" s="123"/>
      <c r="CH201" s="195"/>
      <c r="CI201" s="194"/>
      <c r="CJ201" s="123"/>
      <c r="CK201" s="195"/>
      <c r="CL201" s="194"/>
      <c r="CM201" s="123"/>
      <c r="CN201" s="195"/>
      <c r="CO201" s="194"/>
      <c r="CP201" s="123"/>
      <c r="CQ201" s="195"/>
      <c r="CR201" s="194"/>
      <c r="CS201" s="123"/>
      <c r="CT201" s="195"/>
      <c r="CU201" s="194"/>
      <c r="CV201" s="123"/>
      <c r="CW201" s="195"/>
      <c r="CX201" s="194"/>
      <c r="CY201" s="123"/>
      <c r="CZ201" s="195"/>
      <c r="DA201" s="194"/>
      <c r="DB201" s="123"/>
      <c r="DC201" s="195"/>
      <c r="DD201" s="194"/>
      <c r="DE201" s="123"/>
      <c r="DF201" s="195"/>
      <c r="DL201" s="105"/>
      <c r="DM201" s="105"/>
      <c r="DN201" s="105"/>
      <c r="DO201" s="105"/>
      <c r="DP201" s="105"/>
      <c r="DQ201" s="105"/>
      <c r="DR201" s="105"/>
      <c r="DS201" s="105"/>
      <c r="DT201" s="105"/>
    </row>
    <row r="202" spans="1:124" ht="7.4" customHeight="1" x14ac:dyDescent="0.5">
      <c r="A202" s="42"/>
      <c r="B202" s="50"/>
      <c r="C202" s="51"/>
      <c r="D202" s="51"/>
      <c r="E202" s="52"/>
      <c r="F202" s="50"/>
      <c r="G202" s="132"/>
      <c r="H202" s="132"/>
      <c r="I202" s="132"/>
      <c r="J202" s="132"/>
      <c r="K202" s="132"/>
      <c r="L202" s="132"/>
      <c r="M202" s="132"/>
      <c r="N202" s="132"/>
      <c r="O202" s="132"/>
      <c r="P202" s="132"/>
      <c r="Q202" s="132"/>
      <c r="R202" s="204"/>
      <c r="S202" s="50"/>
      <c r="T202" s="51"/>
      <c r="U202" s="51"/>
      <c r="V202" s="51"/>
      <c r="W202" s="51"/>
      <c r="X202" s="51"/>
      <c r="Y202" s="51"/>
      <c r="Z202" s="51"/>
      <c r="AA202" s="51"/>
      <c r="AB202" s="51"/>
      <c r="AC202" s="51"/>
      <c r="AD202" s="51"/>
      <c r="AE202" s="51"/>
      <c r="AF202" s="51"/>
      <c r="AG202" s="51"/>
      <c r="AH202" s="51"/>
      <c r="AI202" s="51"/>
      <c r="AJ202" s="52"/>
      <c r="AK202" s="50"/>
      <c r="AL202" s="355"/>
      <c r="AM202" s="355"/>
      <c r="AN202" s="355"/>
      <c r="AO202" s="355"/>
      <c r="AP202" s="84"/>
      <c r="AQ202" s="50"/>
      <c r="AR202" s="135"/>
      <c r="AS202" s="135"/>
      <c r="AT202" s="135"/>
      <c r="AU202" s="135"/>
      <c r="AV202" s="135"/>
      <c r="AW202" s="135"/>
      <c r="AX202" s="135"/>
      <c r="AY202" s="51"/>
      <c r="AZ202" s="135"/>
      <c r="BA202" s="135"/>
      <c r="BB202" s="135"/>
      <c r="BC202" s="135"/>
      <c r="BD202" s="135"/>
      <c r="BE202" s="135"/>
      <c r="BF202" s="135"/>
      <c r="BG202" s="135"/>
      <c r="BH202" s="158"/>
      <c r="BI202" s="41"/>
      <c r="BK202" s="205"/>
      <c r="BL202" s="206"/>
      <c r="BM202" s="207"/>
      <c r="BN202" s="205"/>
      <c r="BO202" s="206"/>
      <c r="BP202" s="207"/>
      <c r="BQ202" s="205"/>
      <c r="BR202" s="206"/>
      <c r="BS202" s="207"/>
      <c r="BT202" s="205"/>
      <c r="BU202" s="206"/>
      <c r="BV202" s="207"/>
      <c r="BW202" s="205"/>
      <c r="BX202" s="206"/>
      <c r="BY202" s="207"/>
      <c r="BZ202" s="205"/>
      <c r="CA202" s="206"/>
      <c r="CB202" s="207"/>
      <c r="CC202" s="205"/>
      <c r="CD202" s="206"/>
      <c r="CE202" s="207"/>
      <c r="CF202" s="205"/>
      <c r="CG202" s="206"/>
      <c r="CH202" s="207"/>
      <c r="CI202" s="205"/>
      <c r="CJ202" s="206"/>
      <c r="CK202" s="207"/>
      <c r="CL202" s="205"/>
      <c r="CM202" s="206"/>
      <c r="CN202" s="207"/>
      <c r="CO202" s="205"/>
      <c r="CP202" s="206"/>
      <c r="CQ202" s="207"/>
      <c r="CR202" s="205"/>
      <c r="CS202" s="206"/>
      <c r="CT202" s="207"/>
      <c r="CU202" s="205"/>
      <c r="CV202" s="206"/>
      <c r="CW202" s="207"/>
      <c r="CX202" s="205"/>
      <c r="CY202" s="206"/>
      <c r="CZ202" s="207"/>
      <c r="DA202" s="205"/>
      <c r="DB202" s="206"/>
      <c r="DC202" s="207"/>
      <c r="DD202" s="205"/>
      <c r="DE202" s="206"/>
      <c r="DF202" s="207"/>
      <c r="DH202" s="311"/>
      <c r="DI202" s="311"/>
      <c r="DJ202" s="311"/>
      <c r="DK202" s="311"/>
      <c r="DL202" s="321"/>
      <c r="DM202" s="321"/>
      <c r="DN202" s="321"/>
      <c r="DO202" s="321"/>
      <c r="DP202" s="321"/>
      <c r="DQ202" s="321"/>
      <c r="DR202" s="321"/>
      <c r="DS202" s="321"/>
    </row>
    <row r="203" spans="1:124" ht="7.4" customHeight="1" x14ac:dyDescent="0.5">
      <c r="A203" s="50"/>
      <c r="B203" s="51"/>
      <c r="C203" s="51"/>
      <c r="D203" s="51"/>
      <c r="E203" s="51"/>
      <c r="F203" s="51"/>
      <c r="G203" s="51"/>
      <c r="H203" s="51"/>
      <c r="I203" s="51"/>
      <c r="J203" s="51"/>
      <c r="K203" s="51"/>
      <c r="L203" s="51"/>
      <c r="M203" s="51"/>
      <c r="N203" s="51"/>
      <c r="O203" s="51"/>
      <c r="P203" s="51"/>
      <c r="Q203" s="51"/>
      <c r="R203" s="51"/>
      <c r="S203" s="51"/>
      <c r="T203" s="51"/>
      <c r="U203" s="51"/>
      <c r="V203" s="51"/>
      <c r="W203" s="208"/>
      <c r="X203" s="208"/>
      <c r="Y203" s="208"/>
      <c r="Z203" s="208"/>
      <c r="AA203" s="208"/>
      <c r="AB203" s="51"/>
      <c r="AC203" s="51"/>
      <c r="AD203" s="208"/>
      <c r="AE203" s="208"/>
      <c r="AF203" s="208"/>
      <c r="AG203" s="208"/>
      <c r="AH203" s="208"/>
      <c r="AI203" s="51"/>
      <c r="AJ203" s="51"/>
      <c r="AK203" s="51"/>
      <c r="AL203" s="51"/>
      <c r="AM203" s="51"/>
      <c r="AN203" s="51"/>
      <c r="AO203" s="51"/>
      <c r="AP203" s="51"/>
      <c r="AQ203" s="51"/>
      <c r="AR203" s="51"/>
      <c r="AS203" s="51"/>
      <c r="AT203" s="51"/>
      <c r="AU203" s="51"/>
      <c r="AV203" s="51"/>
      <c r="AW203" s="51"/>
      <c r="AX203" s="51"/>
      <c r="AY203" s="51"/>
      <c r="AZ203" s="51"/>
      <c r="BA203" s="51"/>
      <c r="BB203" s="51"/>
      <c r="BC203" s="51"/>
      <c r="BD203" s="51"/>
      <c r="BE203" s="51"/>
      <c r="BF203" s="51"/>
      <c r="BG203" s="51"/>
      <c r="BH203" s="51"/>
      <c r="BI203" s="52"/>
    </row>
    <row r="204" spans="1:124" ht="7.4" customHeight="1" x14ac:dyDescent="0.5">
      <c r="A204" s="222"/>
      <c r="B204" s="222"/>
      <c r="C204" s="222"/>
      <c r="D204" s="222"/>
      <c r="E204" s="222"/>
      <c r="F204" s="222"/>
      <c r="G204" s="222"/>
      <c r="H204" s="222"/>
      <c r="I204" s="222"/>
      <c r="J204" s="222"/>
      <c r="K204" s="222"/>
      <c r="L204" s="222"/>
      <c r="M204" s="222"/>
      <c r="N204" s="222"/>
      <c r="O204" s="222"/>
      <c r="P204" s="222"/>
      <c r="Q204" s="222"/>
      <c r="R204" s="222"/>
      <c r="S204" s="222"/>
      <c r="T204" s="222"/>
      <c r="U204" s="222"/>
      <c r="V204" s="222"/>
      <c r="W204" s="222"/>
      <c r="X204" s="222"/>
      <c r="Y204" s="222"/>
      <c r="Z204" s="222"/>
      <c r="AA204" s="222"/>
      <c r="AB204" s="222"/>
      <c r="AC204" s="222"/>
      <c r="AD204" s="222"/>
      <c r="AE204" s="222"/>
      <c r="AF204" s="222"/>
      <c r="AG204" s="222"/>
      <c r="AH204" s="222"/>
      <c r="AI204" s="222"/>
      <c r="AJ204" s="222"/>
      <c r="AK204" s="222"/>
      <c r="AL204" s="222"/>
      <c r="AM204" s="222"/>
      <c r="AN204" s="222"/>
      <c r="AO204" s="222"/>
      <c r="AP204" s="222"/>
      <c r="AQ204" s="222"/>
      <c r="AR204" s="222"/>
      <c r="AS204" s="222"/>
      <c r="AT204" s="222"/>
      <c r="AU204" s="222"/>
      <c r="AV204" s="222"/>
      <c r="AW204" s="222"/>
      <c r="AX204" s="222"/>
      <c r="AY204" s="222"/>
      <c r="AZ204" s="222"/>
      <c r="BA204" s="222"/>
      <c r="BB204" s="222"/>
      <c r="BC204" s="222"/>
      <c r="BD204" s="222"/>
      <c r="BE204" s="222"/>
      <c r="BF204" s="222"/>
      <c r="BG204" s="222"/>
      <c r="BH204" s="222"/>
      <c r="BI204" s="222"/>
    </row>
    <row r="205" spans="1:124" ht="7.4" customHeight="1" x14ac:dyDescent="0.5">
      <c r="A205" s="505" t="s">
        <v>56</v>
      </c>
      <c r="B205" s="505"/>
      <c r="C205" s="505"/>
      <c r="D205" s="505"/>
      <c r="E205" s="505"/>
      <c r="F205" s="505"/>
      <c r="G205" s="505"/>
      <c r="H205" s="505"/>
      <c r="I205" s="505"/>
      <c r="J205" s="505"/>
      <c r="K205" s="505"/>
      <c r="L205" s="505"/>
      <c r="M205" s="505"/>
      <c r="N205" s="505"/>
      <c r="O205" s="505"/>
      <c r="P205" s="505"/>
      <c r="Q205" s="505"/>
      <c r="R205" s="505"/>
      <c r="S205" s="505"/>
      <c r="T205" s="505"/>
      <c r="U205" s="505"/>
      <c r="V205" s="505"/>
      <c r="W205" s="505"/>
      <c r="X205" s="505"/>
      <c r="Y205" s="505"/>
      <c r="Z205" s="505"/>
      <c r="AA205" s="505"/>
      <c r="AB205" s="505"/>
      <c r="AC205" s="505"/>
      <c r="AD205" s="505"/>
      <c r="AE205" s="505"/>
      <c r="AF205" s="505"/>
      <c r="AG205" s="505"/>
      <c r="AH205" s="505"/>
      <c r="AI205" s="505"/>
      <c r="AJ205" s="505"/>
      <c r="AK205" s="505"/>
      <c r="AL205" s="505"/>
      <c r="AM205" s="505"/>
      <c r="AN205" s="505"/>
      <c r="AO205" s="505"/>
      <c r="AP205" s="505"/>
      <c r="AQ205" s="505"/>
      <c r="AR205" s="505"/>
      <c r="AS205" s="505"/>
      <c r="AT205" s="505"/>
      <c r="AU205" s="505"/>
      <c r="AV205" s="505"/>
      <c r="AW205" s="505"/>
      <c r="AX205" s="505"/>
      <c r="AY205" s="505"/>
      <c r="AZ205" s="505"/>
      <c r="BA205" s="505"/>
      <c r="BB205" s="505"/>
      <c r="BC205" s="505"/>
      <c r="BD205" s="505"/>
      <c r="BE205" s="505"/>
      <c r="BF205" s="505"/>
      <c r="BG205" s="505"/>
      <c r="BH205" s="505"/>
      <c r="BI205" s="505"/>
    </row>
    <row r="206" spans="1:124" ht="7.4" customHeight="1" x14ac:dyDescent="0.5">
      <c r="A206" s="505"/>
      <c r="B206" s="505"/>
      <c r="C206" s="505"/>
      <c r="D206" s="505"/>
      <c r="E206" s="505"/>
      <c r="F206" s="505"/>
      <c r="G206" s="505"/>
      <c r="H206" s="505"/>
      <c r="I206" s="505"/>
      <c r="J206" s="505"/>
      <c r="K206" s="505"/>
      <c r="L206" s="505"/>
      <c r="M206" s="505"/>
      <c r="N206" s="505"/>
      <c r="O206" s="505"/>
      <c r="P206" s="505"/>
      <c r="Q206" s="505"/>
      <c r="R206" s="505"/>
      <c r="S206" s="505"/>
      <c r="T206" s="505"/>
      <c r="U206" s="505"/>
      <c r="V206" s="505"/>
      <c r="W206" s="505"/>
      <c r="X206" s="505"/>
      <c r="Y206" s="505"/>
      <c r="Z206" s="505"/>
      <c r="AA206" s="505"/>
      <c r="AB206" s="505"/>
      <c r="AC206" s="505"/>
      <c r="AD206" s="505"/>
      <c r="AE206" s="505"/>
      <c r="AF206" s="505"/>
      <c r="AG206" s="505"/>
      <c r="AH206" s="505"/>
      <c r="AI206" s="505"/>
      <c r="AJ206" s="505"/>
      <c r="AK206" s="505"/>
      <c r="AL206" s="505"/>
      <c r="AM206" s="505"/>
      <c r="AN206" s="505"/>
      <c r="AO206" s="505"/>
      <c r="AP206" s="505"/>
      <c r="AQ206" s="505"/>
      <c r="AR206" s="505"/>
      <c r="AS206" s="505"/>
      <c r="AT206" s="505"/>
      <c r="AU206" s="505"/>
      <c r="AV206" s="505"/>
      <c r="AW206" s="505"/>
      <c r="AX206" s="505"/>
      <c r="AY206" s="505"/>
      <c r="AZ206" s="505"/>
      <c r="BA206" s="505"/>
      <c r="BB206" s="505"/>
      <c r="BC206" s="505"/>
      <c r="BD206" s="505"/>
      <c r="BE206" s="505"/>
      <c r="BF206" s="505"/>
      <c r="BG206" s="505"/>
      <c r="BH206" s="505"/>
      <c r="BI206" s="505"/>
    </row>
    <row r="207" spans="1:124" ht="7.4" customHeight="1" x14ac:dyDescent="0.5">
      <c r="A207" s="222"/>
      <c r="B207" s="222"/>
      <c r="C207" s="222"/>
      <c r="D207" s="222"/>
      <c r="E207" s="222"/>
      <c r="F207" s="222"/>
      <c r="G207" s="222"/>
      <c r="H207" s="222"/>
      <c r="I207" s="222"/>
      <c r="J207" s="222"/>
      <c r="K207" s="222"/>
      <c r="L207" s="222"/>
      <c r="M207" s="222"/>
      <c r="N207" s="222"/>
      <c r="O207" s="222"/>
      <c r="P207" s="222"/>
      <c r="Q207" s="222"/>
      <c r="R207" s="222"/>
      <c r="S207" s="222"/>
      <c r="T207" s="222"/>
      <c r="U207" s="222"/>
      <c r="V207" s="222"/>
      <c r="W207" s="222"/>
      <c r="X207" s="222"/>
      <c r="Y207" s="222"/>
      <c r="Z207" s="222"/>
      <c r="AA207" s="222"/>
      <c r="AB207" s="222"/>
      <c r="AC207" s="222"/>
      <c r="AD207" s="222"/>
      <c r="AE207" s="222"/>
      <c r="AF207" s="222"/>
      <c r="AG207" s="222"/>
      <c r="AH207" s="222"/>
      <c r="AI207" s="222"/>
      <c r="AJ207" s="222"/>
      <c r="AK207" s="222"/>
      <c r="AL207" s="222"/>
      <c r="AM207" s="222"/>
      <c r="AN207" s="222"/>
      <c r="AO207" s="222"/>
      <c r="AP207" s="222"/>
      <c r="AQ207" s="222"/>
      <c r="AR207" s="222"/>
      <c r="AS207" s="222"/>
      <c r="AT207" s="222"/>
      <c r="AU207" s="222"/>
      <c r="AV207" s="222"/>
      <c r="AW207" s="222"/>
      <c r="AX207" s="222"/>
      <c r="AY207" s="222"/>
      <c r="AZ207" s="222"/>
      <c r="BA207" s="222"/>
      <c r="BB207" s="222"/>
      <c r="BC207" s="222"/>
      <c r="BD207" s="222"/>
      <c r="BE207" s="222"/>
      <c r="BF207" s="222"/>
      <c r="BG207" s="222"/>
      <c r="BH207" s="222"/>
      <c r="BI207" s="222"/>
    </row>
    <row r="208" spans="1:124" ht="7.4" customHeight="1" x14ac:dyDescent="0.5">
      <c r="A208" s="506" t="s">
        <v>57</v>
      </c>
      <c r="B208" s="506"/>
      <c r="C208" s="506"/>
      <c r="D208" s="506"/>
      <c r="E208" s="506"/>
      <c r="F208" s="506"/>
      <c r="G208" s="506"/>
      <c r="H208" s="506"/>
      <c r="I208" s="506"/>
      <c r="J208" s="506"/>
      <c r="K208" s="506"/>
      <c r="L208" s="506"/>
      <c r="M208" s="506"/>
      <c r="N208" s="506"/>
      <c r="O208" s="506"/>
      <c r="P208" s="506"/>
      <c r="Q208" s="506"/>
      <c r="R208" s="506"/>
      <c r="S208" s="506"/>
      <c r="T208" s="506"/>
      <c r="U208" s="506"/>
      <c r="V208" s="506"/>
      <c r="W208" s="506"/>
      <c r="X208" s="506"/>
      <c r="Y208" s="506"/>
      <c r="Z208" s="506"/>
      <c r="AA208" s="506"/>
      <c r="AB208" s="506"/>
      <c r="AC208" s="506"/>
      <c r="AD208" s="506"/>
      <c r="AE208" s="506"/>
      <c r="AF208" s="506"/>
      <c r="AG208" s="506"/>
      <c r="AH208" s="506"/>
      <c r="AI208" s="506"/>
      <c r="AJ208" s="506"/>
      <c r="AK208" s="506"/>
      <c r="AL208" s="506"/>
      <c r="AM208" s="506"/>
      <c r="AN208" s="506"/>
      <c r="AO208" s="506"/>
      <c r="AP208" s="506"/>
      <c r="AQ208" s="506"/>
      <c r="AR208" s="506"/>
      <c r="AS208" s="506"/>
      <c r="AT208" s="506"/>
      <c r="AU208" s="506"/>
      <c r="AV208" s="506"/>
      <c r="AW208" s="506"/>
      <c r="AX208" s="506"/>
      <c r="AY208" s="506"/>
      <c r="AZ208" s="506"/>
      <c r="BA208" s="506"/>
      <c r="BB208" s="506"/>
      <c r="BC208" s="506"/>
      <c r="BD208" s="506"/>
      <c r="BE208" s="506"/>
      <c r="BF208" s="506"/>
      <c r="BG208" s="506"/>
      <c r="BH208" s="506"/>
      <c r="BI208" s="506"/>
    </row>
    <row r="209" spans="1:61" ht="7.4" customHeight="1" x14ac:dyDescent="0.5">
      <c r="A209" s="506"/>
      <c r="B209" s="506"/>
      <c r="C209" s="506"/>
      <c r="D209" s="506"/>
      <c r="E209" s="506"/>
      <c r="F209" s="506"/>
      <c r="G209" s="506"/>
      <c r="H209" s="506"/>
      <c r="I209" s="506"/>
      <c r="J209" s="506"/>
      <c r="K209" s="506"/>
      <c r="L209" s="506"/>
      <c r="M209" s="506"/>
      <c r="N209" s="506"/>
      <c r="O209" s="506"/>
      <c r="P209" s="506"/>
      <c r="Q209" s="506"/>
      <c r="R209" s="506"/>
      <c r="S209" s="506"/>
      <c r="T209" s="506"/>
      <c r="U209" s="506"/>
      <c r="V209" s="506"/>
      <c r="W209" s="506"/>
      <c r="X209" s="506"/>
      <c r="Y209" s="506"/>
      <c r="Z209" s="506"/>
      <c r="AA209" s="506"/>
      <c r="AB209" s="506"/>
      <c r="AC209" s="506"/>
      <c r="AD209" s="506"/>
      <c r="AE209" s="506"/>
      <c r="AF209" s="506"/>
      <c r="AG209" s="506"/>
      <c r="AH209" s="506"/>
      <c r="AI209" s="506"/>
      <c r="AJ209" s="506"/>
      <c r="AK209" s="506"/>
      <c r="AL209" s="506"/>
      <c r="AM209" s="506"/>
      <c r="AN209" s="506"/>
      <c r="AO209" s="506"/>
      <c r="AP209" s="506"/>
      <c r="AQ209" s="506"/>
      <c r="AR209" s="506"/>
      <c r="AS209" s="506"/>
      <c r="AT209" s="506"/>
      <c r="AU209" s="506"/>
      <c r="AV209" s="506"/>
      <c r="AW209" s="506"/>
      <c r="AX209" s="506"/>
      <c r="AY209" s="506"/>
      <c r="AZ209" s="506"/>
      <c r="BA209" s="506"/>
      <c r="BB209" s="506"/>
      <c r="BC209" s="506"/>
      <c r="BD209" s="506"/>
      <c r="BE209" s="506"/>
      <c r="BF209" s="506"/>
      <c r="BG209" s="506"/>
      <c r="BH209" s="506"/>
      <c r="BI209" s="506"/>
    </row>
    <row r="210" spans="1:61" ht="7.4" customHeight="1" x14ac:dyDescent="0.5">
      <c r="A210" s="104"/>
      <c r="B210" s="104"/>
      <c r="C210" s="104"/>
      <c r="D210" s="104"/>
      <c r="E210" s="104"/>
      <c r="F210" s="104"/>
      <c r="G210" s="104"/>
      <c r="H210" s="104"/>
      <c r="I210" s="104"/>
      <c r="J210" s="104"/>
      <c r="K210" s="104"/>
      <c r="L210" s="104"/>
      <c r="M210" s="104"/>
      <c r="N210" s="104"/>
      <c r="O210" s="104"/>
      <c r="P210" s="104"/>
      <c r="Q210" s="104"/>
      <c r="R210" s="104"/>
      <c r="S210" s="104"/>
      <c r="T210" s="104"/>
      <c r="U210" s="104"/>
      <c r="V210" s="104"/>
      <c r="W210" s="104"/>
      <c r="X210" s="104"/>
      <c r="Y210" s="104"/>
      <c r="Z210" s="104"/>
      <c r="AA210" s="104"/>
      <c r="AB210" s="104"/>
      <c r="AC210" s="104"/>
      <c r="AD210" s="104"/>
      <c r="AE210" s="104"/>
      <c r="AF210" s="104"/>
      <c r="AG210" s="104"/>
      <c r="AH210" s="104"/>
      <c r="AI210" s="104"/>
      <c r="AJ210" s="104"/>
      <c r="AK210" s="104"/>
      <c r="AL210" s="104"/>
      <c r="AM210" s="104"/>
      <c r="AN210" s="104"/>
      <c r="AO210" s="104"/>
      <c r="AP210" s="104"/>
      <c r="AQ210" s="104"/>
      <c r="AR210" s="104"/>
      <c r="AS210" s="104"/>
      <c r="AT210" s="104"/>
      <c r="AU210" s="104"/>
      <c r="AV210" s="104"/>
      <c r="AW210" s="104"/>
      <c r="AX210" s="104"/>
      <c r="AY210" s="104"/>
      <c r="AZ210" s="104"/>
      <c r="BA210" s="104"/>
      <c r="BB210" s="104"/>
      <c r="BC210" s="104"/>
      <c r="BD210" s="104"/>
      <c r="BE210" s="104"/>
      <c r="BF210" s="104"/>
      <c r="BG210" s="104"/>
      <c r="BH210" s="104"/>
      <c r="BI210" s="104"/>
    </row>
    <row r="211" spans="1:61" ht="7.4" customHeight="1" x14ac:dyDescent="0.5">
      <c r="A211" s="104"/>
      <c r="B211" s="104"/>
      <c r="C211" s="104"/>
      <c r="D211" s="104"/>
      <c r="E211" s="104"/>
      <c r="F211" s="104"/>
      <c r="G211" s="104"/>
      <c r="H211" s="104"/>
      <c r="I211" s="104"/>
      <c r="J211" s="104"/>
      <c r="K211" s="104"/>
      <c r="L211" s="104"/>
      <c r="M211" s="104"/>
      <c r="N211" s="104"/>
      <c r="O211" s="104"/>
      <c r="P211" s="104"/>
      <c r="Q211" s="104"/>
      <c r="R211" s="104"/>
      <c r="S211" s="104"/>
      <c r="T211" s="104"/>
      <c r="U211" s="104"/>
      <c r="V211" s="104"/>
      <c r="W211" s="104"/>
      <c r="X211" s="104"/>
      <c r="Y211" s="104"/>
      <c r="Z211" s="104"/>
      <c r="AA211" s="104"/>
      <c r="AB211" s="104"/>
      <c r="AC211" s="104"/>
      <c r="AD211" s="104"/>
      <c r="AE211" s="104"/>
      <c r="AF211" s="104"/>
      <c r="AG211" s="104"/>
      <c r="AH211" s="104"/>
      <c r="AI211" s="104"/>
      <c r="AJ211" s="104"/>
      <c r="AK211" s="104"/>
      <c r="AL211" s="104"/>
      <c r="AM211" s="104"/>
      <c r="AN211" s="104"/>
      <c r="AO211" s="104"/>
      <c r="AP211" s="104"/>
      <c r="AQ211" s="104"/>
      <c r="AR211" s="104"/>
      <c r="AS211" s="104"/>
      <c r="AT211" s="104"/>
      <c r="AU211" s="104"/>
      <c r="AV211" s="104"/>
      <c r="AW211" s="104"/>
      <c r="AX211" s="104"/>
      <c r="AY211" s="104"/>
      <c r="AZ211" s="104"/>
      <c r="BA211" s="104"/>
      <c r="BB211" s="104"/>
      <c r="BC211" s="104"/>
      <c r="BD211" s="104"/>
      <c r="BE211" s="104"/>
      <c r="BF211" s="104"/>
      <c r="BG211" s="104"/>
      <c r="BH211" s="104"/>
      <c r="BI211" s="104"/>
    </row>
  </sheetData>
  <sheetProtection algorithmName="SHA-512" hashValue="XJRUjf8LZbPbGwhy0inLOJ4ezXAfIo+kNshBf3AfJPyW5zJsTJlDSRRedU3fYYCeS6xKJQWqqkyEHdlZBl70oA==" saltValue="NFhnIistRQGj4LPmPzo9yA==" spinCount="100000" sheet="1" objects="1" scenarios="1" selectLockedCells="1"/>
  <mergeCells count="749">
    <mergeCell ref="C195:D196"/>
    <mergeCell ref="G195:R196"/>
    <mergeCell ref="T195:AJ196"/>
    <mergeCell ref="AL195:AO196"/>
    <mergeCell ref="AR195:BG196"/>
    <mergeCell ref="BK195:BM196"/>
    <mergeCell ref="C1:AI9"/>
    <mergeCell ref="AN1:BH2"/>
    <mergeCell ref="AN3:BH4"/>
    <mergeCell ref="AN5:BH6"/>
    <mergeCell ref="AN7:BH8"/>
    <mergeCell ref="A10:AL15"/>
    <mergeCell ref="AN11:AV12"/>
    <mergeCell ref="AX11:BH12"/>
    <mergeCell ref="AN13:AV14"/>
    <mergeCell ref="AX13:BH14"/>
    <mergeCell ref="T21:AP22"/>
    <mergeCell ref="B25:AC27"/>
    <mergeCell ref="AE25:BH27"/>
    <mergeCell ref="C28:R30"/>
    <mergeCell ref="T28:AC30"/>
    <mergeCell ref="AF28:AM30"/>
    <mergeCell ref="AO28:BH30"/>
    <mergeCell ref="C17:F18"/>
    <mergeCell ref="G17:X18"/>
    <mergeCell ref="Y17:AC18"/>
    <mergeCell ref="AD17:AS18"/>
    <mergeCell ref="AT17:AW18"/>
    <mergeCell ref="AX17:BH18"/>
    <mergeCell ref="BK30:BL30"/>
    <mergeCell ref="BM30:BO30"/>
    <mergeCell ref="BP30:BR30"/>
    <mergeCell ref="C31:R33"/>
    <mergeCell ref="T31:AC33"/>
    <mergeCell ref="AF31:AM33"/>
    <mergeCell ref="AO31:AP33"/>
    <mergeCell ref="AQ31:AW33"/>
    <mergeCell ref="AX31:AZ33"/>
    <mergeCell ref="BA31:BB33"/>
    <mergeCell ref="BC31:BH33"/>
    <mergeCell ref="BK31:BL31"/>
    <mergeCell ref="BM31:BO31"/>
    <mergeCell ref="BP31:BR31"/>
    <mergeCell ref="BK32:BL32"/>
    <mergeCell ref="BM32:BO32"/>
    <mergeCell ref="BP32:BR32"/>
    <mergeCell ref="BK33:BL33"/>
    <mergeCell ref="BM33:BO33"/>
    <mergeCell ref="BP33:BR33"/>
    <mergeCell ref="AF34:AM37"/>
    <mergeCell ref="BK34:BL34"/>
    <mergeCell ref="BM34:BO34"/>
    <mergeCell ref="BP34:BR34"/>
    <mergeCell ref="AO35:AW36"/>
    <mergeCell ref="BK35:BL35"/>
    <mergeCell ref="BM35:BO35"/>
    <mergeCell ref="BP35:BR35"/>
    <mergeCell ref="BF54:BH55"/>
    <mergeCell ref="AN54:AP55"/>
    <mergeCell ref="AQ54:AS55"/>
    <mergeCell ref="AT54:AV55"/>
    <mergeCell ref="AW54:AY55"/>
    <mergeCell ref="B39:BH41"/>
    <mergeCell ref="C43:G45"/>
    <mergeCell ref="J43:N45"/>
    <mergeCell ref="Q43:T45"/>
    <mergeCell ref="W43:AS44"/>
    <mergeCell ref="AV43:AZ45"/>
    <mergeCell ref="BC43:BG45"/>
    <mergeCell ref="W45:Z45"/>
    <mergeCell ref="AE45:AH45"/>
    <mergeCell ref="AM45:AP45"/>
    <mergeCell ref="AZ54:BB55"/>
    <mergeCell ref="C54:L55"/>
    <mergeCell ref="M54:O55"/>
    <mergeCell ref="P54:R55"/>
    <mergeCell ref="S54:U55"/>
    <mergeCell ref="V54:X55"/>
    <mergeCell ref="Y54:AA55"/>
    <mergeCell ref="AB54:AD55"/>
    <mergeCell ref="AE54:AG55"/>
    <mergeCell ref="V58:X59"/>
    <mergeCell ref="Y58:AA59"/>
    <mergeCell ref="AB58:AD59"/>
    <mergeCell ref="AE58:AG59"/>
    <mergeCell ref="AK54:AM55"/>
    <mergeCell ref="AH54:AJ55"/>
    <mergeCell ref="B48:BH50"/>
    <mergeCell ref="M51:O52"/>
    <mergeCell ref="P51:R52"/>
    <mergeCell ref="S51:U52"/>
    <mergeCell ref="V51:X52"/>
    <mergeCell ref="Y51:AA52"/>
    <mergeCell ref="AB51:AD52"/>
    <mergeCell ref="AE51:AG52"/>
    <mergeCell ref="AH51:AJ52"/>
    <mergeCell ref="AK51:AM52"/>
    <mergeCell ref="BF51:BH52"/>
    <mergeCell ref="AN51:AP52"/>
    <mergeCell ref="AQ51:AS52"/>
    <mergeCell ref="AT51:AV52"/>
    <mergeCell ref="AW51:AY52"/>
    <mergeCell ref="AZ51:BB52"/>
    <mergeCell ref="BC51:BE52"/>
    <mergeCell ref="BC54:BE55"/>
    <mergeCell ref="C69:M71"/>
    <mergeCell ref="N70:U71"/>
    <mergeCell ref="AS72:BD73"/>
    <mergeCell ref="BF72:BH73"/>
    <mergeCell ref="AZ58:BB59"/>
    <mergeCell ref="BC58:BE59"/>
    <mergeCell ref="BF58:BH59"/>
    <mergeCell ref="C62:T64"/>
    <mergeCell ref="AS62:BG64"/>
    <mergeCell ref="C65:M67"/>
    <mergeCell ref="N66:U67"/>
    <mergeCell ref="AS66:BD67"/>
    <mergeCell ref="BF66:BH69"/>
    <mergeCell ref="AS68:BD69"/>
    <mergeCell ref="AH58:AJ59"/>
    <mergeCell ref="AK58:AM59"/>
    <mergeCell ref="AN58:AP59"/>
    <mergeCell ref="AQ58:AS59"/>
    <mergeCell ref="AT58:AV59"/>
    <mergeCell ref="AW58:AY59"/>
    <mergeCell ref="C58:L59"/>
    <mergeCell ref="M58:O59"/>
    <mergeCell ref="P58:R59"/>
    <mergeCell ref="S58:U59"/>
    <mergeCell ref="BQ106:BW106"/>
    <mergeCell ref="BK107:BP108"/>
    <mergeCell ref="BQ107:BW108"/>
    <mergeCell ref="BK109:BP110"/>
    <mergeCell ref="BQ109:BV110"/>
    <mergeCell ref="BW109:CB110"/>
    <mergeCell ref="AS76:BD77"/>
    <mergeCell ref="BF76:BH77"/>
    <mergeCell ref="C73:M75"/>
    <mergeCell ref="N74:U75"/>
    <mergeCell ref="A81:BI82"/>
    <mergeCell ref="BK106:BP106"/>
    <mergeCell ref="CO113:CT113"/>
    <mergeCell ref="C114:E117"/>
    <mergeCell ref="G114:R117"/>
    <mergeCell ref="T114:AJ117"/>
    <mergeCell ref="AL114:AP117"/>
    <mergeCell ref="BK115:BM116"/>
    <mergeCell ref="BN115:BP116"/>
    <mergeCell ref="BQ115:BS116"/>
    <mergeCell ref="CC109:CH110"/>
    <mergeCell ref="CI109:CN110"/>
    <mergeCell ref="CO109:CT110"/>
    <mergeCell ref="T110:AP111"/>
    <mergeCell ref="BK111:BP112"/>
    <mergeCell ref="BQ111:BV112"/>
    <mergeCell ref="BW111:CB112"/>
    <mergeCell ref="CC111:CH112"/>
    <mergeCell ref="CI111:CN112"/>
    <mergeCell ref="CO111:CT112"/>
    <mergeCell ref="DD115:DF116"/>
    <mergeCell ref="DH115:DK116"/>
    <mergeCell ref="DL115:DT116"/>
    <mergeCell ref="AL118:AO118"/>
    <mergeCell ref="CL115:CN116"/>
    <mergeCell ref="CO115:CQ116"/>
    <mergeCell ref="CR115:CT116"/>
    <mergeCell ref="CU115:CW116"/>
    <mergeCell ref="CX115:CZ116"/>
    <mergeCell ref="DA115:DC116"/>
    <mergeCell ref="BT115:BV116"/>
    <mergeCell ref="BW115:BY116"/>
    <mergeCell ref="BZ115:CB116"/>
    <mergeCell ref="CC115:CE116"/>
    <mergeCell ref="CF115:CH116"/>
    <mergeCell ref="CI115:CK116"/>
    <mergeCell ref="DL119:DS120"/>
    <mergeCell ref="C121:D121"/>
    <mergeCell ref="AL121:AO121"/>
    <mergeCell ref="DH121:DK121"/>
    <mergeCell ref="DL121:DS121"/>
    <mergeCell ref="AR119:BG120"/>
    <mergeCell ref="CO119:CQ120"/>
    <mergeCell ref="CR119:CT120"/>
    <mergeCell ref="CU119:CW120"/>
    <mergeCell ref="CX119:CZ120"/>
    <mergeCell ref="DA119:DC120"/>
    <mergeCell ref="DD119:DF120"/>
    <mergeCell ref="BW119:BY120"/>
    <mergeCell ref="BZ119:CB120"/>
    <mergeCell ref="CC119:CE120"/>
    <mergeCell ref="CF119:CH120"/>
    <mergeCell ref="CI119:CK120"/>
    <mergeCell ref="CL119:CN120"/>
    <mergeCell ref="BK119:BM120"/>
    <mergeCell ref="BN119:BP120"/>
    <mergeCell ref="BQ119:BS120"/>
    <mergeCell ref="BT119:BV120"/>
    <mergeCell ref="C119:D120"/>
    <mergeCell ref="G119:R120"/>
    <mergeCell ref="BQ123:BS124"/>
    <mergeCell ref="BT123:BV124"/>
    <mergeCell ref="BW123:BY124"/>
    <mergeCell ref="AL122:AO122"/>
    <mergeCell ref="C123:D124"/>
    <mergeCell ref="G123:R124"/>
    <mergeCell ref="T123:AJ124"/>
    <mergeCell ref="AL123:AO124"/>
    <mergeCell ref="DH119:DK120"/>
    <mergeCell ref="T119:AJ120"/>
    <mergeCell ref="AL119:AO120"/>
    <mergeCell ref="AL126:AO126"/>
    <mergeCell ref="C127:D128"/>
    <mergeCell ref="G127:R128"/>
    <mergeCell ref="T127:AJ128"/>
    <mergeCell ref="AL127:AO128"/>
    <mergeCell ref="DL123:DS124"/>
    <mergeCell ref="AL125:AO125"/>
    <mergeCell ref="DH125:DK125"/>
    <mergeCell ref="DL125:DS125"/>
    <mergeCell ref="AR123:BG124"/>
    <mergeCell ref="CR123:CT124"/>
    <mergeCell ref="CU123:CW124"/>
    <mergeCell ref="CX123:CZ124"/>
    <mergeCell ref="DA123:DC124"/>
    <mergeCell ref="DD123:DF124"/>
    <mergeCell ref="DH123:DK124"/>
    <mergeCell ref="BZ123:CB124"/>
    <mergeCell ref="CC123:CE124"/>
    <mergeCell ref="CF123:CH124"/>
    <mergeCell ref="CI123:CK124"/>
    <mergeCell ref="CL123:CN124"/>
    <mergeCell ref="CO123:CQ124"/>
    <mergeCell ref="BK123:BM124"/>
    <mergeCell ref="BN123:BP124"/>
    <mergeCell ref="DL127:DS128"/>
    <mergeCell ref="C129:D129"/>
    <mergeCell ref="AL129:AO129"/>
    <mergeCell ref="DH129:DK129"/>
    <mergeCell ref="DL129:DS129"/>
    <mergeCell ref="AR127:BG128"/>
    <mergeCell ref="CR127:CT128"/>
    <mergeCell ref="CU127:CW128"/>
    <mergeCell ref="CX127:CZ128"/>
    <mergeCell ref="DA127:DC128"/>
    <mergeCell ref="DD127:DF128"/>
    <mergeCell ref="DH127:DK128"/>
    <mergeCell ref="BZ127:CB128"/>
    <mergeCell ref="CC127:CE128"/>
    <mergeCell ref="CF127:CH128"/>
    <mergeCell ref="CI127:CK128"/>
    <mergeCell ref="CL127:CN128"/>
    <mergeCell ref="CO127:CQ128"/>
    <mergeCell ref="BK127:BM128"/>
    <mergeCell ref="BN127:BP128"/>
    <mergeCell ref="BQ127:BS128"/>
    <mergeCell ref="BT127:BV128"/>
    <mergeCell ref="BW127:BY128"/>
    <mergeCell ref="CL131:CN132"/>
    <mergeCell ref="CO131:CQ132"/>
    <mergeCell ref="BK131:BM132"/>
    <mergeCell ref="BN131:BP132"/>
    <mergeCell ref="BQ131:BS132"/>
    <mergeCell ref="BT131:BV132"/>
    <mergeCell ref="BW131:BY132"/>
    <mergeCell ref="AL130:AO130"/>
    <mergeCell ref="C131:D132"/>
    <mergeCell ref="G131:R132"/>
    <mergeCell ref="T131:AJ132"/>
    <mergeCell ref="AL131:AO132"/>
    <mergeCell ref="AL134:AO134"/>
    <mergeCell ref="C135:D136"/>
    <mergeCell ref="G135:R136"/>
    <mergeCell ref="T135:AD136"/>
    <mergeCell ref="AE135:AE136"/>
    <mergeCell ref="AF135:AH136"/>
    <mergeCell ref="AI135:AJ136"/>
    <mergeCell ref="AL135:AO136"/>
    <mergeCell ref="DL131:DS132"/>
    <mergeCell ref="C133:D133"/>
    <mergeCell ref="AL133:AO133"/>
    <mergeCell ref="DH133:DK133"/>
    <mergeCell ref="DL133:DS133"/>
    <mergeCell ref="AR131:BG132"/>
    <mergeCell ref="CR131:CT132"/>
    <mergeCell ref="CU131:CW132"/>
    <mergeCell ref="CX131:CZ132"/>
    <mergeCell ref="DA131:DC132"/>
    <mergeCell ref="DD131:DF132"/>
    <mergeCell ref="DH131:DK132"/>
    <mergeCell ref="BZ131:CB132"/>
    <mergeCell ref="CC131:CE132"/>
    <mergeCell ref="CF131:CH132"/>
    <mergeCell ref="CI131:CK132"/>
    <mergeCell ref="BQ135:BS136"/>
    <mergeCell ref="BT135:BV136"/>
    <mergeCell ref="BW135:BY136"/>
    <mergeCell ref="BZ135:CB136"/>
    <mergeCell ref="CC135:CE136"/>
    <mergeCell ref="CF135:CH136"/>
    <mergeCell ref="BK135:BM136"/>
    <mergeCell ref="BN135:BP136"/>
    <mergeCell ref="AR135:BG136"/>
    <mergeCell ref="DA135:DC136"/>
    <mergeCell ref="DD135:DF136"/>
    <mergeCell ref="DH135:DK136"/>
    <mergeCell ref="DL135:DS136"/>
    <mergeCell ref="DH137:DK137"/>
    <mergeCell ref="DL137:DS137"/>
    <mergeCell ref="CI135:CK136"/>
    <mergeCell ref="CL135:CN136"/>
    <mergeCell ref="CO135:CQ136"/>
    <mergeCell ref="CR135:CT136"/>
    <mergeCell ref="CU135:CW136"/>
    <mergeCell ref="CX135:CZ136"/>
    <mergeCell ref="CL139:CN140"/>
    <mergeCell ref="CO139:CQ140"/>
    <mergeCell ref="BK139:BM140"/>
    <mergeCell ref="BN139:BP140"/>
    <mergeCell ref="BQ139:BS140"/>
    <mergeCell ref="BT139:BV140"/>
    <mergeCell ref="BW139:BY140"/>
    <mergeCell ref="AL138:AO138"/>
    <mergeCell ref="C139:D140"/>
    <mergeCell ref="G139:R140"/>
    <mergeCell ref="T139:AJ140"/>
    <mergeCell ref="AL139:AO140"/>
    <mergeCell ref="BQ143:BS144"/>
    <mergeCell ref="BT143:BV144"/>
    <mergeCell ref="BW143:BY144"/>
    <mergeCell ref="AL142:AO142"/>
    <mergeCell ref="C143:D144"/>
    <mergeCell ref="G143:R144"/>
    <mergeCell ref="T143:AJ144"/>
    <mergeCell ref="AL143:AO144"/>
    <mergeCell ref="DL139:DS140"/>
    <mergeCell ref="C141:D141"/>
    <mergeCell ref="AL141:AO141"/>
    <mergeCell ref="DH141:DK141"/>
    <mergeCell ref="DL141:DS141"/>
    <mergeCell ref="AR139:BG140"/>
    <mergeCell ref="CR139:CT140"/>
    <mergeCell ref="CU139:CW140"/>
    <mergeCell ref="CX139:CZ140"/>
    <mergeCell ref="DA139:DC140"/>
    <mergeCell ref="DD139:DF140"/>
    <mergeCell ref="DH139:DK140"/>
    <mergeCell ref="BZ139:CB140"/>
    <mergeCell ref="CC139:CE140"/>
    <mergeCell ref="CF139:CH140"/>
    <mergeCell ref="CI139:CK140"/>
    <mergeCell ref="C146:D146"/>
    <mergeCell ref="AL146:AO146"/>
    <mergeCell ref="DH146:DK146"/>
    <mergeCell ref="DL146:DS146"/>
    <mergeCell ref="DL143:DS144"/>
    <mergeCell ref="C145:D145"/>
    <mergeCell ref="AL145:AO145"/>
    <mergeCell ref="DH145:DK145"/>
    <mergeCell ref="DL145:DS145"/>
    <mergeCell ref="AR143:BG144"/>
    <mergeCell ref="CR143:CT144"/>
    <mergeCell ref="CU143:CW144"/>
    <mergeCell ref="CX143:CZ144"/>
    <mergeCell ref="DA143:DC144"/>
    <mergeCell ref="DD143:DF144"/>
    <mergeCell ref="DH143:DK144"/>
    <mergeCell ref="BZ143:CB144"/>
    <mergeCell ref="CC143:CE144"/>
    <mergeCell ref="CF143:CH144"/>
    <mergeCell ref="CI143:CK144"/>
    <mergeCell ref="CL143:CN144"/>
    <mergeCell ref="CO143:CQ144"/>
    <mergeCell ref="BK143:BM144"/>
    <mergeCell ref="BN143:BP144"/>
    <mergeCell ref="CI147:CK148"/>
    <mergeCell ref="CL147:CN148"/>
    <mergeCell ref="BK147:BM148"/>
    <mergeCell ref="BN147:BP148"/>
    <mergeCell ref="BQ147:BS148"/>
    <mergeCell ref="BT147:BV148"/>
    <mergeCell ref="C147:D148"/>
    <mergeCell ref="G147:R148"/>
    <mergeCell ref="T147:AJ148"/>
    <mergeCell ref="AL147:AO148"/>
    <mergeCell ref="G151:R152"/>
    <mergeCell ref="T151:AJ152"/>
    <mergeCell ref="AL151:AO152"/>
    <mergeCell ref="C150:D150"/>
    <mergeCell ref="AL150:AO150"/>
    <mergeCell ref="DH150:DK150"/>
    <mergeCell ref="DL150:DS150"/>
    <mergeCell ref="DH147:DK148"/>
    <mergeCell ref="DL147:DS148"/>
    <mergeCell ref="C149:D149"/>
    <mergeCell ref="AL149:AO149"/>
    <mergeCell ref="DH149:DK149"/>
    <mergeCell ref="DL149:DS149"/>
    <mergeCell ref="AR147:BG148"/>
    <mergeCell ref="CO147:CQ148"/>
    <mergeCell ref="CR147:CT148"/>
    <mergeCell ref="CU147:CW148"/>
    <mergeCell ref="CX147:CZ148"/>
    <mergeCell ref="DA147:DC148"/>
    <mergeCell ref="DD147:DF148"/>
    <mergeCell ref="BW147:BY148"/>
    <mergeCell ref="BZ147:CB148"/>
    <mergeCell ref="CC147:CE148"/>
    <mergeCell ref="CF147:CH148"/>
    <mergeCell ref="DH151:DK152"/>
    <mergeCell ref="DL151:DS152"/>
    <mergeCell ref="C153:D153"/>
    <mergeCell ref="AL153:AO153"/>
    <mergeCell ref="DH153:DK153"/>
    <mergeCell ref="DL153:DS153"/>
    <mergeCell ref="AR151:BG152"/>
    <mergeCell ref="CO151:CQ152"/>
    <mergeCell ref="CR151:CT152"/>
    <mergeCell ref="CU151:CW152"/>
    <mergeCell ref="CX151:CZ152"/>
    <mergeCell ref="DA151:DC152"/>
    <mergeCell ref="DD151:DF152"/>
    <mergeCell ref="BW151:BY152"/>
    <mergeCell ref="BZ151:CB152"/>
    <mergeCell ref="CC151:CE152"/>
    <mergeCell ref="CF151:CH152"/>
    <mergeCell ref="CI151:CK152"/>
    <mergeCell ref="CL151:CN152"/>
    <mergeCell ref="BK151:BM152"/>
    <mergeCell ref="BN151:BP152"/>
    <mergeCell ref="BQ151:BS152"/>
    <mergeCell ref="BT151:BV152"/>
    <mergeCell ref="C151:D152"/>
    <mergeCell ref="BT155:BV156"/>
    <mergeCell ref="C155:D156"/>
    <mergeCell ref="G155:R156"/>
    <mergeCell ref="T155:AJ156"/>
    <mergeCell ref="AL155:AO156"/>
    <mergeCell ref="C154:D154"/>
    <mergeCell ref="AL154:AO154"/>
    <mergeCell ref="DH154:DK154"/>
    <mergeCell ref="DL154:DS154"/>
    <mergeCell ref="DH158:DK158"/>
    <mergeCell ref="DL158:DS158"/>
    <mergeCell ref="DH155:DK156"/>
    <mergeCell ref="DL155:DS156"/>
    <mergeCell ref="C157:D157"/>
    <mergeCell ref="AL157:AO157"/>
    <mergeCell ref="DH157:DK157"/>
    <mergeCell ref="DL157:DS157"/>
    <mergeCell ref="AR155:BG156"/>
    <mergeCell ref="CO155:CQ156"/>
    <mergeCell ref="CR155:CT156"/>
    <mergeCell ref="CU155:CW156"/>
    <mergeCell ref="CX155:CZ156"/>
    <mergeCell ref="DA155:DC156"/>
    <mergeCell ref="DD155:DF156"/>
    <mergeCell ref="BW155:BY156"/>
    <mergeCell ref="BZ155:CB156"/>
    <mergeCell ref="CC155:CE156"/>
    <mergeCell ref="CF155:CH156"/>
    <mergeCell ref="CI155:CK156"/>
    <mergeCell ref="CL155:CN156"/>
    <mergeCell ref="BK155:BM156"/>
    <mergeCell ref="BN155:BP156"/>
    <mergeCell ref="BQ155:BS156"/>
    <mergeCell ref="BN159:BP160"/>
    <mergeCell ref="BQ159:BS160"/>
    <mergeCell ref="BT159:BV160"/>
    <mergeCell ref="C159:D160"/>
    <mergeCell ref="G159:R160"/>
    <mergeCell ref="T159:AJ160"/>
    <mergeCell ref="AL159:AO160"/>
    <mergeCell ref="C158:D158"/>
    <mergeCell ref="AL158:AO158"/>
    <mergeCell ref="C162:D162"/>
    <mergeCell ref="AL162:AO162"/>
    <mergeCell ref="DH162:DK162"/>
    <mergeCell ref="DL162:DS162"/>
    <mergeCell ref="DH159:DK160"/>
    <mergeCell ref="DL159:DS160"/>
    <mergeCell ref="C161:D161"/>
    <mergeCell ref="AL161:AO161"/>
    <mergeCell ref="DH161:DK161"/>
    <mergeCell ref="DL161:DS161"/>
    <mergeCell ref="AR159:BG160"/>
    <mergeCell ref="CO159:CQ160"/>
    <mergeCell ref="CR159:CT160"/>
    <mergeCell ref="CU159:CW160"/>
    <mergeCell ref="CX159:CZ160"/>
    <mergeCell ref="DA159:DC160"/>
    <mergeCell ref="DD159:DF160"/>
    <mergeCell ref="BW159:BY160"/>
    <mergeCell ref="BZ159:CB160"/>
    <mergeCell ref="CC159:CE160"/>
    <mergeCell ref="CF159:CH160"/>
    <mergeCell ref="CI159:CK160"/>
    <mergeCell ref="CL159:CN160"/>
    <mergeCell ref="BK159:BM160"/>
    <mergeCell ref="CI163:CK164"/>
    <mergeCell ref="CL163:CN164"/>
    <mergeCell ref="BK163:BM164"/>
    <mergeCell ref="BN163:BP164"/>
    <mergeCell ref="BQ163:BS164"/>
    <mergeCell ref="BT163:BV164"/>
    <mergeCell ref="C163:D164"/>
    <mergeCell ref="G163:R164"/>
    <mergeCell ref="T163:AJ164"/>
    <mergeCell ref="AL163:AO164"/>
    <mergeCell ref="G167:R168"/>
    <mergeCell ref="T167:AJ168"/>
    <mergeCell ref="AL167:AO168"/>
    <mergeCell ref="C166:D166"/>
    <mergeCell ref="AL166:AO166"/>
    <mergeCell ref="DH166:DK166"/>
    <mergeCell ref="DL166:DS166"/>
    <mergeCell ref="DH163:DK164"/>
    <mergeCell ref="DL163:DS164"/>
    <mergeCell ref="C165:D165"/>
    <mergeCell ref="AL165:AO165"/>
    <mergeCell ref="DH165:DK165"/>
    <mergeCell ref="DL165:DS165"/>
    <mergeCell ref="AR163:BG164"/>
    <mergeCell ref="CO163:CQ164"/>
    <mergeCell ref="CR163:CT164"/>
    <mergeCell ref="CU163:CW164"/>
    <mergeCell ref="CX163:CZ164"/>
    <mergeCell ref="DA163:DC164"/>
    <mergeCell ref="DD163:DF164"/>
    <mergeCell ref="BW163:BY164"/>
    <mergeCell ref="BZ163:CB164"/>
    <mergeCell ref="CC163:CE164"/>
    <mergeCell ref="CF163:CH164"/>
    <mergeCell ref="DH167:DK168"/>
    <mergeCell ref="DL167:DS168"/>
    <mergeCell ref="C169:D169"/>
    <mergeCell ref="AL169:AO169"/>
    <mergeCell ref="DH169:DK169"/>
    <mergeCell ref="DL169:DS169"/>
    <mergeCell ref="AR167:BG168"/>
    <mergeCell ref="CO167:CQ168"/>
    <mergeCell ref="CR167:CT168"/>
    <mergeCell ref="CU167:CW168"/>
    <mergeCell ref="CX167:CZ168"/>
    <mergeCell ref="DA167:DC168"/>
    <mergeCell ref="DD167:DF168"/>
    <mergeCell ref="BW167:BY168"/>
    <mergeCell ref="BZ167:CB168"/>
    <mergeCell ref="CC167:CE168"/>
    <mergeCell ref="CF167:CH168"/>
    <mergeCell ref="CI167:CK168"/>
    <mergeCell ref="CL167:CN168"/>
    <mergeCell ref="BK167:BM168"/>
    <mergeCell ref="BN167:BP168"/>
    <mergeCell ref="BQ167:BS168"/>
    <mergeCell ref="BT167:BV168"/>
    <mergeCell ref="C167:D168"/>
    <mergeCell ref="BN171:BP172"/>
    <mergeCell ref="BQ171:BS172"/>
    <mergeCell ref="AR171:BG172"/>
    <mergeCell ref="AL170:AO170"/>
    <mergeCell ref="DH170:DK170"/>
    <mergeCell ref="DL170:DS170"/>
    <mergeCell ref="C171:D172"/>
    <mergeCell ref="G171:R172"/>
    <mergeCell ref="T171:AJ172"/>
    <mergeCell ref="AL171:AO172"/>
    <mergeCell ref="C174:D174"/>
    <mergeCell ref="AL174:AO174"/>
    <mergeCell ref="DH174:DK174"/>
    <mergeCell ref="DL174:DS174"/>
    <mergeCell ref="DD171:DF172"/>
    <mergeCell ref="DH171:DK172"/>
    <mergeCell ref="DL171:DS172"/>
    <mergeCell ref="C173:D173"/>
    <mergeCell ref="AL173:AO173"/>
    <mergeCell ref="DH173:DK173"/>
    <mergeCell ref="DL173:DS173"/>
    <mergeCell ref="CL171:CN172"/>
    <mergeCell ref="CO171:CQ172"/>
    <mergeCell ref="CR171:CT172"/>
    <mergeCell ref="CU171:CW172"/>
    <mergeCell ref="CX171:CZ172"/>
    <mergeCell ref="DA171:DC172"/>
    <mergeCell ref="BT171:BV172"/>
    <mergeCell ref="BW171:BY172"/>
    <mergeCell ref="BZ171:CB172"/>
    <mergeCell ref="CC171:CE172"/>
    <mergeCell ref="CF171:CH172"/>
    <mergeCell ref="CI171:CK172"/>
    <mergeCell ref="BK171:BM172"/>
    <mergeCell ref="CL175:CN176"/>
    <mergeCell ref="BK175:BM176"/>
    <mergeCell ref="BN175:BP176"/>
    <mergeCell ref="BQ175:BS176"/>
    <mergeCell ref="BT175:BV176"/>
    <mergeCell ref="C175:D176"/>
    <mergeCell ref="G175:R176"/>
    <mergeCell ref="T175:AJ176"/>
    <mergeCell ref="AL175:AO176"/>
    <mergeCell ref="AL178:AO178"/>
    <mergeCell ref="DH178:DK178"/>
    <mergeCell ref="DL178:DS178"/>
    <mergeCell ref="C179:D180"/>
    <mergeCell ref="G179:R180"/>
    <mergeCell ref="T179:AJ180"/>
    <mergeCell ref="AL179:AO180"/>
    <mergeCell ref="DH175:DK176"/>
    <mergeCell ref="DL175:DS176"/>
    <mergeCell ref="AL177:AO177"/>
    <mergeCell ref="DH177:DK177"/>
    <mergeCell ref="DL177:DS177"/>
    <mergeCell ref="AR175:BG176"/>
    <mergeCell ref="CO175:CQ176"/>
    <mergeCell ref="CR175:CT176"/>
    <mergeCell ref="CU175:CW176"/>
    <mergeCell ref="CX175:CZ176"/>
    <mergeCell ref="DA175:DC176"/>
    <mergeCell ref="DD175:DF176"/>
    <mergeCell ref="BW175:BY176"/>
    <mergeCell ref="BZ175:CB176"/>
    <mergeCell ref="CC175:CE176"/>
    <mergeCell ref="CF175:CH176"/>
    <mergeCell ref="CI175:CK176"/>
    <mergeCell ref="DD179:DF180"/>
    <mergeCell ref="DH179:DK180"/>
    <mergeCell ref="DL179:DS180"/>
    <mergeCell ref="AL181:AO181"/>
    <mergeCell ref="DH181:DK181"/>
    <mergeCell ref="DL181:DS181"/>
    <mergeCell ref="AR179:BG180"/>
    <mergeCell ref="CL179:CN180"/>
    <mergeCell ref="CO179:CQ180"/>
    <mergeCell ref="CR179:CT180"/>
    <mergeCell ref="CU179:CW180"/>
    <mergeCell ref="CX179:CZ180"/>
    <mergeCell ref="DA179:DC180"/>
    <mergeCell ref="BT179:BV180"/>
    <mergeCell ref="BW179:BY180"/>
    <mergeCell ref="BZ179:CB180"/>
    <mergeCell ref="CC179:CE180"/>
    <mergeCell ref="CF179:CH180"/>
    <mergeCell ref="CI179:CK180"/>
    <mergeCell ref="BK179:BM180"/>
    <mergeCell ref="BN179:BP180"/>
    <mergeCell ref="BQ179:BS180"/>
    <mergeCell ref="CF183:CH184"/>
    <mergeCell ref="CI183:CK184"/>
    <mergeCell ref="BK183:BM184"/>
    <mergeCell ref="BN183:BP184"/>
    <mergeCell ref="BQ183:BS184"/>
    <mergeCell ref="AL182:AO182"/>
    <mergeCell ref="DH182:DK182"/>
    <mergeCell ref="DL182:DS182"/>
    <mergeCell ref="C183:D184"/>
    <mergeCell ref="G183:R184"/>
    <mergeCell ref="T183:AJ184"/>
    <mergeCell ref="AL183:AO184"/>
    <mergeCell ref="AL186:AO186"/>
    <mergeCell ref="DH186:DK186"/>
    <mergeCell ref="DL186:DS186"/>
    <mergeCell ref="C187:D188"/>
    <mergeCell ref="G187:R188"/>
    <mergeCell ref="T187:AJ188"/>
    <mergeCell ref="AL187:AO188"/>
    <mergeCell ref="DD183:DF184"/>
    <mergeCell ref="DH183:DK184"/>
    <mergeCell ref="DL183:DS184"/>
    <mergeCell ref="AL185:AO185"/>
    <mergeCell ref="DH185:DK185"/>
    <mergeCell ref="DL185:DS185"/>
    <mergeCell ref="AR183:BG184"/>
    <mergeCell ref="CL183:CN184"/>
    <mergeCell ref="CO183:CQ184"/>
    <mergeCell ref="CR183:CT184"/>
    <mergeCell ref="CU183:CW184"/>
    <mergeCell ref="CX183:CZ184"/>
    <mergeCell ref="DA183:DC184"/>
    <mergeCell ref="BT183:BV184"/>
    <mergeCell ref="BW183:BY184"/>
    <mergeCell ref="BZ183:CB184"/>
    <mergeCell ref="CC183:CE184"/>
    <mergeCell ref="DD187:DF188"/>
    <mergeCell ref="DH187:DK188"/>
    <mergeCell ref="DL187:DS188"/>
    <mergeCell ref="AL189:AO189"/>
    <mergeCell ref="DH189:DK189"/>
    <mergeCell ref="DL189:DS189"/>
    <mergeCell ref="AR187:BG188"/>
    <mergeCell ref="CL187:CN188"/>
    <mergeCell ref="CO187:CQ188"/>
    <mergeCell ref="CR187:CT188"/>
    <mergeCell ref="CU187:CW188"/>
    <mergeCell ref="CX187:CZ188"/>
    <mergeCell ref="DA187:DC188"/>
    <mergeCell ref="BT187:BV188"/>
    <mergeCell ref="BW187:BY188"/>
    <mergeCell ref="BZ187:CB188"/>
    <mergeCell ref="CC187:CE188"/>
    <mergeCell ref="CF187:CH188"/>
    <mergeCell ref="CI187:CK188"/>
    <mergeCell ref="BK187:BM188"/>
    <mergeCell ref="BN187:BP188"/>
    <mergeCell ref="BQ187:BS188"/>
    <mergeCell ref="BK191:BM192"/>
    <mergeCell ref="BN191:BP192"/>
    <mergeCell ref="BQ191:BS192"/>
    <mergeCell ref="AL190:AO190"/>
    <mergeCell ref="DH190:DK190"/>
    <mergeCell ref="DL190:DS190"/>
    <mergeCell ref="C191:D192"/>
    <mergeCell ref="G191:R192"/>
    <mergeCell ref="T191:AJ192"/>
    <mergeCell ref="AL191:AO192"/>
    <mergeCell ref="CL191:CN192"/>
    <mergeCell ref="CO191:CQ192"/>
    <mergeCell ref="CR191:CT192"/>
    <mergeCell ref="CU191:CW192"/>
    <mergeCell ref="CX191:CZ192"/>
    <mergeCell ref="DA191:DC192"/>
    <mergeCell ref="BT191:BV192"/>
    <mergeCell ref="BW191:BY192"/>
    <mergeCell ref="BZ191:CB192"/>
    <mergeCell ref="CC191:CE192"/>
    <mergeCell ref="CF191:CH192"/>
    <mergeCell ref="CI191:CK192"/>
    <mergeCell ref="A205:BI206"/>
    <mergeCell ref="A208:BI209"/>
    <mergeCell ref="AQ114:BH117"/>
    <mergeCell ref="AL202:AO202"/>
    <mergeCell ref="DH202:DK202"/>
    <mergeCell ref="DL202:DS202"/>
    <mergeCell ref="BK199:BM200"/>
    <mergeCell ref="DH199:DK200"/>
    <mergeCell ref="DL199:DT200"/>
    <mergeCell ref="AR199:BG200"/>
    <mergeCell ref="C199:D200"/>
    <mergeCell ref="G199:R200"/>
    <mergeCell ref="T199:AJ200"/>
    <mergeCell ref="AL199:AO200"/>
    <mergeCell ref="AL194:AO194"/>
    <mergeCell ref="DH194:DK194"/>
    <mergeCell ref="DL194:DS194"/>
    <mergeCell ref="DD191:DF192"/>
    <mergeCell ref="DH191:DK192"/>
    <mergeCell ref="DL191:DS192"/>
    <mergeCell ref="AL193:AO193"/>
    <mergeCell ref="DH193:DK193"/>
    <mergeCell ref="DL193:DS193"/>
    <mergeCell ref="AR191:BG192"/>
  </mergeCells>
  <dataValidations count="5">
    <dataValidation type="list" allowBlank="1" showInputMessage="1" showErrorMessage="1" sqref="N74" xr:uid="{11A07630-CDAF-4473-8582-9633A48331D2}">
      <formula1>"Not Included,Cables,Angles,Gripple"</formula1>
    </dataValidation>
    <dataValidation type="list" allowBlank="1" showInputMessage="1" showErrorMessage="1" sqref="CI111:CN112" xr:uid="{9B2D0EF5-C21D-4500-8DD0-56B2FCC05BFD}">
      <formula1>"EUR,USD,ZAR"</formula1>
    </dataValidation>
    <dataValidation type="list" allowBlank="1" showInputMessage="1" showErrorMessage="1" sqref="AO35" xr:uid="{D0BB14B7-3B5F-46C7-921C-1CF74EC01CF3}">
      <formula1>$BK$1:$BK$26</formula1>
    </dataValidation>
    <dataValidation type="list" allowBlank="1" showInputMessage="1" showErrorMessage="1" sqref="N70 N66" xr:uid="{7E24FAB7-FDA9-4377-A00D-8808BC0CC272}">
      <formula1>"Included,Not Included"</formula1>
    </dataValidation>
    <dataValidation type="list" allowBlank="1" showInputMessage="1" showErrorMessage="1" sqref="AO31" xr:uid="{36DBF575-F2E6-4805-B9E4-7AB70BD0C0B9}">
      <formula1>"10,15,20,25"</formula1>
    </dataValidation>
  </dataValidations>
  <pageMargins left="0.7" right="0.7" top="0.75" bottom="0.75" header="0.3" footer="0.3"/>
  <pageSetup paperSize="9" scale="85" fitToWidth="0" fitToHeight="0" orientation="portrait" r:id="rId1"/>
  <headerFooter>
    <oddFooter>&amp;R&amp;"Yu Gothic Medium,Regular"&amp;10Page &amp;P of &amp;N</oddFooter>
  </headerFooter>
  <rowBreaks count="1" manualBreakCount="1">
    <brk id="108" max="6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8B523-D73B-4942-B579-C6EC630ECACC}">
  <sheetPr codeName="Sheet10">
    <tabColor rgb="FF00B0F0"/>
  </sheetPr>
  <dimension ref="A1:DT190"/>
  <sheetViews>
    <sheetView view="pageBreakPreview" topLeftCell="A49" zoomScale="84" zoomScaleNormal="100" zoomScaleSheetLayoutView="130" workbookViewId="0">
      <selection activeCell="BF66" sqref="BF66:BH69"/>
    </sheetView>
  </sheetViews>
  <sheetFormatPr defaultColWidth="1.54296875" defaultRowHeight="7.4" customHeight="1" x14ac:dyDescent="0.5"/>
  <cols>
    <col min="1" max="2" width="1.54296875" style="24"/>
    <col min="3" max="3" width="1.453125" style="24" customWidth="1"/>
    <col min="4" max="6" width="1.54296875" style="24"/>
    <col min="7" max="7" width="1.54296875" style="24" customWidth="1"/>
    <col min="8" max="19" width="1.54296875" style="24"/>
    <col min="20" max="20" width="1.453125" style="24" customWidth="1"/>
    <col min="21" max="22" width="1.54296875" style="24"/>
    <col min="23" max="23" width="1.54296875" style="24" customWidth="1"/>
    <col min="24" max="30" width="1.54296875" style="24"/>
    <col min="31" max="31" width="1.54296875" style="24" customWidth="1"/>
    <col min="32" max="38" width="1.54296875" style="24"/>
    <col min="39" max="39" width="1.54296875" style="24" customWidth="1"/>
    <col min="40" max="42" width="1.54296875" style="24"/>
    <col min="43" max="44" width="1.54296875" style="24" customWidth="1"/>
    <col min="45" max="47" width="1.54296875" style="24"/>
    <col min="48" max="52" width="1.54296875" style="24" customWidth="1"/>
    <col min="53" max="54" width="1.54296875" style="24"/>
    <col min="55" max="55" width="1.453125" style="24" customWidth="1"/>
    <col min="56" max="61" width="1.54296875" style="24"/>
    <col min="62" max="62" width="0" style="24" hidden="1" customWidth="1"/>
    <col min="63" max="63" width="1.1796875" style="24" hidden="1" customWidth="1"/>
    <col min="64" max="67" width="0" style="24" hidden="1" customWidth="1"/>
    <col min="68" max="68" width="1.453125" style="24" hidden="1" customWidth="1"/>
    <col min="69" max="92" width="0" style="24" hidden="1" customWidth="1"/>
    <col min="93" max="93" width="1.453125" style="24" hidden="1" customWidth="1"/>
    <col min="94" max="111" width="0" style="24" hidden="1" customWidth="1"/>
    <col min="112" max="116" width="0" style="75" hidden="1" customWidth="1"/>
    <col min="117" max="136" width="0" style="24" hidden="1" customWidth="1"/>
    <col min="137" max="16384" width="1.54296875" style="24"/>
  </cols>
  <sheetData>
    <row r="1" spans="1:63" ht="7.4" customHeight="1" x14ac:dyDescent="0.5">
      <c r="C1" s="333" t="e" vm="6">
        <v>#VALUE!</v>
      </c>
      <c r="D1" s="333"/>
      <c r="E1" s="333"/>
      <c r="F1" s="333"/>
      <c r="G1" s="333"/>
      <c r="H1" s="333"/>
      <c r="I1" s="333"/>
      <c r="J1" s="333"/>
      <c r="K1" s="333"/>
      <c r="L1" s="333"/>
      <c r="M1" s="333"/>
      <c r="N1" s="333"/>
      <c r="O1" s="333"/>
      <c r="P1" s="333"/>
      <c r="Q1" s="333"/>
      <c r="R1" s="333"/>
      <c r="S1" s="333"/>
      <c r="T1" s="333"/>
      <c r="U1" s="333"/>
      <c r="V1" s="333"/>
      <c r="W1" s="333"/>
      <c r="X1" s="333"/>
      <c r="Y1" s="333"/>
      <c r="Z1" s="333"/>
      <c r="AA1" s="333"/>
      <c r="AB1" s="333"/>
      <c r="AC1" s="333"/>
      <c r="AD1" s="333"/>
      <c r="AE1" s="333"/>
      <c r="AF1" s="333"/>
      <c r="AG1" s="333"/>
      <c r="AH1" s="333"/>
      <c r="AI1" s="333"/>
      <c r="AN1" s="405" t="s">
        <v>0</v>
      </c>
      <c r="AO1" s="405"/>
      <c r="AP1" s="405"/>
      <c r="AQ1" s="405"/>
      <c r="AR1" s="405"/>
      <c r="AS1" s="405"/>
      <c r="AT1" s="405"/>
      <c r="AU1" s="405"/>
      <c r="AV1" s="405"/>
      <c r="AW1" s="405"/>
      <c r="AX1" s="405"/>
      <c r="AY1" s="405"/>
      <c r="AZ1" s="405"/>
      <c r="BA1" s="405"/>
      <c r="BB1" s="405"/>
      <c r="BC1" s="405"/>
      <c r="BD1" s="405"/>
      <c r="BE1" s="405"/>
      <c r="BF1" s="405"/>
      <c r="BG1" s="405"/>
      <c r="BH1" s="405"/>
      <c r="BK1" s="24" t="s">
        <v>1</v>
      </c>
    </row>
    <row r="2" spans="1:63" ht="7.4" customHeight="1" x14ac:dyDescent="0.5">
      <c r="C2" s="333"/>
      <c r="D2" s="333"/>
      <c r="E2" s="333"/>
      <c r="F2" s="333"/>
      <c r="G2" s="333"/>
      <c r="H2" s="333"/>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N2" s="405"/>
      <c r="AO2" s="405"/>
      <c r="AP2" s="405"/>
      <c r="AQ2" s="405"/>
      <c r="AR2" s="405"/>
      <c r="AS2" s="405"/>
      <c r="AT2" s="405"/>
      <c r="AU2" s="405"/>
      <c r="AV2" s="405"/>
      <c r="AW2" s="405"/>
      <c r="AX2" s="405"/>
      <c r="AY2" s="405"/>
      <c r="AZ2" s="405"/>
      <c r="BA2" s="405"/>
      <c r="BB2" s="405"/>
      <c r="BC2" s="405"/>
      <c r="BD2" s="405"/>
      <c r="BE2" s="405"/>
      <c r="BF2" s="405"/>
      <c r="BG2" s="405"/>
      <c r="BH2" s="405"/>
      <c r="BK2" s="24" t="s">
        <v>2</v>
      </c>
    </row>
    <row r="3" spans="1:63" ht="7.4" customHeight="1" x14ac:dyDescent="0.5">
      <c r="C3" s="333"/>
      <c r="D3" s="333"/>
      <c r="E3" s="333"/>
      <c r="F3" s="333"/>
      <c r="G3" s="333"/>
      <c r="H3" s="333"/>
      <c r="I3" s="333"/>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N3" s="314" t="s">
        <v>3</v>
      </c>
      <c r="AO3" s="314"/>
      <c r="AP3" s="314"/>
      <c r="AQ3" s="314"/>
      <c r="AR3" s="314"/>
      <c r="AS3" s="314"/>
      <c r="AT3" s="314"/>
      <c r="AU3" s="314"/>
      <c r="AV3" s="314"/>
      <c r="AW3" s="314"/>
      <c r="AX3" s="314"/>
      <c r="AY3" s="314"/>
      <c r="AZ3" s="314"/>
      <c r="BA3" s="314"/>
      <c r="BB3" s="314"/>
      <c r="BC3" s="314"/>
      <c r="BD3" s="314"/>
      <c r="BE3" s="314"/>
      <c r="BF3" s="314"/>
      <c r="BG3" s="314"/>
      <c r="BH3" s="314"/>
      <c r="BK3" s="24" t="s">
        <v>4</v>
      </c>
    </row>
    <row r="4" spans="1:63" ht="7.4" customHeight="1" x14ac:dyDescent="0.5">
      <c r="C4" s="333"/>
      <c r="D4" s="333"/>
      <c r="E4" s="333"/>
      <c r="F4" s="333"/>
      <c r="G4" s="333"/>
      <c r="H4" s="333"/>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N4" s="314"/>
      <c r="AO4" s="314"/>
      <c r="AP4" s="314"/>
      <c r="AQ4" s="314"/>
      <c r="AR4" s="314"/>
      <c r="AS4" s="314"/>
      <c r="AT4" s="314"/>
      <c r="AU4" s="314"/>
      <c r="AV4" s="314"/>
      <c r="AW4" s="314"/>
      <c r="AX4" s="314"/>
      <c r="AY4" s="314"/>
      <c r="AZ4" s="314"/>
      <c r="BA4" s="314"/>
      <c r="BB4" s="314"/>
      <c r="BC4" s="314"/>
      <c r="BD4" s="314"/>
      <c r="BE4" s="314"/>
      <c r="BF4" s="314"/>
      <c r="BG4" s="314"/>
      <c r="BH4" s="314"/>
      <c r="BK4" s="24" t="s">
        <v>122</v>
      </c>
    </row>
    <row r="5" spans="1:63" ht="7.4" customHeight="1" x14ac:dyDescent="0.5">
      <c r="C5" s="333"/>
      <c r="D5" s="333"/>
      <c r="E5" s="333"/>
      <c r="F5" s="333"/>
      <c r="G5" s="333"/>
      <c r="H5" s="333"/>
      <c r="I5" s="333"/>
      <c r="J5" s="333"/>
      <c r="K5" s="333"/>
      <c r="L5" s="333"/>
      <c r="M5" s="333"/>
      <c r="N5" s="333"/>
      <c r="O5" s="333"/>
      <c r="P5" s="333"/>
      <c r="Q5" s="333"/>
      <c r="R5" s="333"/>
      <c r="S5" s="333"/>
      <c r="T5" s="333"/>
      <c r="U5" s="333"/>
      <c r="V5" s="333"/>
      <c r="W5" s="333"/>
      <c r="X5" s="333"/>
      <c r="Y5" s="333"/>
      <c r="Z5" s="333"/>
      <c r="AA5" s="333"/>
      <c r="AB5" s="333"/>
      <c r="AC5" s="333"/>
      <c r="AD5" s="333"/>
      <c r="AE5" s="333"/>
      <c r="AF5" s="333"/>
      <c r="AG5" s="333"/>
      <c r="AH5" s="333"/>
      <c r="AI5" s="333"/>
      <c r="AN5" s="406" t="s">
        <v>6</v>
      </c>
      <c r="AO5" s="314"/>
      <c r="AP5" s="314"/>
      <c r="AQ5" s="314"/>
      <c r="AR5" s="314"/>
      <c r="AS5" s="314"/>
      <c r="AT5" s="314"/>
      <c r="AU5" s="314"/>
      <c r="AV5" s="314"/>
      <c r="AW5" s="314"/>
      <c r="AX5" s="314"/>
      <c r="AY5" s="314"/>
      <c r="AZ5" s="314"/>
      <c r="BA5" s="314"/>
      <c r="BB5" s="314"/>
      <c r="BC5" s="314"/>
      <c r="BD5" s="314"/>
      <c r="BE5" s="314"/>
      <c r="BF5" s="314"/>
      <c r="BG5" s="314"/>
      <c r="BH5" s="314"/>
      <c r="BK5" s="24" t="s">
        <v>5</v>
      </c>
    </row>
    <row r="6" spans="1:63" ht="7.4" customHeight="1" x14ac:dyDescent="0.5">
      <c r="C6" s="333"/>
      <c r="D6" s="333"/>
      <c r="E6" s="333"/>
      <c r="F6" s="333"/>
      <c r="G6" s="333"/>
      <c r="H6" s="333"/>
      <c r="I6" s="333"/>
      <c r="J6" s="333"/>
      <c r="K6" s="333"/>
      <c r="L6" s="333"/>
      <c r="M6" s="333"/>
      <c r="N6" s="333"/>
      <c r="O6" s="333"/>
      <c r="P6" s="333"/>
      <c r="Q6" s="333"/>
      <c r="R6" s="333"/>
      <c r="S6" s="333"/>
      <c r="T6" s="333"/>
      <c r="U6" s="333"/>
      <c r="V6" s="333"/>
      <c r="W6" s="333"/>
      <c r="X6" s="333"/>
      <c r="Y6" s="333"/>
      <c r="Z6" s="333"/>
      <c r="AA6" s="333"/>
      <c r="AB6" s="333"/>
      <c r="AC6" s="333"/>
      <c r="AD6" s="333"/>
      <c r="AE6" s="333"/>
      <c r="AF6" s="333"/>
      <c r="AG6" s="333"/>
      <c r="AH6" s="333"/>
      <c r="AI6" s="333"/>
      <c r="AN6" s="314"/>
      <c r="AO6" s="314"/>
      <c r="AP6" s="314"/>
      <c r="AQ6" s="314"/>
      <c r="AR6" s="314"/>
      <c r="AS6" s="314"/>
      <c r="AT6" s="314"/>
      <c r="AU6" s="314"/>
      <c r="AV6" s="314"/>
      <c r="AW6" s="314"/>
      <c r="AX6" s="314"/>
      <c r="AY6" s="314"/>
      <c r="AZ6" s="314"/>
      <c r="BA6" s="314"/>
      <c r="BB6" s="314"/>
      <c r="BC6" s="314"/>
      <c r="BD6" s="314"/>
      <c r="BE6" s="314"/>
      <c r="BF6" s="314"/>
      <c r="BG6" s="314"/>
      <c r="BH6" s="314"/>
      <c r="BK6" s="24" t="s">
        <v>123</v>
      </c>
    </row>
    <row r="7" spans="1:63" ht="7.4" customHeight="1" x14ac:dyDescent="0.5">
      <c r="C7" s="333"/>
      <c r="D7" s="333"/>
      <c r="E7" s="333"/>
      <c r="F7" s="333"/>
      <c r="G7" s="333"/>
      <c r="H7" s="333"/>
      <c r="I7" s="333"/>
      <c r="J7" s="333"/>
      <c r="K7" s="333"/>
      <c r="L7" s="333"/>
      <c r="M7" s="333"/>
      <c r="N7" s="333"/>
      <c r="O7" s="333"/>
      <c r="P7" s="333"/>
      <c r="Q7" s="333"/>
      <c r="R7" s="333"/>
      <c r="S7" s="333"/>
      <c r="T7" s="333"/>
      <c r="U7" s="333"/>
      <c r="V7" s="333"/>
      <c r="W7" s="333"/>
      <c r="X7" s="333"/>
      <c r="Y7" s="333"/>
      <c r="Z7" s="333"/>
      <c r="AA7" s="333"/>
      <c r="AB7" s="333"/>
      <c r="AC7" s="333"/>
      <c r="AD7" s="333"/>
      <c r="AE7" s="333"/>
      <c r="AF7" s="333"/>
      <c r="AG7" s="333"/>
      <c r="AH7" s="333"/>
      <c r="AI7" s="333"/>
      <c r="AN7" s="405" t="s">
        <v>9</v>
      </c>
      <c r="AO7" s="405"/>
      <c r="AP7" s="405"/>
      <c r="AQ7" s="405"/>
      <c r="AR7" s="405"/>
      <c r="AS7" s="405"/>
      <c r="AT7" s="405"/>
      <c r="AU7" s="405"/>
      <c r="AV7" s="405"/>
      <c r="AW7" s="405"/>
      <c r="AX7" s="405"/>
      <c r="AY7" s="405"/>
      <c r="AZ7" s="405"/>
      <c r="BA7" s="405"/>
      <c r="BB7" s="405"/>
      <c r="BC7" s="405"/>
      <c r="BD7" s="405"/>
      <c r="BE7" s="405"/>
      <c r="BF7" s="405"/>
      <c r="BG7" s="405"/>
      <c r="BH7" s="405"/>
      <c r="BK7" s="24" t="s">
        <v>8</v>
      </c>
    </row>
    <row r="8" spans="1:63" ht="7.4" customHeight="1" x14ac:dyDescent="0.5">
      <c r="C8" s="333"/>
      <c r="D8" s="333"/>
      <c r="E8" s="333"/>
      <c r="F8" s="333"/>
      <c r="G8" s="333"/>
      <c r="H8" s="333"/>
      <c r="I8" s="333"/>
      <c r="J8" s="333"/>
      <c r="K8" s="333"/>
      <c r="L8" s="333"/>
      <c r="M8" s="333"/>
      <c r="N8" s="333"/>
      <c r="O8" s="333"/>
      <c r="P8" s="333"/>
      <c r="Q8" s="333"/>
      <c r="R8" s="333"/>
      <c r="S8" s="333"/>
      <c r="T8" s="333"/>
      <c r="U8" s="333"/>
      <c r="V8" s="333"/>
      <c r="W8" s="333"/>
      <c r="X8" s="333"/>
      <c r="Y8" s="333"/>
      <c r="Z8" s="333"/>
      <c r="AA8" s="333"/>
      <c r="AB8" s="333"/>
      <c r="AC8" s="333"/>
      <c r="AD8" s="333"/>
      <c r="AE8" s="333"/>
      <c r="AF8" s="333"/>
      <c r="AG8" s="333"/>
      <c r="AH8" s="333"/>
      <c r="AI8" s="333"/>
      <c r="AN8" s="405"/>
      <c r="AO8" s="405"/>
      <c r="AP8" s="405"/>
      <c r="AQ8" s="405"/>
      <c r="AR8" s="405"/>
      <c r="AS8" s="405"/>
      <c r="AT8" s="405"/>
      <c r="AU8" s="405"/>
      <c r="AV8" s="405"/>
      <c r="AW8" s="405"/>
      <c r="AX8" s="405"/>
      <c r="AY8" s="405"/>
      <c r="AZ8" s="405"/>
      <c r="BA8" s="405"/>
      <c r="BB8" s="405"/>
      <c r="BC8" s="405"/>
      <c r="BD8" s="405"/>
      <c r="BE8" s="405"/>
      <c r="BF8" s="405"/>
      <c r="BG8" s="405"/>
      <c r="BH8" s="405"/>
      <c r="BK8" s="24" t="s">
        <v>10</v>
      </c>
    </row>
    <row r="9" spans="1:63" ht="7.4" customHeight="1" x14ac:dyDescent="0.5">
      <c r="C9" s="404"/>
      <c r="D9" s="404"/>
      <c r="E9" s="404"/>
      <c r="F9" s="404"/>
      <c r="G9" s="404"/>
      <c r="H9" s="404"/>
      <c r="I9" s="404"/>
      <c r="J9" s="404"/>
      <c r="K9" s="404"/>
      <c r="L9" s="404"/>
      <c r="M9" s="404"/>
      <c r="N9" s="404"/>
      <c r="O9" s="404"/>
      <c r="P9" s="404"/>
      <c r="Q9" s="404"/>
      <c r="R9" s="404"/>
      <c r="S9" s="404"/>
      <c r="T9" s="404"/>
      <c r="U9" s="404"/>
      <c r="V9" s="404"/>
      <c r="W9" s="404"/>
      <c r="X9" s="404"/>
      <c r="Y9" s="404"/>
      <c r="Z9" s="404"/>
      <c r="AA9" s="404"/>
      <c r="AB9" s="404"/>
      <c r="AC9" s="404"/>
      <c r="AD9" s="404"/>
      <c r="AE9" s="404"/>
      <c r="AF9" s="404"/>
      <c r="AG9" s="404"/>
      <c r="AH9" s="404"/>
      <c r="AI9" s="404"/>
      <c r="BK9" s="24" t="s">
        <v>11</v>
      </c>
    </row>
    <row r="10" spans="1:63" ht="7.4" customHeight="1" x14ac:dyDescent="0.5">
      <c r="A10" s="407" t="s">
        <v>13</v>
      </c>
      <c r="B10" s="407"/>
      <c r="C10" s="407"/>
      <c r="D10" s="407"/>
      <c r="E10" s="407"/>
      <c r="F10" s="407"/>
      <c r="G10" s="407"/>
      <c r="H10" s="407"/>
      <c r="I10" s="407"/>
      <c r="J10" s="407"/>
      <c r="K10" s="407"/>
      <c r="L10" s="407"/>
      <c r="M10" s="407"/>
      <c r="N10" s="407"/>
      <c r="O10" s="407"/>
      <c r="P10" s="407"/>
      <c r="Q10" s="407"/>
      <c r="R10" s="407"/>
      <c r="S10" s="407"/>
      <c r="T10" s="407"/>
      <c r="U10" s="407"/>
      <c r="V10" s="407"/>
      <c r="W10" s="407"/>
      <c r="X10" s="407"/>
      <c r="Y10" s="407"/>
      <c r="Z10" s="407"/>
      <c r="AA10" s="407"/>
      <c r="AB10" s="407"/>
      <c r="AC10" s="407"/>
      <c r="AD10" s="407"/>
      <c r="AE10" s="407"/>
      <c r="AF10" s="407"/>
      <c r="AG10" s="407"/>
      <c r="AH10" s="407"/>
      <c r="AI10" s="407"/>
      <c r="AJ10" s="407"/>
      <c r="AK10" s="407"/>
      <c r="AL10" s="407"/>
      <c r="AM10" s="30"/>
      <c r="AN10" s="30"/>
      <c r="AO10" s="30"/>
      <c r="AP10" s="30"/>
      <c r="AQ10" s="30"/>
      <c r="AR10" s="30"/>
      <c r="AS10" s="30"/>
      <c r="AT10" s="30"/>
      <c r="AU10" s="30"/>
      <c r="AV10" s="30"/>
      <c r="AW10" s="30"/>
      <c r="AX10" s="30"/>
      <c r="AY10" s="30"/>
      <c r="AZ10" s="30"/>
      <c r="BA10" s="30"/>
      <c r="BB10" s="30"/>
      <c r="BC10" s="30"/>
      <c r="BD10" s="30"/>
      <c r="BE10" s="30"/>
      <c r="BF10" s="30"/>
      <c r="BG10" s="30"/>
      <c r="BH10" s="30"/>
      <c r="BI10" s="31"/>
      <c r="BK10" s="24" t="s">
        <v>12</v>
      </c>
    </row>
    <row r="11" spans="1:63" ht="7.4" customHeight="1" x14ac:dyDescent="0.5">
      <c r="A11" s="407"/>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407"/>
      <c r="AE11" s="407"/>
      <c r="AF11" s="407"/>
      <c r="AG11" s="407"/>
      <c r="AH11" s="407"/>
      <c r="AI11" s="407"/>
      <c r="AJ11" s="407"/>
      <c r="AK11" s="407"/>
      <c r="AL11" s="407"/>
      <c r="AM11" s="33"/>
      <c r="AN11" s="408" t="s">
        <v>15</v>
      </c>
      <c r="AO11" s="408"/>
      <c r="AP11" s="408"/>
      <c r="AQ11" s="408"/>
      <c r="AR11" s="408"/>
      <c r="AS11" s="408"/>
      <c r="AT11" s="408"/>
      <c r="AU11" s="408"/>
      <c r="AV11" s="408"/>
      <c r="AW11" s="33"/>
      <c r="AX11" s="409" t="s">
        <v>158</v>
      </c>
      <c r="AY11" s="409"/>
      <c r="AZ11" s="409"/>
      <c r="BA11" s="409"/>
      <c r="BB11" s="409"/>
      <c r="BC11" s="409"/>
      <c r="BD11" s="409"/>
      <c r="BE11" s="409"/>
      <c r="BF11" s="409"/>
      <c r="BG11" s="409"/>
      <c r="BH11" s="409"/>
      <c r="BI11" s="34"/>
      <c r="BK11" s="24" t="s">
        <v>125</v>
      </c>
    </row>
    <row r="12" spans="1:63" ht="7.4" customHeight="1" x14ac:dyDescent="0.5">
      <c r="A12" s="407"/>
      <c r="B12" s="407"/>
      <c r="C12" s="407"/>
      <c r="D12" s="407"/>
      <c r="E12" s="407"/>
      <c r="F12" s="407"/>
      <c r="G12" s="407"/>
      <c r="H12" s="407"/>
      <c r="I12" s="407"/>
      <c r="J12" s="407"/>
      <c r="K12" s="407"/>
      <c r="L12" s="407"/>
      <c r="M12" s="407"/>
      <c r="N12" s="407"/>
      <c r="O12" s="407"/>
      <c r="P12" s="407"/>
      <c r="Q12" s="407"/>
      <c r="R12" s="407"/>
      <c r="S12" s="407"/>
      <c r="T12" s="407"/>
      <c r="U12" s="407"/>
      <c r="V12" s="407"/>
      <c r="W12" s="407"/>
      <c r="X12" s="407"/>
      <c r="Y12" s="407"/>
      <c r="Z12" s="407"/>
      <c r="AA12" s="407"/>
      <c r="AB12" s="407"/>
      <c r="AC12" s="407"/>
      <c r="AD12" s="407"/>
      <c r="AE12" s="407"/>
      <c r="AF12" s="407"/>
      <c r="AG12" s="407"/>
      <c r="AH12" s="407"/>
      <c r="AI12" s="407"/>
      <c r="AJ12" s="407"/>
      <c r="AK12" s="407"/>
      <c r="AL12" s="407"/>
      <c r="AM12" s="33"/>
      <c r="AN12" s="408"/>
      <c r="AO12" s="408"/>
      <c r="AP12" s="408"/>
      <c r="AQ12" s="408"/>
      <c r="AR12" s="408"/>
      <c r="AS12" s="408"/>
      <c r="AT12" s="408"/>
      <c r="AU12" s="408"/>
      <c r="AV12" s="408"/>
      <c r="AW12" s="33"/>
      <c r="AX12" s="409"/>
      <c r="AY12" s="409"/>
      <c r="AZ12" s="409"/>
      <c r="BA12" s="409"/>
      <c r="BB12" s="409"/>
      <c r="BC12" s="409"/>
      <c r="BD12" s="409"/>
      <c r="BE12" s="409"/>
      <c r="BF12" s="409"/>
      <c r="BG12" s="409"/>
      <c r="BH12" s="409"/>
      <c r="BI12" s="34"/>
      <c r="BK12" s="24" t="s">
        <v>14</v>
      </c>
    </row>
    <row r="13" spans="1:63" ht="7.4" customHeight="1" x14ac:dyDescent="0.5">
      <c r="A13" s="407"/>
      <c r="B13" s="407"/>
      <c r="C13" s="407"/>
      <c r="D13" s="407"/>
      <c r="E13" s="407"/>
      <c r="F13" s="407"/>
      <c r="G13" s="407"/>
      <c r="H13" s="407"/>
      <c r="I13" s="407"/>
      <c r="J13" s="407"/>
      <c r="K13" s="407"/>
      <c r="L13" s="407"/>
      <c r="M13" s="407"/>
      <c r="N13" s="407"/>
      <c r="O13" s="407"/>
      <c r="P13" s="407"/>
      <c r="Q13" s="407"/>
      <c r="R13" s="407"/>
      <c r="S13" s="407"/>
      <c r="T13" s="407"/>
      <c r="U13" s="407"/>
      <c r="V13" s="407"/>
      <c r="W13" s="407"/>
      <c r="X13" s="407"/>
      <c r="Y13" s="407"/>
      <c r="Z13" s="407"/>
      <c r="AA13" s="407"/>
      <c r="AB13" s="407"/>
      <c r="AC13" s="407"/>
      <c r="AD13" s="407"/>
      <c r="AE13" s="407"/>
      <c r="AF13" s="407"/>
      <c r="AG13" s="407"/>
      <c r="AH13" s="407"/>
      <c r="AI13" s="407"/>
      <c r="AJ13" s="407"/>
      <c r="AK13" s="407"/>
      <c r="AL13" s="407"/>
      <c r="AM13" s="33"/>
      <c r="AN13" s="408" t="s">
        <v>19</v>
      </c>
      <c r="AO13" s="408"/>
      <c r="AP13" s="408"/>
      <c r="AQ13" s="408"/>
      <c r="AR13" s="408"/>
      <c r="AS13" s="408"/>
      <c r="AT13" s="408"/>
      <c r="AU13" s="408"/>
      <c r="AV13" s="408"/>
      <c r="AW13" s="33"/>
      <c r="AX13" s="410" t="s">
        <v>20</v>
      </c>
      <c r="AY13" s="410"/>
      <c r="AZ13" s="410"/>
      <c r="BA13" s="410"/>
      <c r="BB13" s="410"/>
      <c r="BC13" s="410"/>
      <c r="BD13" s="410"/>
      <c r="BE13" s="410"/>
      <c r="BF13" s="410"/>
      <c r="BG13" s="410"/>
      <c r="BH13" s="410"/>
      <c r="BI13" s="34"/>
      <c r="BK13" s="24" t="s">
        <v>126</v>
      </c>
    </row>
    <row r="14" spans="1:63" ht="7.4" customHeight="1" x14ac:dyDescent="0.5">
      <c r="A14" s="407"/>
      <c r="B14" s="407"/>
      <c r="C14" s="407"/>
      <c r="D14" s="407"/>
      <c r="E14" s="407"/>
      <c r="F14" s="407"/>
      <c r="G14" s="407"/>
      <c r="H14" s="407"/>
      <c r="I14" s="407"/>
      <c r="J14" s="407"/>
      <c r="K14" s="407"/>
      <c r="L14" s="407"/>
      <c r="M14" s="407"/>
      <c r="N14" s="407"/>
      <c r="O14" s="407"/>
      <c r="P14" s="407"/>
      <c r="Q14" s="407"/>
      <c r="R14" s="407"/>
      <c r="S14" s="407"/>
      <c r="T14" s="407"/>
      <c r="U14" s="407"/>
      <c r="V14" s="407"/>
      <c r="W14" s="407"/>
      <c r="X14" s="407"/>
      <c r="Y14" s="407"/>
      <c r="Z14" s="407"/>
      <c r="AA14" s="407"/>
      <c r="AB14" s="407"/>
      <c r="AC14" s="407"/>
      <c r="AD14" s="407"/>
      <c r="AE14" s="407"/>
      <c r="AF14" s="407"/>
      <c r="AG14" s="407"/>
      <c r="AH14" s="407"/>
      <c r="AI14" s="407"/>
      <c r="AJ14" s="407"/>
      <c r="AK14" s="407"/>
      <c r="AL14" s="407"/>
      <c r="AM14" s="33"/>
      <c r="AN14" s="408"/>
      <c r="AO14" s="408"/>
      <c r="AP14" s="408"/>
      <c r="AQ14" s="408"/>
      <c r="AR14" s="408"/>
      <c r="AS14" s="408"/>
      <c r="AT14" s="408"/>
      <c r="AU14" s="408"/>
      <c r="AV14" s="408"/>
      <c r="AW14" s="33"/>
      <c r="AX14" s="410"/>
      <c r="AY14" s="410"/>
      <c r="AZ14" s="410"/>
      <c r="BA14" s="410"/>
      <c r="BB14" s="410"/>
      <c r="BC14" s="410"/>
      <c r="BD14" s="410"/>
      <c r="BE14" s="410"/>
      <c r="BF14" s="410"/>
      <c r="BG14" s="410"/>
      <c r="BH14" s="410"/>
      <c r="BI14" s="34"/>
      <c r="BK14" s="24" t="s">
        <v>17</v>
      </c>
    </row>
    <row r="15" spans="1:63" ht="7.4" customHeight="1" x14ac:dyDescent="0.5">
      <c r="A15" s="407"/>
      <c r="B15" s="407"/>
      <c r="C15" s="407"/>
      <c r="D15" s="407"/>
      <c r="E15" s="407"/>
      <c r="F15" s="407"/>
      <c r="G15" s="407"/>
      <c r="H15" s="407"/>
      <c r="I15" s="407"/>
      <c r="J15" s="407"/>
      <c r="K15" s="407"/>
      <c r="L15" s="407"/>
      <c r="M15" s="407"/>
      <c r="N15" s="407"/>
      <c r="O15" s="407"/>
      <c r="P15" s="407"/>
      <c r="Q15" s="407"/>
      <c r="R15" s="407"/>
      <c r="S15" s="407"/>
      <c r="T15" s="407"/>
      <c r="U15" s="407"/>
      <c r="V15" s="407"/>
      <c r="W15" s="407"/>
      <c r="X15" s="407"/>
      <c r="Y15" s="407"/>
      <c r="Z15" s="407"/>
      <c r="AA15" s="407"/>
      <c r="AB15" s="407"/>
      <c r="AC15" s="407"/>
      <c r="AD15" s="407"/>
      <c r="AE15" s="407"/>
      <c r="AF15" s="407"/>
      <c r="AG15" s="407"/>
      <c r="AH15" s="407"/>
      <c r="AI15" s="407"/>
      <c r="AJ15" s="407"/>
      <c r="AK15" s="407"/>
      <c r="AL15" s="407"/>
      <c r="AM15" s="36"/>
      <c r="AN15" s="36"/>
      <c r="AO15" s="36"/>
      <c r="AP15" s="36"/>
      <c r="AQ15" s="36"/>
      <c r="AR15" s="36"/>
      <c r="AS15" s="36"/>
      <c r="AT15" s="36"/>
      <c r="AU15" s="36"/>
      <c r="AV15" s="36"/>
      <c r="AW15" s="36"/>
      <c r="AX15" s="36"/>
      <c r="AY15" s="36"/>
      <c r="AZ15" s="36"/>
      <c r="BA15" s="36"/>
      <c r="BB15" s="36"/>
      <c r="BC15" s="36"/>
      <c r="BD15" s="36"/>
      <c r="BE15" s="36"/>
      <c r="BF15" s="36"/>
      <c r="BG15" s="36"/>
      <c r="BH15" s="36"/>
      <c r="BI15" s="37"/>
      <c r="BK15" s="24" t="s">
        <v>127</v>
      </c>
    </row>
    <row r="16" spans="1:63" ht="7.4" customHeight="1" x14ac:dyDescent="0.5">
      <c r="A16" s="58"/>
      <c r="B16" s="59"/>
      <c r="C16" s="59"/>
      <c r="D16" s="59"/>
      <c r="E16" s="59"/>
      <c r="F16" s="59"/>
      <c r="G16" s="59"/>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60"/>
      <c r="BK16" s="24" t="s">
        <v>18</v>
      </c>
    </row>
    <row r="17" spans="1:70" ht="7.4" customHeight="1" x14ac:dyDescent="0.5">
      <c r="A17" s="61"/>
      <c r="B17" s="62"/>
      <c r="C17" s="400" t="s">
        <v>25</v>
      </c>
      <c r="D17" s="400"/>
      <c r="E17" s="400"/>
      <c r="F17" s="400"/>
      <c r="G17" s="401"/>
      <c r="H17" s="401"/>
      <c r="I17" s="401"/>
      <c r="J17" s="401"/>
      <c r="K17" s="401"/>
      <c r="L17" s="401"/>
      <c r="M17" s="401"/>
      <c r="N17" s="401"/>
      <c r="O17" s="401"/>
      <c r="P17" s="401"/>
      <c r="Q17" s="401"/>
      <c r="R17" s="401"/>
      <c r="S17" s="401"/>
      <c r="T17" s="401"/>
      <c r="U17" s="401"/>
      <c r="V17" s="401"/>
      <c r="W17" s="401"/>
      <c r="X17" s="401"/>
      <c r="Y17" s="400" t="s">
        <v>26</v>
      </c>
      <c r="Z17" s="400"/>
      <c r="AA17" s="400"/>
      <c r="AB17" s="400"/>
      <c r="AC17" s="400"/>
      <c r="AD17" s="401"/>
      <c r="AE17" s="401"/>
      <c r="AF17" s="401"/>
      <c r="AG17" s="401"/>
      <c r="AH17" s="401"/>
      <c r="AI17" s="401"/>
      <c r="AJ17" s="401"/>
      <c r="AK17" s="401"/>
      <c r="AL17" s="401"/>
      <c r="AM17" s="401"/>
      <c r="AN17" s="401"/>
      <c r="AO17" s="401"/>
      <c r="AP17" s="401"/>
      <c r="AQ17" s="401"/>
      <c r="AR17" s="401"/>
      <c r="AS17" s="401"/>
      <c r="AT17" s="400" t="s">
        <v>27</v>
      </c>
      <c r="AU17" s="400"/>
      <c r="AV17" s="400"/>
      <c r="AW17" s="400"/>
      <c r="AX17" s="402">
        <f ca="1">TODAY()</f>
        <v>45960</v>
      </c>
      <c r="AY17" s="402"/>
      <c r="AZ17" s="402"/>
      <c r="BA17" s="402"/>
      <c r="BB17" s="402"/>
      <c r="BC17" s="402"/>
      <c r="BD17" s="402"/>
      <c r="BE17" s="402"/>
      <c r="BF17" s="402"/>
      <c r="BG17" s="402"/>
      <c r="BH17" s="402"/>
      <c r="BI17" s="63"/>
      <c r="BK17" s="24" t="s">
        <v>21</v>
      </c>
    </row>
    <row r="18" spans="1:70" ht="7.4" customHeight="1" x14ac:dyDescent="0.5">
      <c r="A18" s="61"/>
      <c r="B18" s="62"/>
      <c r="C18" s="400"/>
      <c r="D18" s="400"/>
      <c r="E18" s="400"/>
      <c r="F18" s="400"/>
      <c r="G18" s="401"/>
      <c r="H18" s="401"/>
      <c r="I18" s="401"/>
      <c r="J18" s="401"/>
      <c r="K18" s="401"/>
      <c r="L18" s="401"/>
      <c r="M18" s="401"/>
      <c r="N18" s="401"/>
      <c r="O18" s="401"/>
      <c r="P18" s="401"/>
      <c r="Q18" s="401"/>
      <c r="R18" s="401"/>
      <c r="S18" s="401"/>
      <c r="T18" s="401"/>
      <c r="U18" s="401"/>
      <c r="V18" s="401"/>
      <c r="W18" s="401"/>
      <c r="X18" s="401"/>
      <c r="Y18" s="400"/>
      <c r="Z18" s="400"/>
      <c r="AA18" s="400"/>
      <c r="AB18" s="400"/>
      <c r="AC18" s="400"/>
      <c r="AD18" s="401"/>
      <c r="AE18" s="401"/>
      <c r="AF18" s="401"/>
      <c r="AG18" s="401"/>
      <c r="AH18" s="401"/>
      <c r="AI18" s="401"/>
      <c r="AJ18" s="401"/>
      <c r="AK18" s="401"/>
      <c r="AL18" s="401"/>
      <c r="AM18" s="401"/>
      <c r="AN18" s="401"/>
      <c r="AO18" s="401"/>
      <c r="AP18" s="401"/>
      <c r="AQ18" s="401"/>
      <c r="AR18" s="401"/>
      <c r="AS18" s="401"/>
      <c r="AT18" s="400"/>
      <c r="AU18" s="400"/>
      <c r="AV18" s="400"/>
      <c r="AW18" s="400"/>
      <c r="AX18" s="403"/>
      <c r="AY18" s="402"/>
      <c r="AZ18" s="402"/>
      <c r="BA18" s="402"/>
      <c r="BB18" s="402"/>
      <c r="BC18" s="402"/>
      <c r="BD18" s="402"/>
      <c r="BE18" s="402"/>
      <c r="BF18" s="402"/>
      <c r="BG18" s="402"/>
      <c r="BH18" s="402"/>
      <c r="BI18" s="63"/>
      <c r="BK18" s="24" t="s">
        <v>22</v>
      </c>
    </row>
    <row r="19" spans="1:70" ht="7.4" customHeight="1" x14ac:dyDescent="0.5">
      <c r="A19" s="64"/>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6"/>
      <c r="BK19" s="24" t="s">
        <v>23</v>
      </c>
    </row>
    <row r="20" spans="1:70" ht="7.4" customHeight="1" x14ac:dyDescent="0.5">
      <c r="A20" s="38"/>
      <c r="B20" s="39"/>
      <c r="C20" s="39"/>
      <c r="D20" s="39"/>
      <c r="E20" s="39"/>
      <c r="F20" s="39"/>
      <c r="G20" s="39"/>
      <c r="H20" s="39"/>
      <c r="I20" s="39"/>
      <c r="J20" s="39"/>
      <c r="K20" s="39"/>
      <c r="L20" s="39"/>
      <c r="M20" s="39"/>
      <c r="N20" s="39"/>
      <c r="O20" s="39"/>
      <c r="P20" s="39"/>
      <c r="Q20" s="39"/>
      <c r="R20" s="39"/>
      <c r="S20" s="67"/>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9"/>
      <c r="AR20" s="39"/>
      <c r="AS20" s="39"/>
      <c r="AT20" s="39"/>
      <c r="AU20" s="39"/>
      <c r="AV20" s="39"/>
      <c r="AW20" s="39"/>
      <c r="AX20" s="39"/>
      <c r="AY20" s="39"/>
      <c r="AZ20" s="39"/>
      <c r="BA20" s="39"/>
      <c r="BB20" s="39"/>
      <c r="BC20" s="39"/>
      <c r="BD20" s="39"/>
      <c r="BE20" s="39"/>
      <c r="BF20" s="39"/>
      <c r="BG20" s="39"/>
      <c r="BH20" s="39"/>
      <c r="BI20" s="40"/>
      <c r="BK20" s="24" t="s">
        <v>24</v>
      </c>
    </row>
    <row r="21" spans="1:70" ht="7.4" customHeight="1" x14ac:dyDescent="0.5">
      <c r="A21" s="42"/>
      <c r="S21" s="70"/>
      <c r="T21" s="509" t="str">
        <f>"Roof Top Tilted Railless ("&amp;$AO$35&amp;")"</f>
        <v>Roof Top Tilted Railless (IBR)</v>
      </c>
      <c r="U21" s="509"/>
      <c r="V21" s="509"/>
      <c r="W21" s="509"/>
      <c r="X21" s="509"/>
      <c r="Y21" s="509"/>
      <c r="Z21" s="509"/>
      <c r="AA21" s="509"/>
      <c r="AB21" s="509"/>
      <c r="AC21" s="509"/>
      <c r="AD21" s="509"/>
      <c r="AE21" s="509"/>
      <c r="AF21" s="509"/>
      <c r="AG21" s="509"/>
      <c r="AH21" s="509"/>
      <c r="AI21" s="509"/>
      <c r="AJ21" s="509"/>
      <c r="AK21" s="509"/>
      <c r="AL21" s="509"/>
      <c r="AM21" s="509"/>
      <c r="AN21" s="509"/>
      <c r="AO21" s="509"/>
      <c r="AP21" s="509"/>
      <c r="AQ21" s="71"/>
      <c r="BI21" s="41"/>
      <c r="BK21" s="24" t="s">
        <v>28</v>
      </c>
    </row>
    <row r="22" spans="1:70" ht="7.4" customHeight="1" x14ac:dyDescent="0.5">
      <c r="A22" s="42"/>
      <c r="S22" s="70"/>
      <c r="T22" s="509"/>
      <c r="U22" s="509"/>
      <c r="V22" s="509"/>
      <c r="W22" s="509"/>
      <c r="X22" s="509"/>
      <c r="Y22" s="509"/>
      <c r="Z22" s="509"/>
      <c r="AA22" s="509"/>
      <c r="AB22" s="509"/>
      <c r="AC22" s="509"/>
      <c r="AD22" s="509"/>
      <c r="AE22" s="509"/>
      <c r="AF22" s="509"/>
      <c r="AG22" s="509"/>
      <c r="AH22" s="509"/>
      <c r="AI22" s="509"/>
      <c r="AJ22" s="509"/>
      <c r="AK22" s="509"/>
      <c r="AL22" s="509"/>
      <c r="AM22" s="509"/>
      <c r="AN22" s="509"/>
      <c r="AO22" s="509"/>
      <c r="AP22" s="509"/>
      <c r="AQ22" s="71"/>
      <c r="BI22" s="41"/>
    </row>
    <row r="23" spans="1:70" ht="7.4" customHeight="1" x14ac:dyDescent="0.5">
      <c r="A23" s="42"/>
      <c r="S23" s="72"/>
      <c r="T23" s="73"/>
      <c r="U23" s="73"/>
      <c r="V23" s="73"/>
      <c r="W23" s="73"/>
      <c r="X23" s="73"/>
      <c r="Y23" s="73"/>
      <c r="Z23" s="73"/>
      <c r="AA23" s="73"/>
      <c r="AB23" s="73"/>
      <c r="AC23" s="73"/>
      <c r="AD23" s="73"/>
      <c r="AE23" s="73"/>
      <c r="AF23" s="73"/>
      <c r="AG23" s="73"/>
      <c r="AH23" s="73"/>
      <c r="AI23" s="73"/>
      <c r="AJ23" s="73"/>
      <c r="AK23" s="73"/>
      <c r="AL23" s="73"/>
      <c r="AM23" s="73"/>
      <c r="AN23" s="73"/>
      <c r="AO23" s="73"/>
      <c r="AP23" s="73"/>
      <c r="AQ23" s="74"/>
      <c r="BI23" s="41"/>
    </row>
    <row r="24" spans="1:70" ht="7.4" customHeight="1" x14ac:dyDescent="0.5">
      <c r="A24" s="42"/>
      <c r="BI24" s="41"/>
    </row>
    <row r="25" spans="1:70" ht="7.4" customHeight="1" x14ac:dyDescent="0.5">
      <c r="A25" s="42"/>
      <c r="B25" s="29"/>
      <c r="C25" s="363" t="s">
        <v>59</v>
      </c>
      <c r="D25" s="363"/>
      <c r="E25" s="363"/>
      <c r="F25" s="363"/>
      <c r="G25" s="363"/>
      <c r="H25" s="363"/>
      <c r="I25" s="363"/>
      <c r="J25" s="363"/>
      <c r="K25" s="363"/>
      <c r="L25" s="363"/>
      <c r="M25" s="363"/>
      <c r="N25" s="363"/>
      <c r="O25" s="363"/>
      <c r="P25" s="363"/>
      <c r="Q25" s="363"/>
      <c r="R25" s="363"/>
      <c r="S25" s="363"/>
      <c r="T25" s="363"/>
      <c r="U25" s="363"/>
      <c r="V25" s="363"/>
      <c r="W25" s="363"/>
      <c r="X25" s="363"/>
      <c r="Y25" s="363"/>
      <c r="Z25" s="363"/>
      <c r="AA25" s="363"/>
      <c r="AB25" s="363"/>
      <c r="AC25" s="31"/>
      <c r="AE25" s="29"/>
      <c r="AF25" s="363" t="s">
        <v>60</v>
      </c>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1"/>
      <c r="BI25" s="41"/>
    </row>
    <row r="26" spans="1:70" ht="7.4" customHeight="1" x14ac:dyDescent="0.5">
      <c r="A26" s="42"/>
      <c r="B26" s="32"/>
      <c r="C26" s="366"/>
      <c r="D26" s="366"/>
      <c r="E26" s="366"/>
      <c r="F26" s="366"/>
      <c r="G26" s="366"/>
      <c r="H26" s="366"/>
      <c r="I26" s="366"/>
      <c r="J26" s="366"/>
      <c r="K26" s="366"/>
      <c r="L26" s="366"/>
      <c r="M26" s="366"/>
      <c r="N26" s="366"/>
      <c r="O26" s="366"/>
      <c r="P26" s="366"/>
      <c r="Q26" s="366"/>
      <c r="R26" s="366"/>
      <c r="S26" s="366"/>
      <c r="T26" s="366"/>
      <c r="U26" s="366"/>
      <c r="V26" s="366"/>
      <c r="W26" s="366"/>
      <c r="X26" s="366"/>
      <c r="Y26" s="366"/>
      <c r="Z26" s="366"/>
      <c r="AA26" s="366"/>
      <c r="AB26" s="366"/>
      <c r="AC26" s="34"/>
      <c r="AE26" s="32"/>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4"/>
      <c r="BI26" s="41"/>
    </row>
    <row r="27" spans="1:70" ht="7.4" customHeight="1" x14ac:dyDescent="0.5">
      <c r="A27" s="42"/>
      <c r="B27" s="32"/>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7"/>
      <c r="AE27" s="32"/>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7"/>
      <c r="BI27" s="41"/>
    </row>
    <row r="28" spans="1:70" ht="7.4" customHeight="1" x14ac:dyDescent="0.5">
      <c r="A28" s="42"/>
      <c r="B28" s="58"/>
      <c r="C28" s="503" t="s">
        <v>61</v>
      </c>
      <c r="D28" s="503"/>
      <c r="E28" s="503"/>
      <c r="F28" s="503"/>
      <c r="G28" s="503"/>
      <c r="H28" s="503"/>
      <c r="I28" s="503"/>
      <c r="J28" s="503"/>
      <c r="K28" s="503"/>
      <c r="L28" s="503"/>
      <c r="M28" s="503"/>
      <c r="N28" s="503"/>
      <c r="O28" s="503"/>
      <c r="P28" s="503"/>
      <c r="Q28" s="503"/>
      <c r="R28" s="504"/>
      <c r="S28" s="39"/>
      <c r="T28" s="380" t="str">
        <f>(J43*BC43)/1000 &amp; " kWp"</f>
        <v>60 kWp</v>
      </c>
      <c r="U28" s="380"/>
      <c r="V28" s="380"/>
      <c r="W28" s="380"/>
      <c r="X28" s="380"/>
      <c r="Y28" s="380"/>
      <c r="Z28" s="380"/>
      <c r="AA28" s="380"/>
      <c r="AB28" s="380"/>
      <c r="AC28" s="381"/>
      <c r="AD28" s="108"/>
      <c r="AE28" s="137"/>
      <c r="AF28" s="503" t="s">
        <v>62</v>
      </c>
      <c r="AG28" s="503"/>
      <c r="AH28" s="503"/>
      <c r="AI28" s="503"/>
      <c r="AJ28" s="503"/>
      <c r="AK28" s="503"/>
      <c r="AL28" s="503"/>
      <c r="AM28" s="504"/>
      <c r="AN28" s="77"/>
      <c r="AO28" s="489" t="s">
        <v>63</v>
      </c>
      <c r="AP28" s="489"/>
      <c r="AQ28" s="489"/>
      <c r="AR28" s="489"/>
      <c r="AS28" s="489"/>
      <c r="AT28" s="489"/>
      <c r="AU28" s="489"/>
      <c r="AV28" s="489"/>
      <c r="AW28" s="489"/>
      <c r="AX28" s="489"/>
      <c r="AY28" s="489"/>
      <c r="AZ28" s="489"/>
      <c r="BA28" s="489"/>
      <c r="BB28" s="489"/>
      <c r="BC28" s="489"/>
      <c r="BD28" s="489"/>
      <c r="BE28" s="489"/>
      <c r="BF28" s="489"/>
      <c r="BG28" s="489"/>
      <c r="BH28" s="490"/>
      <c r="BI28" s="124"/>
    </row>
    <row r="29" spans="1:70" ht="7.4" customHeight="1" x14ac:dyDescent="0.5">
      <c r="A29" s="42"/>
      <c r="B29" s="61"/>
      <c r="C29" s="400"/>
      <c r="D29" s="400"/>
      <c r="E29" s="400"/>
      <c r="F29" s="400"/>
      <c r="G29" s="400"/>
      <c r="H29" s="400"/>
      <c r="I29" s="400"/>
      <c r="J29" s="400"/>
      <c r="K29" s="400"/>
      <c r="L29" s="400"/>
      <c r="M29" s="400"/>
      <c r="N29" s="400"/>
      <c r="O29" s="400"/>
      <c r="P29" s="400"/>
      <c r="Q29" s="400"/>
      <c r="R29" s="448"/>
      <c r="S29" s="108"/>
      <c r="T29" s="382"/>
      <c r="U29" s="382"/>
      <c r="V29" s="382"/>
      <c r="W29" s="382"/>
      <c r="X29" s="382"/>
      <c r="Y29" s="382"/>
      <c r="Z29" s="382"/>
      <c r="AA29" s="382"/>
      <c r="AB29" s="382"/>
      <c r="AC29" s="383"/>
      <c r="AD29" s="25"/>
      <c r="AE29" s="139"/>
      <c r="AF29" s="400"/>
      <c r="AG29" s="400"/>
      <c r="AH29" s="400"/>
      <c r="AI29" s="400"/>
      <c r="AJ29" s="400"/>
      <c r="AK29" s="400"/>
      <c r="AL29" s="400"/>
      <c r="AM29" s="448"/>
      <c r="AN29" s="25"/>
      <c r="AO29" s="405"/>
      <c r="AP29" s="405"/>
      <c r="AQ29" s="405"/>
      <c r="AR29" s="405"/>
      <c r="AS29" s="405"/>
      <c r="AT29" s="405"/>
      <c r="AU29" s="405"/>
      <c r="AV29" s="405"/>
      <c r="AW29" s="405"/>
      <c r="AX29" s="405"/>
      <c r="AY29" s="405"/>
      <c r="AZ29" s="405"/>
      <c r="BA29" s="405"/>
      <c r="BB29" s="405"/>
      <c r="BC29" s="405"/>
      <c r="BD29" s="405"/>
      <c r="BE29" s="405"/>
      <c r="BF29" s="405"/>
      <c r="BG29" s="405"/>
      <c r="BH29" s="411"/>
      <c r="BI29" s="41"/>
    </row>
    <row r="30" spans="1:70" ht="7.4" customHeight="1" x14ac:dyDescent="0.5">
      <c r="A30" s="42"/>
      <c r="B30" s="61"/>
      <c r="C30" s="400"/>
      <c r="D30" s="400"/>
      <c r="E30" s="400"/>
      <c r="F30" s="400"/>
      <c r="G30" s="400"/>
      <c r="H30" s="400"/>
      <c r="I30" s="400"/>
      <c r="J30" s="400"/>
      <c r="K30" s="400"/>
      <c r="L30" s="400"/>
      <c r="M30" s="400"/>
      <c r="N30" s="400"/>
      <c r="O30" s="400"/>
      <c r="P30" s="400"/>
      <c r="Q30" s="400"/>
      <c r="R30" s="448"/>
      <c r="T30" s="388"/>
      <c r="U30" s="388"/>
      <c r="V30" s="388"/>
      <c r="W30" s="388"/>
      <c r="X30" s="388"/>
      <c r="Y30" s="388"/>
      <c r="Z30" s="388"/>
      <c r="AA30" s="388"/>
      <c r="AB30" s="388"/>
      <c r="AC30" s="389"/>
      <c r="AD30" s="25"/>
      <c r="AE30" s="139"/>
      <c r="AF30" s="400"/>
      <c r="AG30" s="400"/>
      <c r="AH30" s="400"/>
      <c r="AI30" s="400"/>
      <c r="AJ30" s="400"/>
      <c r="AK30" s="400"/>
      <c r="AL30" s="400"/>
      <c r="AM30" s="448"/>
      <c r="AN30" s="79"/>
      <c r="AO30" s="491"/>
      <c r="AP30" s="491"/>
      <c r="AQ30" s="491"/>
      <c r="AR30" s="491"/>
      <c r="AS30" s="491"/>
      <c r="AT30" s="491"/>
      <c r="AU30" s="491"/>
      <c r="AV30" s="491"/>
      <c r="AW30" s="491"/>
      <c r="AX30" s="491"/>
      <c r="AY30" s="491"/>
      <c r="AZ30" s="491"/>
      <c r="BA30" s="491"/>
      <c r="BB30" s="491"/>
      <c r="BC30" s="491"/>
      <c r="BD30" s="491"/>
      <c r="BE30" s="491"/>
      <c r="BF30" s="491"/>
      <c r="BG30" s="491"/>
      <c r="BH30" s="492"/>
      <c r="BI30" s="41"/>
      <c r="BK30" s="311">
        <v>10</v>
      </c>
      <c r="BL30" s="311"/>
      <c r="BM30" s="311">
        <v>1198</v>
      </c>
      <c r="BN30" s="311"/>
      <c r="BO30" s="311"/>
      <c r="BP30" s="311">
        <v>1351</v>
      </c>
      <c r="BQ30" s="311"/>
      <c r="BR30" s="311"/>
    </row>
    <row r="31" spans="1:70" ht="7.4" customHeight="1" x14ac:dyDescent="0.5">
      <c r="A31" s="42"/>
      <c r="B31" s="61"/>
      <c r="C31" s="400" t="s">
        <v>65</v>
      </c>
      <c r="D31" s="400"/>
      <c r="E31" s="400"/>
      <c r="F31" s="400"/>
      <c r="G31" s="400"/>
      <c r="H31" s="400"/>
      <c r="I31" s="400"/>
      <c r="J31" s="400"/>
      <c r="K31" s="400"/>
      <c r="L31" s="400"/>
      <c r="M31" s="400"/>
      <c r="N31" s="400"/>
      <c r="O31" s="400"/>
      <c r="P31" s="400"/>
      <c r="Q31" s="400"/>
      <c r="R31" s="448"/>
      <c r="S31" s="39"/>
      <c r="T31" s="489" t="s">
        <v>159</v>
      </c>
      <c r="U31" s="489"/>
      <c r="V31" s="489"/>
      <c r="W31" s="489"/>
      <c r="X31" s="489"/>
      <c r="Y31" s="489"/>
      <c r="Z31" s="489"/>
      <c r="AA31" s="489"/>
      <c r="AB31" s="489"/>
      <c r="AC31" s="490"/>
      <c r="AD31" s="25"/>
      <c r="AE31" s="139"/>
      <c r="AF31" s="400" t="s">
        <v>67</v>
      </c>
      <c r="AG31" s="400"/>
      <c r="AH31" s="400"/>
      <c r="AI31" s="400"/>
      <c r="AJ31" s="400"/>
      <c r="AK31" s="400"/>
      <c r="AL31" s="400"/>
      <c r="AM31" s="448"/>
      <c r="AN31" s="77"/>
      <c r="AO31" s="493">
        <v>10</v>
      </c>
      <c r="AP31" s="493"/>
      <c r="AQ31" s="495" t="s">
        <v>68</v>
      </c>
      <c r="AR31" s="495"/>
      <c r="AS31" s="495"/>
      <c r="AT31" s="495"/>
      <c r="AU31" s="495"/>
      <c r="AV31" s="495"/>
      <c r="AW31" s="495"/>
      <c r="AX31" s="380">
        <f>LOOKUP(AO31,BK30:BK35,IF(AE45&lt;1150,BM30:BM35,BP30:BP35))</f>
        <v>1198</v>
      </c>
      <c r="AY31" s="380"/>
      <c r="AZ31" s="380"/>
      <c r="BA31" s="497" t="s">
        <v>69</v>
      </c>
      <c r="BB31" s="497"/>
      <c r="BC31" s="481" t="s">
        <v>130</v>
      </c>
      <c r="BD31" s="481"/>
      <c r="BE31" s="481"/>
      <c r="BF31" s="481"/>
      <c r="BG31" s="481"/>
      <c r="BH31" s="482"/>
      <c r="BI31" s="41"/>
      <c r="BK31" s="311">
        <v>15</v>
      </c>
      <c r="BL31" s="311"/>
      <c r="BM31" s="311">
        <v>1222</v>
      </c>
      <c r="BN31" s="311"/>
      <c r="BO31" s="311"/>
      <c r="BP31" s="311">
        <v>1377</v>
      </c>
      <c r="BQ31" s="311"/>
      <c r="BR31" s="311"/>
    </row>
    <row r="32" spans="1:70" ht="7.4" customHeight="1" x14ac:dyDescent="0.5">
      <c r="A32" s="42"/>
      <c r="B32" s="61"/>
      <c r="C32" s="400"/>
      <c r="D32" s="400"/>
      <c r="E32" s="400"/>
      <c r="F32" s="400"/>
      <c r="G32" s="400"/>
      <c r="H32" s="400"/>
      <c r="I32" s="400"/>
      <c r="J32" s="400"/>
      <c r="K32" s="400"/>
      <c r="L32" s="400"/>
      <c r="M32" s="400"/>
      <c r="N32" s="400"/>
      <c r="O32" s="400"/>
      <c r="P32" s="400"/>
      <c r="Q32" s="400"/>
      <c r="R32" s="448"/>
      <c r="S32" s="25"/>
      <c r="T32" s="405"/>
      <c r="U32" s="405"/>
      <c r="V32" s="405"/>
      <c r="W32" s="405"/>
      <c r="X32" s="405"/>
      <c r="Y32" s="405"/>
      <c r="Z32" s="405"/>
      <c r="AA32" s="405"/>
      <c r="AB32" s="405"/>
      <c r="AC32" s="411"/>
      <c r="AD32" s="25"/>
      <c r="AE32" s="139"/>
      <c r="AF32" s="400"/>
      <c r="AG32" s="400"/>
      <c r="AH32" s="400"/>
      <c r="AI32" s="400"/>
      <c r="AJ32" s="400"/>
      <c r="AK32" s="400"/>
      <c r="AL32" s="400"/>
      <c r="AM32" s="448"/>
      <c r="AN32" s="25"/>
      <c r="AO32" s="480"/>
      <c r="AP32" s="480"/>
      <c r="AQ32" s="314"/>
      <c r="AR32" s="314"/>
      <c r="AS32" s="314"/>
      <c r="AT32" s="314"/>
      <c r="AU32" s="314"/>
      <c r="AV32" s="314"/>
      <c r="AW32" s="314"/>
      <c r="AX32" s="382"/>
      <c r="AY32" s="382"/>
      <c r="AZ32" s="382"/>
      <c r="BA32" s="498"/>
      <c r="BB32" s="498"/>
      <c r="BC32" s="483"/>
      <c r="BD32" s="483"/>
      <c r="BE32" s="483"/>
      <c r="BF32" s="483"/>
      <c r="BG32" s="483"/>
      <c r="BH32" s="484"/>
      <c r="BI32" s="41"/>
      <c r="BK32" s="311">
        <v>20</v>
      </c>
      <c r="BL32" s="311"/>
      <c r="BM32" s="311">
        <v>1256</v>
      </c>
      <c r="BN32" s="311"/>
      <c r="BO32" s="311"/>
      <c r="BP32" s="311">
        <v>1415</v>
      </c>
      <c r="BQ32" s="311"/>
      <c r="BR32" s="311"/>
    </row>
    <row r="33" spans="1:70" ht="7.4" customHeight="1" x14ac:dyDescent="0.5">
      <c r="A33" s="42"/>
      <c r="B33" s="64"/>
      <c r="C33" s="487"/>
      <c r="D33" s="487"/>
      <c r="E33" s="487"/>
      <c r="F33" s="487"/>
      <c r="G33" s="487"/>
      <c r="H33" s="487"/>
      <c r="I33" s="487"/>
      <c r="J33" s="487"/>
      <c r="K33" s="487"/>
      <c r="L33" s="487"/>
      <c r="M33" s="487"/>
      <c r="N33" s="487"/>
      <c r="O33" s="487"/>
      <c r="P33" s="487"/>
      <c r="Q33" s="487"/>
      <c r="R33" s="488"/>
      <c r="S33" s="51"/>
      <c r="T33" s="491"/>
      <c r="U33" s="491"/>
      <c r="V33" s="491"/>
      <c r="W33" s="491"/>
      <c r="X33" s="491"/>
      <c r="Y33" s="491"/>
      <c r="Z33" s="491"/>
      <c r="AA33" s="491"/>
      <c r="AB33" s="491"/>
      <c r="AC33" s="492"/>
      <c r="AD33" s="25"/>
      <c r="AE33" s="139"/>
      <c r="AF33" s="400"/>
      <c r="AG33" s="400"/>
      <c r="AH33" s="400"/>
      <c r="AI33" s="400"/>
      <c r="AJ33" s="400"/>
      <c r="AK33" s="400"/>
      <c r="AL33" s="400"/>
      <c r="AM33" s="448"/>
      <c r="AN33" s="135"/>
      <c r="AO33" s="494"/>
      <c r="AP33" s="494"/>
      <c r="AQ33" s="496"/>
      <c r="AR33" s="496"/>
      <c r="AS33" s="496"/>
      <c r="AT33" s="496"/>
      <c r="AU33" s="496"/>
      <c r="AV33" s="496"/>
      <c r="AW33" s="496"/>
      <c r="AX33" s="388"/>
      <c r="AY33" s="388"/>
      <c r="AZ33" s="388"/>
      <c r="BA33" s="499"/>
      <c r="BB33" s="499"/>
      <c r="BC33" s="485"/>
      <c r="BD33" s="485"/>
      <c r="BE33" s="485"/>
      <c r="BF33" s="485"/>
      <c r="BG33" s="485"/>
      <c r="BH33" s="486"/>
      <c r="BI33" s="41"/>
      <c r="BK33" s="311">
        <v>25</v>
      </c>
      <c r="BL33" s="311"/>
      <c r="BM33" s="311">
        <v>1302</v>
      </c>
      <c r="BN33" s="311"/>
      <c r="BO33" s="311"/>
      <c r="BP33" s="311">
        <v>1467</v>
      </c>
      <c r="BQ33" s="311"/>
      <c r="BR33" s="311"/>
    </row>
    <row r="34" spans="1:70" ht="7.4" customHeight="1" x14ac:dyDescent="0.5">
      <c r="A34" s="42"/>
      <c r="C34" s="79"/>
      <c r="D34" s="79"/>
      <c r="E34" s="79"/>
      <c r="F34" s="79"/>
      <c r="G34" s="79"/>
      <c r="H34" s="79"/>
      <c r="I34" s="79"/>
      <c r="J34" s="79"/>
      <c r="K34" s="79"/>
      <c r="L34" s="79"/>
      <c r="M34" s="79"/>
      <c r="N34" s="79"/>
      <c r="O34" s="79"/>
      <c r="P34" s="79"/>
      <c r="Q34" s="79"/>
      <c r="R34" s="79"/>
      <c r="T34" s="141"/>
      <c r="U34" s="141"/>
      <c r="V34" s="141"/>
      <c r="W34" s="141"/>
      <c r="X34" s="141"/>
      <c r="Y34" s="141"/>
      <c r="Z34" s="141"/>
      <c r="AA34" s="141"/>
      <c r="AB34" s="141"/>
      <c r="AC34" s="141"/>
      <c r="AD34" s="108"/>
      <c r="AE34" s="142"/>
      <c r="AF34" s="400" t="s">
        <v>132</v>
      </c>
      <c r="AG34" s="400"/>
      <c r="AH34" s="400"/>
      <c r="AI34" s="400"/>
      <c r="AJ34" s="400"/>
      <c r="AK34" s="400"/>
      <c r="AL34" s="400"/>
      <c r="AM34" s="448"/>
      <c r="AN34" s="79"/>
      <c r="AO34" s="79"/>
      <c r="AP34" s="79"/>
      <c r="AQ34" s="79"/>
      <c r="AR34" s="79"/>
      <c r="AS34" s="79"/>
      <c r="AT34" s="79"/>
      <c r="AU34" s="79"/>
      <c r="AV34" s="79"/>
      <c r="AW34" s="79"/>
      <c r="AX34" s="79"/>
      <c r="AY34" s="79"/>
      <c r="AZ34" s="79"/>
      <c r="BA34" s="79"/>
      <c r="BB34" s="79"/>
      <c r="BC34" s="143"/>
      <c r="BD34" s="143"/>
      <c r="BE34" s="143"/>
      <c r="BF34" s="143"/>
      <c r="BG34" s="143"/>
      <c r="BH34" s="144"/>
      <c r="BI34" s="124"/>
      <c r="BK34" s="311">
        <v>30</v>
      </c>
      <c r="BL34" s="311"/>
      <c r="BM34" s="311">
        <v>1363</v>
      </c>
      <c r="BN34" s="311"/>
      <c r="BO34" s="311"/>
      <c r="BP34" s="311">
        <v>1536</v>
      </c>
      <c r="BQ34" s="311"/>
      <c r="BR34" s="311"/>
    </row>
    <row r="35" spans="1:70" ht="7.4" customHeight="1" x14ac:dyDescent="0.5">
      <c r="A35" s="42"/>
      <c r="C35" s="79"/>
      <c r="D35" s="79"/>
      <c r="E35" s="79"/>
      <c r="F35" s="79"/>
      <c r="G35" s="79"/>
      <c r="H35" s="79"/>
      <c r="I35" s="79"/>
      <c r="J35" s="79"/>
      <c r="K35" s="79"/>
      <c r="L35" s="79"/>
      <c r="M35" s="79"/>
      <c r="N35" s="79"/>
      <c r="O35" s="79"/>
      <c r="P35" s="79"/>
      <c r="Q35" s="79"/>
      <c r="R35" s="79"/>
      <c r="S35" s="293"/>
      <c r="T35" s="141"/>
      <c r="U35" s="141"/>
      <c r="V35" s="141"/>
      <c r="W35" s="141"/>
      <c r="X35" s="141"/>
      <c r="Y35" s="141"/>
      <c r="Z35" s="141"/>
      <c r="AA35" s="141"/>
      <c r="AB35" s="141"/>
      <c r="AC35" s="141"/>
      <c r="AD35" s="25"/>
      <c r="AE35" s="139"/>
      <c r="AF35" s="400"/>
      <c r="AG35" s="400"/>
      <c r="AH35" s="400"/>
      <c r="AI35" s="400"/>
      <c r="AJ35" s="400"/>
      <c r="AK35" s="400"/>
      <c r="AL35" s="400"/>
      <c r="AM35" s="448"/>
      <c r="AN35" s="25"/>
      <c r="AO35" s="347" t="s">
        <v>14</v>
      </c>
      <c r="AP35" s="347"/>
      <c r="AQ35" s="347"/>
      <c r="AR35" s="347"/>
      <c r="AS35" s="347"/>
      <c r="AT35" s="347"/>
      <c r="AU35" s="347"/>
      <c r="AV35" s="347"/>
      <c r="AX35" s="108"/>
      <c r="AY35" s="108"/>
      <c r="AZ35" s="108"/>
      <c r="BA35" s="224"/>
      <c r="BB35" s="224"/>
      <c r="BC35" s="225"/>
      <c r="BD35" s="225"/>
      <c r="BE35" s="225"/>
      <c r="BF35" s="225"/>
      <c r="BG35" s="225"/>
      <c r="BH35" s="226"/>
      <c r="BI35" s="41"/>
      <c r="BK35" s="311"/>
      <c r="BL35" s="311"/>
      <c r="BM35" s="311"/>
      <c r="BN35" s="311"/>
      <c r="BO35" s="311"/>
      <c r="BP35" s="311"/>
      <c r="BQ35" s="311"/>
      <c r="BR35" s="311"/>
    </row>
    <row r="36" spans="1:70" ht="7.4" customHeight="1" x14ac:dyDescent="0.5">
      <c r="A36" s="42"/>
      <c r="C36" s="79"/>
      <c r="D36" s="79"/>
      <c r="E36" s="79"/>
      <c r="F36" s="79"/>
      <c r="G36" s="79"/>
      <c r="H36" s="79"/>
      <c r="I36" s="79"/>
      <c r="J36" s="79"/>
      <c r="K36" s="79"/>
      <c r="L36" s="79"/>
      <c r="M36" s="79"/>
      <c r="N36" s="79"/>
      <c r="O36" s="79"/>
      <c r="P36" s="79"/>
      <c r="Q36" s="79"/>
      <c r="R36" s="79"/>
      <c r="S36" s="293"/>
      <c r="T36" s="141"/>
      <c r="U36" s="141"/>
      <c r="V36" s="141"/>
      <c r="W36" s="141"/>
      <c r="X36" s="141"/>
      <c r="Y36" s="141"/>
      <c r="Z36" s="141"/>
      <c r="AA36" s="141"/>
      <c r="AB36" s="141"/>
      <c r="AC36" s="141"/>
      <c r="AD36" s="25"/>
      <c r="AE36" s="139"/>
      <c r="AF36" s="400"/>
      <c r="AG36" s="400"/>
      <c r="AH36" s="400"/>
      <c r="AI36" s="400"/>
      <c r="AJ36" s="400"/>
      <c r="AK36" s="400"/>
      <c r="AL36" s="400"/>
      <c r="AM36" s="448"/>
      <c r="AN36" s="25"/>
      <c r="AO36" s="347"/>
      <c r="AP36" s="347"/>
      <c r="AQ36" s="347"/>
      <c r="AR36" s="347"/>
      <c r="AS36" s="347"/>
      <c r="AT36" s="347"/>
      <c r="AU36" s="347"/>
      <c r="AV36" s="347"/>
      <c r="AX36" s="108"/>
      <c r="AY36" s="108"/>
      <c r="AZ36" s="108"/>
      <c r="BA36" s="224"/>
      <c r="BB36" s="224"/>
      <c r="BC36" s="225"/>
      <c r="BD36" s="225"/>
      <c r="BE36" s="225"/>
      <c r="BF36" s="225"/>
      <c r="BG36" s="225"/>
      <c r="BH36" s="226"/>
      <c r="BI36" s="41"/>
      <c r="BK36" s="75"/>
      <c r="BL36" s="75"/>
      <c r="BM36" s="75"/>
      <c r="BN36" s="75"/>
      <c r="BO36" s="75"/>
      <c r="BP36" s="75"/>
      <c r="BQ36" s="75"/>
      <c r="BR36" s="75"/>
    </row>
    <row r="37" spans="1:70" ht="7.4" customHeight="1" x14ac:dyDescent="0.5">
      <c r="A37" s="42"/>
      <c r="C37" s="79"/>
      <c r="D37" s="79"/>
      <c r="E37" s="79"/>
      <c r="F37" s="79"/>
      <c r="G37" s="79"/>
      <c r="H37" s="79"/>
      <c r="I37" s="79"/>
      <c r="J37" s="79"/>
      <c r="K37" s="79"/>
      <c r="L37" s="79"/>
      <c r="M37" s="79"/>
      <c r="N37" s="79"/>
      <c r="O37" s="79"/>
      <c r="P37" s="79"/>
      <c r="Q37" s="79"/>
      <c r="R37" s="79"/>
      <c r="T37" s="141"/>
      <c r="U37" s="141"/>
      <c r="V37" s="141"/>
      <c r="W37" s="141"/>
      <c r="X37" s="141"/>
      <c r="Y37" s="141"/>
      <c r="Z37" s="141"/>
      <c r="AA37" s="141"/>
      <c r="AB37" s="141"/>
      <c r="AC37" s="141"/>
      <c r="AD37" s="25"/>
      <c r="AE37" s="145"/>
      <c r="AF37" s="487"/>
      <c r="AG37" s="487"/>
      <c r="AH37" s="487"/>
      <c r="AI37" s="487"/>
      <c r="AJ37" s="487"/>
      <c r="AK37" s="487"/>
      <c r="AL37" s="487"/>
      <c r="AM37" s="488"/>
      <c r="AN37" s="135"/>
      <c r="AO37" s="135"/>
      <c r="AP37" s="135"/>
      <c r="AQ37" s="51"/>
      <c r="AR37" s="51"/>
      <c r="AS37" s="135"/>
      <c r="AT37" s="135"/>
      <c r="AU37" s="135"/>
      <c r="AV37" s="135"/>
      <c r="AW37" s="135"/>
      <c r="AX37" s="135"/>
      <c r="AY37" s="135"/>
      <c r="AZ37" s="135"/>
      <c r="BA37" s="135"/>
      <c r="BB37" s="135"/>
      <c r="BC37" s="146"/>
      <c r="BD37" s="146"/>
      <c r="BE37" s="146"/>
      <c r="BF37" s="146"/>
      <c r="BG37" s="146"/>
      <c r="BH37" s="147"/>
      <c r="BI37" s="41"/>
    </row>
    <row r="38" spans="1:70" ht="7.4" customHeight="1" x14ac:dyDescent="0.5">
      <c r="A38" s="42"/>
      <c r="X38" s="25"/>
      <c r="Y38" s="25"/>
      <c r="Z38" s="25"/>
      <c r="AA38" s="25"/>
      <c r="AB38" s="25"/>
      <c r="AC38" s="25"/>
      <c r="AD38" s="25"/>
      <c r="AE38" s="25"/>
      <c r="AF38" s="25"/>
      <c r="AG38" s="25"/>
      <c r="AH38" s="25"/>
      <c r="AI38" s="25"/>
      <c r="AJ38" s="25"/>
      <c r="AL38" s="79"/>
      <c r="AM38" s="79"/>
      <c r="AN38" s="79"/>
      <c r="AO38" s="79"/>
      <c r="AP38" s="79"/>
      <c r="AQ38" s="79"/>
      <c r="AR38" s="79"/>
      <c r="AS38" s="79"/>
      <c r="AV38" s="79"/>
      <c r="AW38" s="79"/>
      <c r="AX38" s="79"/>
      <c r="AY38" s="79"/>
      <c r="AZ38" s="79"/>
      <c r="BA38" s="79"/>
      <c r="BB38" s="79"/>
      <c r="BC38" s="79"/>
      <c r="BD38" s="79"/>
      <c r="BE38" s="79"/>
      <c r="BF38" s="79"/>
      <c r="BG38" s="79"/>
      <c r="BH38" s="79"/>
      <c r="BI38" s="41"/>
    </row>
    <row r="39" spans="1:70" ht="7.4" customHeight="1" x14ac:dyDescent="0.5">
      <c r="A39" s="42"/>
      <c r="B39" s="299" t="s">
        <v>73</v>
      </c>
      <c r="C39" s="363"/>
      <c r="D39" s="363"/>
      <c r="E39" s="363"/>
      <c r="F39" s="363"/>
      <c r="G39" s="363"/>
      <c r="H39" s="363"/>
      <c r="I39" s="363"/>
      <c r="J39" s="363"/>
      <c r="K39" s="363"/>
      <c r="L39" s="363"/>
      <c r="M39" s="363"/>
      <c r="N39" s="363"/>
      <c r="O39" s="363"/>
      <c r="P39" s="363"/>
      <c r="Q39" s="363"/>
      <c r="R39" s="363"/>
      <c r="S39" s="363"/>
      <c r="T39" s="363"/>
      <c r="U39" s="363"/>
      <c r="V39" s="363"/>
      <c r="W39" s="363"/>
      <c r="X39" s="363"/>
      <c r="Y39" s="363"/>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363"/>
      <c r="BC39" s="363"/>
      <c r="BD39" s="363"/>
      <c r="BE39" s="363"/>
      <c r="BF39" s="363"/>
      <c r="BG39" s="363"/>
      <c r="BH39" s="364"/>
      <c r="BI39" s="41"/>
    </row>
    <row r="40" spans="1:70" ht="7.4" customHeight="1" x14ac:dyDescent="0.5">
      <c r="A40" s="42"/>
      <c r="B40" s="365"/>
      <c r="C40" s="366"/>
      <c r="D40" s="366"/>
      <c r="E40" s="366"/>
      <c r="F40" s="366"/>
      <c r="G40" s="366"/>
      <c r="H40" s="366"/>
      <c r="I40" s="366"/>
      <c r="J40" s="366"/>
      <c r="K40" s="366"/>
      <c r="L40" s="366"/>
      <c r="M40" s="366"/>
      <c r="N40" s="366"/>
      <c r="O40" s="366"/>
      <c r="P40" s="366"/>
      <c r="Q40" s="366"/>
      <c r="R40" s="366"/>
      <c r="S40" s="366"/>
      <c r="T40" s="366"/>
      <c r="U40" s="366"/>
      <c r="V40" s="366"/>
      <c r="W40" s="366"/>
      <c r="X40" s="366"/>
      <c r="Y40" s="366"/>
      <c r="Z40" s="366"/>
      <c r="AA40" s="366"/>
      <c r="AB40" s="366"/>
      <c r="AC40" s="366"/>
      <c r="AD40" s="366"/>
      <c r="AE40" s="366"/>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7"/>
      <c r="BI40" s="41"/>
    </row>
    <row r="41" spans="1:70" ht="7.4" customHeight="1" x14ac:dyDescent="0.5">
      <c r="A41" s="42"/>
      <c r="B41" s="368"/>
      <c r="C41" s="369"/>
      <c r="D41" s="369"/>
      <c r="E41" s="369"/>
      <c r="F41" s="369"/>
      <c r="G41" s="369"/>
      <c r="H41" s="369"/>
      <c r="I41" s="369"/>
      <c r="J41" s="369"/>
      <c r="K41" s="369"/>
      <c r="L41" s="369"/>
      <c r="M41" s="369"/>
      <c r="N41" s="369"/>
      <c r="O41" s="369"/>
      <c r="P41" s="369"/>
      <c r="Q41" s="369"/>
      <c r="R41" s="369"/>
      <c r="S41" s="369"/>
      <c r="T41" s="369"/>
      <c r="U41" s="369"/>
      <c r="V41" s="369"/>
      <c r="W41" s="369"/>
      <c r="X41" s="369"/>
      <c r="Y41" s="369"/>
      <c r="Z41" s="369"/>
      <c r="AA41" s="369"/>
      <c r="AB41" s="369"/>
      <c r="AC41" s="369"/>
      <c r="AD41" s="369"/>
      <c r="AE41" s="369"/>
      <c r="AF41" s="369"/>
      <c r="AG41" s="369"/>
      <c r="AH41" s="369"/>
      <c r="AI41" s="369"/>
      <c r="AJ41" s="369"/>
      <c r="AK41" s="369"/>
      <c r="AL41" s="369"/>
      <c r="AM41" s="369"/>
      <c r="AN41" s="369"/>
      <c r="AO41" s="369"/>
      <c r="AP41" s="369"/>
      <c r="AQ41" s="369"/>
      <c r="AR41" s="369"/>
      <c r="AS41" s="369"/>
      <c r="AT41" s="369"/>
      <c r="AU41" s="369"/>
      <c r="AV41" s="369"/>
      <c r="AW41" s="369"/>
      <c r="AX41" s="369"/>
      <c r="AY41" s="369"/>
      <c r="AZ41" s="369"/>
      <c r="BA41" s="369"/>
      <c r="BB41" s="369"/>
      <c r="BC41" s="369"/>
      <c r="BD41" s="369"/>
      <c r="BE41" s="369"/>
      <c r="BF41" s="369"/>
      <c r="BG41" s="369"/>
      <c r="BH41" s="370"/>
      <c r="BI41" s="41"/>
    </row>
    <row r="42" spans="1:70" ht="7.4" customHeight="1" x14ac:dyDescent="0.5">
      <c r="A42" s="42"/>
      <c r="B42" s="58"/>
      <c r="C42" s="59"/>
      <c r="D42" s="59"/>
      <c r="E42" s="59"/>
      <c r="F42" s="59"/>
      <c r="G42" s="59"/>
      <c r="H42" s="60"/>
      <c r="I42" s="38"/>
      <c r="J42" s="39"/>
      <c r="K42" s="39"/>
      <c r="L42" s="39"/>
      <c r="M42" s="39"/>
      <c r="N42" s="39"/>
      <c r="O42" s="39"/>
      <c r="P42" s="58"/>
      <c r="Q42" s="59"/>
      <c r="R42" s="59"/>
      <c r="S42" s="148"/>
      <c r="T42" s="148"/>
      <c r="U42" s="149"/>
      <c r="V42" s="39"/>
      <c r="W42" s="89"/>
      <c r="X42" s="89"/>
      <c r="Y42" s="89"/>
      <c r="Z42" s="89"/>
      <c r="AA42" s="39"/>
      <c r="AB42" s="39"/>
      <c r="AC42" s="89"/>
      <c r="AD42" s="89"/>
      <c r="AE42" s="89"/>
      <c r="AF42" s="89"/>
      <c r="AG42" s="89"/>
      <c r="AH42" s="39"/>
      <c r="AI42" s="77"/>
      <c r="AJ42" s="77"/>
      <c r="AK42" s="77"/>
      <c r="AL42" s="77"/>
      <c r="AM42" s="77"/>
      <c r="AN42" s="77"/>
      <c r="AO42" s="77"/>
      <c r="AP42" s="77"/>
      <c r="AQ42" s="39"/>
      <c r="AR42" s="39"/>
      <c r="AS42" s="77"/>
      <c r="AT42" s="77"/>
      <c r="AU42" s="58"/>
      <c r="AV42" s="59"/>
      <c r="AW42" s="59"/>
      <c r="AX42" s="148"/>
      <c r="AY42" s="148"/>
      <c r="AZ42" s="148"/>
      <c r="BA42" s="150"/>
      <c r="BB42" s="39"/>
      <c r="BC42" s="39"/>
      <c r="BD42" s="39"/>
      <c r="BE42" s="77"/>
      <c r="BF42" s="77"/>
      <c r="BG42" s="77"/>
      <c r="BH42" s="138"/>
      <c r="BI42" s="41"/>
    </row>
    <row r="43" spans="1:70" ht="7.4" customHeight="1" x14ac:dyDescent="0.5">
      <c r="A43" s="42"/>
      <c r="B43" s="61"/>
      <c r="C43" s="344" t="s">
        <v>74</v>
      </c>
      <c r="D43" s="344"/>
      <c r="E43" s="344"/>
      <c r="F43" s="344"/>
      <c r="G43" s="344"/>
      <c r="H43" s="63"/>
      <c r="I43" s="42"/>
      <c r="J43" s="311">
        <f>M54*M58+P54*P58+S54*S58+V54*V58+Y54*Y58+AB54*AB58+AE54*AE58+AH54*AH58+AK54*AK58+AN54*AN58+AQ54*AQ58+AT54*AT58+AW54*AW58+AZ54*AZ58+BC54*BC58+BF54*BF58</f>
        <v>100</v>
      </c>
      <c r="K43" s="311"/>
      <c r="L43" s="311"/>
      <c r="M43" s="311"/>
      <c r="N43" s="311"/>
      <c r="P43" s="61"/>
      <c r="Q43" s="344" t="s">
        <v>75</v>
      </c>
      <c r="R43" s="344"/>
      <c r="S43" s="344"/>
      <c r="T43" s="344"/>
      <c r="U43" s="151"/>
      <c r="W43" s="453" t="s">
        <v>134</v>
      </c>
      <c r="X43" s="453"/>
      <c r="Y43" s="453"/>
      <c r="Z43" s="453"/>
      <c r="AA43" s="453"/>
      <c r="AB43" s="453"/>
      <c r="AC43" s="453"/>
      <c r="AD43" s="453"/>
      <c r="AE43" s="453"/>
      <c r="AF43" s="453"/>
      <c r="AG43" s="453"/>
      <c r="AH43" s="453"/>
      <c r="AI43" s="453"/>
      <c r="AJ43" s="453"/>
      <c r="AK43" s="453"/>
      <c r="AL43" s="453"/>
      <c r="AM43" s="453"/>
      <c r="AN43" s="453"/>
      <c r="AO43" s="453"/>
      <c r="AP43" s="453"/>
      <c r="AQ43" s="453"/>
      <c r="AR43" s="453"/>
      <c r="AS43" s="453"/>
      <c r="AT43" s="79"/>
      <c r="AU43" s="61"/>
      <c r="AV43" s="400" t="s">
        <v>77</v>
      </c>
      <c r="AW43" s="400"/>
      <c r="AX43" s="400"/>
      <c r="AY43" s="400"/>
      <c r="AZ43" s="400"/>
      <c r="BA43" s="152"/>
      <c r="BC43" s="471">
        <v>600</v>
      </c>
      <c r="BD43" s="471"/>
      <c r="BE43" s="471"/>
      <c r="BF43" s="471"/>
      <c r="BG43" s="471"/>
      <c r="BH43" s="124"/>
      <c r="BI43" s="41"/>
    </row>
    <row r="44" spans="1:70" ht="7.4" customHeight="1" x14ac:dyDescent="0.5">
      <c r="A44" s="42"/>
      <c r="B44" s="61"/>
      <c r="C44" s="344"/>
      <c r="D44" s="344"/>
      <c r="E44" s="344"/>
      <c r="F44" s="344"/>
      <c r="G44" s="344"/>
      <c r="H44" s="63"/>
      <c r="I44" s="42"/>
      <c r="J44" s="311"/>
      <c r="K44" s="311"/>
      <c r="L44" s="311"/>
      <c r="M44" s="311"/>
      <c r="N44" s="311"/>
      <c r="P44" s="61"/>
      <c r="Q44" s="344"/>
      <c r="R44" s="344"/>
      <c r="S44" s="344"/>
      <c r="T44" s="344"/>
      <c r="U44" s="151"/>
      <c r="W44" s="453"/>
      <c r="X44" s="453"/>
      <c r="Y44" s="453"/>
      <c r="Z44" s="453"/>
      <c r="AA44" s="453"/>
      <c r="AB44" s="453"/>
      <c r="AC44" s="453"/>
      <c r="AD44" s="453"/>
      <c r="AE44" s="453"/>
      <c r="AF44" s="453"/>
      <c r="AG44" s="453"/>
      <c r="AH44" s="453"/>
      <c r="AI44" s="453"/>
      <c r="AJ44" s="453"/>
      <c r="AK44" s="453"/>
      <c r="AL44" s="453"/>
      <c r="AM44" s="453"/>
      <c r="AN44" s="453"/>
      <c r="AO44" s="453"/>
      <c r="AP44" s="453"/>
      <c r="AQ44" s="453"/>
      <c r="AR44" s="453"/>
      <c r="AS44" s="453"/>
      <c r="AT44" s="79"/>
      <c r="AU44" s="61"/>
      <c r="AV44" s="400"/>
      <c r="AW44" s="400"/>
      <c r="AX44" s="400"/>
      <c r="AY44" s="400"/>
      <c r="AZ44" s="400"/>
      <c r="BA44" s="152"/>
      <c r="BC44" s="471"/>
      <c r="BD44" s="471"/>
      <c r="BE44" s="471"/>
      <c r="BF44" s="471"/>
      <c r="BG44" s="471"/>
      <c r="BH44" s="124"/>
      <c r="BI44" s="41"/>
    </row>
    <row r="45" spans="1:70" ht="7.4" customHeight="1" x14ac:dyDescent="0.5">
      <c r="A45" s="42"/>
      <c r="B45" s="61"/>
      <c r="C45" s="344"/>
      <c r="D45" s="344"/>
      <c r="E45" s="344"/>
      <c r="F45" s="344"/>
      <c r="G45" s="344"/>
      <c r="H45" s="63"/>
      <c r="I45" s="42"/>
      <c r="J45" s="311"/>
      <c r="K45" s="311"/>
      <c r="L45" s="311"/>
      <c r="M45" s="311"/>
      <c r="N45" s="311"/>
      <c r="P45" s="61"/>
      <c r="Q45" s="344"/>
      <c r="R45" s="344"/>
      <c r="S45" s="344"/>
      <c r="T45" s="344"/>
      <c r="U45" s="151"/>
      <c r="W45" s="472">
        <v>2278</v>
      </c>
      <c r="X45" s="472"/>
      <c r="Y45" s="472"/>
      <c r="Z45" s="472"/>
      <c r="AA45" s="153" t="s">
        <v>78</v>
      </c>
      <c r="AB45" s="153"/>
      <c r="AC45" s="154"/>
      <c r="AD45" s="154"/>
      <c r="AE45" s="472">
        <v>1134</v>
      </c>
      <c r="AF45" s="472"/>
      <c r="AG45" s="472"/>
      <c r="AH45" s="472"/>
      <c r="AI45" s="155" t="s">
        <v>79</v>
      </c>
      <c r="AJ45" s="155"/>
      <c r="AK45" s="155"/>
      <c r="AL45" s="155"/>
      <c r="AM45" s="472">
        <v>30</v>
      </c>
      <c r="AN45" s="472"/>
      <c r="AO45" s="472"/>
      <c r="AP45" s="472"/>
      <c r="AQ45" s="153" t="s">
        <v>80</v>
      </c>
      <c r="AR45" s="153"/>
      <c r="AS45" s="155"/>
      <c r="AT45" s="79"/>
      <c r="AU45" s="61"/>
      <c r="AV45" s="400"/>
      <c r="AW45" s="400"/>
      <c r="AX45" s="400"/>
      <c r="AY45" s="400"/>
      <c r="AZ45" s="400"/>
      <c r="BA45" s="152"/>
      <c r="BC45" s="471"/>
      <c r="BD45" s="471"/>
      <c r="BE45" s="471"/>
      <c r="BF45" s="471"/>
      <c r="BG45" s="471"/>
      <c r="BH45" s="124"/>
      <c r="BI45" s="41"/>
    </row>
    <row r="46" spans="1:70" ht="7.4" customHeight="1" x14ac:dyDescent="0.5">
      <c r="A46" s="42"/>
      <c r="B46" s="64"/>
      <c r="C46" s="65"/>
      <c r="D46" s="65"/>
      <c r="E46" s="65"/>
      <c r="F46" s="65"/>
      <c r="G46" s="65"/>
      <c r="H46" s="66"/>
      <c r="I46" s="50"/>
      <c r="J46" s="51"/>
      <c r="K46" s="51"/>
      <c r="L46" s="51"/>
      <c r="M46" s="51"/>
      <c r="N46" s="51"/>
      <c r="O46" s="51"/>
      <c r="P46" s="64"/>
      <c r="Q46" s="65"/>
      <c r="R46" s="65"/>
      <c r="S46" s="96"/>
      <c r="T46" s="96"/>
      <c r="U46" s="156"/>
      <c r="V46" s="51"/>
      <c r="W46" s="97"/>
      <c r="X46" s="97"/>
      <c r="Y46" s="97"/>
      <c r="Z46" s="97"/>
      <c r="AA46" s="51"/>
      <c r="AB46" s="51"/>
      <c r="AC46" s="97"/>
      <c r="AD46" s="97"/>
      <c r="AE46" s="97"/>
      <c r="AF46" s="97"/>
      <c r="AG46" s="97"/>
      <c r="AH46" s="51"/>
      <c r="AI46" s="135"/>
      <c r="AJ46" s="135"/>
      <c r="AK46" s="135"/>
      <c r="AL46" s="135"/>
      <c r="AM46" s="135"/>
      <c r="AN46" s="135"/>
      <c r="AO46" s="135"/>
      <c r="AP46" s="135"/>
      <c r="AQ46" s="51"/>
      <c r="AR46" s="51"/>
      <c r="AS46" s="135"/>
      <c r="AT46" s="135"/>
      <c r="AU46" s="64"/>
      <c r="AV46" s="65"/>
      <c r="AW46" s="65"/>
      <c r="AX46" s="96"/>
      <c r="AY46" s="96"/>
      <c r="AZ46" s="96"/>
      <c r="BA46" s="157"/>
      <c r="BB46" s="51"/>
      <c r="BC46" s="51"/>
      <c r="BD46" s="51"/>
      <c r="BE46" s="135"/>
      <c r="BF46" s="135"/>
      <c r="BG46" s="135"/>
      <c r="BH46" s="158"/>
      <c r="BI46" s="41"/>
    </row>
    <row r="47" spans="1:70" ht="7.4" customHeight="1" x14ac:dyDescent="0.5">
      <c r="A47" s="42"/>
      <c r="X47" s="25"/>
      <c r="Y47" s="25"/>
      <c r="Z47" s="25"/>
      <c r="AA47" s="25"/>
      <c r="AB47" s="25"/>
      <c r="AC47" s="25"/>
      <c r="AD47" s="25"/>
      <c r="AE47" s="25"/>
      <c r="AF47" s="25"/>
      <c r="AG47" s="25"/>
      <c r="AI47" s="79"/>
      <c r="AJ47" s="79"/>
      <c r="AK47" s="79"/>
      <c r="AL47" s="79"/>
      <c r="AM47" s="79"/>
      <c r="AN47" s="79"/>
      <c r="AO47" s="79"/>
      <c r="AP47" s="79"/>
      <c r="AS47" s="79"/>
      <c r="AT47" s="79"/>
      <c r="AU47" s="79"/>
      <c r="AV47" s="79"/>
      <c r="AW47" s="79"/>
      <c r="AX47" s="79"/>
      <c r="AY47" s="79"/>
      <c r="AZ47" s="79"/>
      <c r="BA47" s="79"/>
      <c r="BB47" s="79"/>
      <c r="BC47" s="79"/>
      <c r="BD47" s="79"/>
      <c r="BE47" s="79"/>
      <c r="BF47" s="79"/>
      <c r="BG47" s="79"/>
      <c r="BH47" s="79"/>
      <c r="BI47" s="41"/>
    </row>
    <row r="48" spans="1:70" ht="7.4" customHeight="1" x14ac:dyDescent="0.5">
      <c r="A48" s="42"/>
      <c r="B48" s="299" t="s">
        <v>81</v>
      </c>
      <c r="C48" s="363"/>
      <c r="D48" s="363"/>
      <c r="E48" s="363"/>
      <c r="F48" s="363"/>
      <c r="G48" s="363"/>
      <c r="H48" s="363"/>
      <c r="I48" s="363"/>
      <c r="J48" s="363"/>
      <c r="K48" s="363"/>
      <c r="L48" s="363"/>
      <c r="M48" s="363"/>
      <c r="N48" s="363"/>
      <c r="O48" s="363"/>
      <c r="P48" s="363"/>
      <c r="Q48" s="363"/>
      <c r="R48" s="363"/>
      <c r="S48" s="363"/>
      <c r="T48" s="363"/>
      <c r="U48" s="363"/>
      <c r="V48" s="363"/>
      <c r="W48" s="363"/>
      <c r="X48" s="363"/>
      <c r="Y48" s="363"/>
      <c r="Z48" s="363"/>
      <c r="AA48" s="363"/>
      <c r="AB48" s="363"/>
      <c r="AC48" s="363"/>
      <c r="AD48" s="363"/>
      <c r="AE48" s="363"/>
      <c r="AF48" s="363"/>
      <c r="AG48" s="363"/>
      <c r="AH48" s="363"/>
      <c r="AI48" s="363"/>
      <c r="AJ48" s="363"/>
      <c r="AK48" s="363"/>
      <c r="AL48" s="363"/>
      <c r="AM48" s="363"/>
      <c r="AN48" s="363"/>
      <c r="AO48" s="363"/>
      <c r="AP48" s="363"/>
      <c r="AQ48" s="363"/>
      <c r="AR48" s="363"/>
      <c r="AS48" s="363"/>
      <c r="AT48" s="363"/>
      <c r="AU48" s="363"/>
      <c r="AV48" s="363"/>
      <c r="AW48" s="363"/>
      <c r="AX48" s="363"/>
      <c r="AY48" s="363"/>
      <c r="AZ48" s="363"/>
      <c r="BA48" s="363"/>
      <c r="BB48" s="363"/>
      <c r="BC48" s="363"/>
      <c r="BD48" s="363"/>
      <c r="BE48" s="363"/>
      <c r="BF48" s="363"/>
      <c r="BG48" s="363"/>
      <c r="BH48" s="364"/>
      <c r="BI48" s="41"/>
    </row>
    <row r="49" spans="1:61" ht="7.4" customHeight="1" x14ac:dyDescent="0.5">
      <c r="A49" s="42"/>
      <c r="B49" s="365"/>
      <c r="C49" s="366"/>
      <c r="D49" s="366"/>
      <c r="E49" s="366"/>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7"/>
      <c r="BI49" s="41"/>
    </row>
    <row r="50" spans="1:61" ht="7.4" customHeight="1" x14ac:dyDescent="0.5">
      <c r="A50" s="42"/>
      <c r="B50" s="368"/>
      <c r="C50" s="369"/>
      <c r="D50" s="369"/>
      <c r="E50" s="369"/>
      <c r="F50" s="369"/>
      <c r="G50" s="369"/>
      <c r="H50" s="369"/>
      <c r="I50" s="369"/>
      <c r="J50" s="369"/>
      <c r="K50" s="369"/>
      <c r="L50" s="369"/>
      <c r="M50" s="369"/>
      <c r="N50" s="369"/>
      <c r="O50" s="369"/>
      <c r="P50" s="369"/>
      <c r="Q50" s="369"/>
      <c r="R50" s="369"/>
      <c r="S50" s="369"/>
      <c r="T50" s="369"/>
      <c r="U50" s="369"/>
      <c r="V50" s="369"/>
      <c r="W50" s="369"/>
      <c r="X50" s="369"/>
      <c r="Y50" s="369"/>
      <c r="Z50" s="369"/>
      <c r="AA50" s="369"/>
      <c r="AB50" s="369"/>
      <c r="AC50" s="369"/>
      <c r="AD50" s="369"/>
      <c r="AE50" s="369"/>
      <c r="AF50" s="369"/>
      <c r="AG50" s="369"/>
      <c r="AH50" s="369"/>
      <c r="AI50" s="369"/>
      <c r="AJ50" s="369"/>
      <c r="AK50" s="369"/>
      <c r="AL50" s="369"/>
      <c r="AM50" s="369"/>
      <c r="AN50" s="369"/>
      <c r="AO50" s="369"/>
      <c r="AP50" s="369"/>
      <c r="AQ50" s="369"/>
      <c r="AR50" s="369"/>
      <c r="AS50" s="369"/>
      <c r="AT50" s="369"/>
      <c r="AU50" s="369"/>
      <c r="AV50" s="369"/>
      <c r="AW50" s="369"/>
      <c r="AX50" s="369"/>
      <c r="AY50" s="369"/>
      <c r="AZ50" s="369"/>
      <c r="BA50" s="369"/>
      <c r="BB50" s="369"/>
      <c r="BC50" s="369"/>
      <c r="BD50" s="369"/>
      <c r="BE50" s="369"/>
      <c r="BF50" s="369"/>
      <c r="BG50" s="369"/>
      <c r="BH50" s="370"/>
      <c r="BI50" s="41"/>
    </row>
    <row r="51" spans="1:61" ht="7.4" customHeight="1" x14ac:dyDescent="0.5">
      <c r="A51" s="42"/>
      <c r="B51" s="61"/>
      <c r="C51" s="159"/>
      <c r="D51" s="159"/>
      <c r="E51" s="159"/>
      <c r="F51" s="159"/>
      <c r="G51" s="159"/>
      <c r="H51" s="159"/>
      <c r="I51" s="159"/>
      <c r="J51" s="159"/>
      <c r="K51" s="159"/>
      <c r="L51" s="151"/>
      <c r="M51" s="473">
        <v>1</v>
      </c>
      <c r="N51" s="474"/>
      <c r="O51" s="475"/>
      <c r="P51" s="473">
        <v>2</v>
      </c>
      <c r="Q51" s="474"/>
      <c r="R51" s="475"/>
      <c r="S51" s="473">
        <v>3</v>
      </c>
      <c r="T51" s="474"/>
      <c r="U51" s="475"/>
      <c r="V51" s="473">
        <v>4</v>
      </c>
      <c r="W51" s="474"/>
      <c r="X51" s="475"/>
      <c r="Y51" s="473">
        <v>5</v>
      </c>
      <c r="Z51" s="474"/>
      <c r="AA51" s="475"/>
      <c r="AB51" s="473">
        <v>6</v>
      </c>
      <c r="AC51" s="474"/>
      <c r="AD51" s="475"/>
      <c r="AE51" s="473">
        <v>7</v>
      </c>
      <c r="AF51" s="474"/>
      <c r="AG51" s="475"/>
      <c r="AH51" s="473">
        <v>8</v>
      </c>
      <c r="AI51" s="474"/>
      <c r="AJ51" s="475"/>
      <c r="AK51" s="473">
        <v>9</v>
      </c>
      <c r="AL51" s="474"/>
      <c r="AM51" s="475"/>
      <c r="AN51" s="473">
        <v>10</v>
      </c>
      <c r="AO51" s="474"/>
      <c r="AP51" s="475"/>
      <c r="AQ51" s="473">
        <v>11</v>
      </c>
      <c r="AR51" s="474"/>
      <c r="AS51" s="475"/>
      <c r="AT51" s="473">
        <v>12</v>
      </c>
      <c r="AU51" s="474"/>
      <c r="AV51" s="475"/>
      <c r="AW51" s="473">
        <v>13</v>
      </c>
      <c r="AX51" s="474"/>
      <c r="AY51" s="475"/>
      <c r="AZ51" s="473">
        <v>14</v>
      </c>
      <c r="BA51" s="474"/>
      <c r="BB51" s="475"/>
      <c r="BC51" s="473">
        <v>15</v>
      </c>
      <c r="BD51" s="474"/>
      <c r="BE51" s="475"/>
      <c r="BF51" s="473">
        <v>16</v>
      </c>
      <c r="BG51" s="474"/>
      <c r="BH51" s="475"/>
      <c r="BI51" s="41"/>
    </row>
    <row r="52" spans="1:61" ht="7.4" customHeight="1" x14ac:dyDescent="0.5">
      <c r="A52" s="42"/>
      <c r="B52" s="61"/>
      <c r="C52" s="159"/>
      <c r="D52" s="159"/>
      <c r="E52" s="159"/>
      <c r="F52" s="159"/>
      <c r="G52" s="159"/>
      <c r="H52" s="159"/>
      <c r="I52" s="159"/>
      <c r="J52" s="159"/>
      <c r="K52" s="159"/>
      <c r="L52" s="151"/>
      <c r="M52" s="473"/>
      <c r="N52" s="474"/>
      <c r="O52" s="475"/>
      <c r="P52" s="473"/>
      <c r="Q52" s="474"/>
      <c r="R52" s="475"/>
      <c r="S52" s="473"/>
      <c r="T52" s="474"/>
      <c r="U52" s="475"/>
      <c r="V52" s="473"/>
      <c r="W52" s="474"/>
      <c r="X52" s="475"/>
      <c r="Y52" s="473"/>
      <c r="Z52" s="474"/>
      <c r="AA52" s="475"/>
      <c r="AB52" s="473"/>
      <c r="AC52" s="474"/>
      <c r="AD52" s="475"/>
      <c r="AE52" s="473"/>
      <c r="AF52" s="474"/>
      <c r="AG52" s="475"/>
      <c r="AH52" s="473"/>
      <c r="AI52" s="474"/>
      <c r="AJ52" s="475"/>
      <c r="AK52" s="473"/>
      <c r="AL52" s="474"/>
      <c r="AM52" s="475"/>
      <c r="AN52" s="473"/>
      <c r="AO52" s="474"/>
      <c r="AP52" s="475"/>
      <c r="AQ52" s="473"/>
      <c r="AR52" s="474"/>
      <c r="AS52" s="475"/>
      <c r="AT52" s="473"/>
      <c r="AU52" s="474"/>
      <c r="AV52" s="475"/>
      <c r="AW52" s="473"/>
      <c r="AX52" s="474"/>
      <c r="AY52" s="475"/>
      <c r="AZ52" s="473"/>
      <c r="BA52" s="474"/>
      <c r="BB52" s="475"/>
      <c r="BC52" s="473"/>
      <c r="BD52" s="474"/>
      <c r="BE52" s="475"/>
      <c r="BF52" s="473"/>
      <c r="BG52" s="474"/>
      <c r="BH52" s="475"/>
      <c r="BI52" s="41"/>
    </row>
    <row r="53" spans="1:61" ht="7.4" customHeight="1" x14ac:dyDescent="0.5">
      <c r="A53" s="42"/>
      <c r="B53" s="61"/>
      <c r="C53" s="159"/>
      <c r="D53" s="159"/>
      <c r="E53" s="159"/>
      <c r="F53" s="159"/>
      <c r="G53" s="62"/>
      <c r="H53" s="160"/>
      <c r="I53" s="160"/>
      <c r="J53" s="160"/>
      <c r="K53" s="160"/>
      <c r="L53" s="152"/>
      <c r="M53" s="81"/>
      <c r="N53" s="77"/>
      <c r="O53" s="40"/>
      <c r="P53" s="81"/>
      <c r="Q53" s="77"/>
      <c r="R53" s="40"/>
      <c r="S53" s="81"/>
      <c r="T53" s="77"/>
      <c r="U53" s="40"/>
      <c r="V53" s="81"/>
      <c r="W53" s="77"/>
      <c r="X53" s="40"/>
      <c r="Y53" s="81"/>
      <c r="Z53" s="77"/>
      <c r="AA53" s="40"/>
      <c r="AB53" s="81"/>
      <c r="AC53" s="77"/>
      <c r="AD53" s="40"/>
      <c r="AE53" s="81"/>
      <c r="AF53" s="77"/>
      <c r="AG53" s="40"/>
      <c r="AH53" s="81"/>
      <c r="AI53" s="77"/>
      <c r="AJ53" s="40"/>
      <c r="AK53" s="81"/>
      <c r="AL53" s="77"/>
      <c r="AM53" s="40"/>
      <c r="AN53" s="81"/>
      <c r="AO53" s="77"/>
      <c r="AP53" s="40"/>
      <c r="AQ53" s="81"/>
      <c r="AR53" s="77"/>
      <c r="AS53" s="40"/>
      <c r="AT53" s="81"/>
      <c r="AU53" s="77"/>
      <c r="AV53" s="40"/>
      <c r="AW53" s="81"/>
      <c r="AX53" s="77"/>
      <c r="AY53" s="40"/>
      <c r="AZ53" s="81"/>
      <c r="BA53" s="77"/>
      <c r="BB53" s="40"/>
      <c r="BC53" s="81"/>
      <c r="BD53" s="77"/>
      <c r="BE53" s="40"/>
      <c r="BF53" s="81"/>
      <c r="BG53" s="77"/>
      <c r="BH53" s="40"/>
      <c r="BI53" s="41"/>
    </row>
    <row r="54" spans="1:61" ht="7.4" customHeight="1" x14ac:dyDescent="0.5">
      <c r="A54" s="42"/>
      <c r="B54" s="61"/>
      <c r="C54" s="400" t="s">
        <v>135</v>
      </c>
      <c r="D54" s="400"/>
      <c r="E54" s="400"/>
      <c r="F54" s="400"/>
      <c r="G54" s="400"/>
      <c r="H54" s="400"/>
      <c r="I54" s="400"/>
      <c r="J54" s="400"/>
      <c r="K54" s="400"/>
      <c r="L54" s="448"/>
      <c r="M54" s="349">
        <v>10</v>
      </c>
      <c r="N54" s="318"/>
      <c r="O54" s="350"/>
      <c r="P54" s="349">
        <v>0</v>
      </c>
      <c r="Q54" s="318"/>
      <c r="R54" s="350"/>
      <c r="S54" s="349">
        <v>0</v>
      </c>
      <c r="T54" s="318"/>
      <c r="U54" s="350"/>
      <c r="V54" s="349">
        <v>0</v>
      </c>
      <c r="W54" s="318"/>
      <c r="X54" s="350"/>
      <c r="Y54" s="349">
        <v>0</v>
      </c>
      <c r="Z54" s="318"/>
      <c r="AA54" s="350"/>
      <c r="AB54" s="349">
        <v>0</v>
      </c>
      <c r="AC54" s="318"/>
      <c r="AD54" s="350"/>
      <c r="AE54" s="349">
        <v>0</v>
      </c>
      <c r="AF54" s="318"/>
      <c r="AG54" s="350"/>
      <c r="AH54" s="349">
        <v>0</v>
      </c>
      <c r="AI54" s="318"/>
      <c r="AJ54" s="350"/>
      <c r="AK54" s="349">
        <v>0</v>
      </c>
      <c r="AL54" s="318"/>
      <c r="AM54" s="350"/>
      <c r="AN54" s="349">
        <v>0</v>
      </c>
      <c r="AO54" s="318"/>
      <c r="AP54" s="350"/>
      <c r="AQ54" s="349">
        <v>0</v>
      </c>
      <c r="AR54" s="318"/>
      <c r="AS54" s="350"/>
      <c r="AT54" s="349">
        <v>0</v>
      </c>
      <c r="AU54" s="318"/>
      <c r="AV54" s="350"/>
      <c r="AW54" s="349">
        <v>0</v>
      </c>
      <c r="AX54" s="318"/>
      <c r="AY54" s="350"/>
      <c r="AZ54" s="349">
        <v>0</v>
      </c>
      <c r="BA54" s="318"/>
      <c r="BB54" s="350"/>
      <c r="BC54" s="349">
        <v>0</v>
      </c>
      <c r="BD54" s="318"/>
      <c r="BE54" s="350"/>
      <c r="BF54" s="349">
        <v>0</v>
      </c>
      <c r="BG54" s="318"/>
      <c r="BH54" s="350"/>
      <c r="BI54" s="41"/>
    </row>
    <row r="55" spans="1:61" ht="7.4" customHeight="1" x14ac:dyDescent="0.5">
      <c r="A55" s="42"/>
      <c r="B55" s="61"/>
      <c r="C55" s="400"/>
      <c r="D55" s="400"/>
      <c r="E55" s="400"/>
      <c r="F55" s="400"/>
      <c r="G55" s="400"/>
      <c r="H55" s="400"/>
      <c r="I55" s="400"/>
      <c r="J55" s="400"/>
      <c r="K55" s="400"/>
      <c r="L55" s="448"/>
      <c r="M55" s="349"/>
      <c r="N55" s="318"/>
      <c r="O55" s="350"/>
      <c r="P55" s="349"/>
      <c r="Q55" s="318"/>
      <c r="R55" s="350"/>
      <c r="S55" s="349"/>
      <c r="T55" s="318"/>
      <c r="U55" s="350"/>
      <c r="V55" s="349"/>
      <c r="W55" s="318"/>
      <c r="X55" s="350"/>
      <c r="Y55" s="349"/>
      <c r="Z55" s="318"/>
      <c r="AA55" s="350"/>
      <c r="AB55" s="349"/>
      <c r="AC55" s="318"/>
      <c r="AD55" s="350"/>
      <c r="AE55" s="349"/>
      <c r="AF55" s="318"/>
      <c r="AG55" s="350"/>
      <c r="AH55" s="349"/>
      <c r="AI55" s="318"/>
      <c r="AJ55" s="350"/>
      <c r="AK55" s="349"/>
      <c r="AL55" s="318"/>
      <c r="AM55" s="350"/>
      <c r="AN55" s="349"/>
      <c r="AO55" s="318"/>
      <c r="AP55" s="350"/>
      <c r="AQ55" s="349"/>
      <c r="AR55" s="318"/>
      <c r="AS55" s="350"/>
      <c r="AT55" s="349"/>
      <c r="AU55" s="318"/>
      <c r="AV55" s="350"/>
      <c r="AW55" s="349"/>
      <c r="AX55" s="318"/>
      <c r="AY55" s="350"/>
      <c r="AZ55" s="349"/>
      <c r="BA55" s="318"/>
      <c r="BB55" s="350"/>
      <c r="BC55" s="349"/>
      <c r="BD55" s="318"/>
      <c r="BE55" s="350"/>
      <c r="BF55" s="349"/>
      <c r="BG55" s="318"/>
      <c r="BH55" s="350"/>
      <c r="BI55" s="41"/>
    </row>
    <row r="56" spans="1:61" ht="7.4" customHeight="1" x14ac:dyDescent="0.5">
      <c r="A56" s="42"/>
      <c r="B56" s="61"/>
      <c r="C56" s="159"/>
      <c r="D56" s="159"/>
      <c r="E56" s="159"/>
      <c r="F56" s="159"/>
      <c r="G56" s="62"/>
      <c r="H56" s="160"/>
      <c r="I56" s="160"/>
      <c r="J56" s="160"/>
      <c r="K56" s="160"/>
      <c r="L56" s="152"/>
      <c r="M56" s="161"/>
      <c r="N56" s="162"/>
      <c r="O56" s="163"/>
      <c r="P56" s="161"/>
      <c r="Q56" s="162"/>
      <c r="R56" s="163"/>
      <c r="S56" s="161"/>
      <c r="T56" s="162"/>
      <c r="U56" s="163"/>
      <c r="V56" s="161"/>
      <c r="W56" s="162"/>
      <c r="X56" s="163"/>
      <c r="Y56" s="161"/>
      <c r="Z56" s="162"/>
      <c r="AA56" s="163"/>
      <c r="AB56" s="164"/>
      <c r="AC56" s="165"/>
      <c r="AD56" s="166"/>
      <c r="AE56" s="164"/>
      <c r="AF56" s="165"/>
      <c r="AG56" s="166"/>
      <c r="AH56" s="164"/>
      <c r="AI56" s="165"/>
      <c r="AJ56" s="166"/>
      <c r="AK56" s="164"/>
      <c r="AL56" s="165"/>
      <c r="AM56" s="166"/>
      <c r="AN56" s="164"/>
      <c r="AO56" s="165"/>
      <c r="AP56" s="166"/>
      <c r="AQ56" s="164"/>
      <c r="AR56" s="165"/>
      <c r="AS56" s="166"/>
      <c r="AT56" s="164"/>
      <c r="AU56" s="165"/>
      <c r="AV56" s="166"/>
      <c r="AW56" s="164"/>
      <c r="AX56" s="165"/>
      <c r="AY56" s="166"/>
      <c r="AZ56" s="164"/>
      <c r="BA56" s="165"/>
      <c r="BB56" s="166"/>
      <c r="BC56" s="164"/>
      <c r="BD56" s="165"/>
      <c r="BE56" s="166"/>
      <c r="BF56" s="164"/>
      <c r="BG56" s="165"/>
      <c r="BH56" s="166"/>
      <c r="BI56" s="41"/>
    </row>
    <row r="57" spans="1:61" ht="7.4" customHeight="1" x14ac:dyDescent="0.5">
      <c r="A57" s="42"/>
      <c r="B57" s="61"/>
      <c r="C57" s="159"/>
      <c r="D57" s="159"/>
      <c r="E57" s="159"/>
      <c r="F57" s="159"/>
      <c r="G57" s="62"/>
      <c r="H57" s="160"/>
      <c r="I57" s="160"/>
      <c r="J57" s="160"/>
      <c r="K57" s="160"/>
      <c r="L57" s="152"/>
      <c r="M57" s="167"/>
      <c r="N57" s="168"/>
      <c r="O57" s="169"/>
      <c r="P57" s="167"/>
      <c r="Q57" s="168"/>
      <c r="R57" s="169"/>
      <c r="S57" s="167"/>
      <c r="T57" s="168"/>
      <c r="U57" s="169"/>
      <c r="V57" s="167"/>
      <c r="W57" s="168"/>
      <c r="X57" s="169"/>
      <c r="Y57" s="167"/>
      <c r="Z57" s="168"/>
      <c r="AA57" s="169"/>
      <c r="AB57" s="170"/>
      <c r="AC57" s="171"/>
      <c r="AD57" s="172"/>
      <c r="AE57" s="170"/>
      <c r="AF57" s="171"/>
      <c r="AG57" s="172"/>
      <c r="AH57" s="170"/>
      <c r="AI57" s="171"/>
      <c r="AJ57" s="172"/>
      <c r="AK57" s="170"/>
      <c r="AL57" s="171"/>
      <c r="AM57" s="172"/>
      <c r="AN57" s="170"/>
      <c r="AO57" s="171"/>
      <c r="AP57" s="172"/>
      <c r="AQ57" s="170"/>
      <c r="AR57" s="171"/>
      <c r="AS57" s="172"/>
      <c r="AT57" s="170"/>
      <c r="AU57" s="171"/>
      <c r="AV57" s="172"/>
      <c r="AW57" s="170"/>
      <c r="AX57" s="171"/>
      <c r="AY57" s="172"/>
      <c r="AZ57" s="170"/>
      <c r="BA57" s="171"/>
      <c r="BB57" s="172"/>
      <c r="BC57" s="170"/>
      <c r="BD57" s="171"/>
      <c r="BE57" s="172"/>
      <c r="BF57" s="170"/>
      <c r="BG57" s="171"/>
      <c r="BH57" s="172"/>
      <c r="BI57" s="41"/>
    </row>
    <row r="58" spans="1:61" ht="7.4" customHeight="1" x14ac:dyDescent="0.5">
      <c r="A58" s="42"/>
      <c r="B58" s="61"/>
      <c r="C58" s="400" t="s">
        <v>136</v>
      </c>
      <c r="D58" s="400"/>
      <c r="E58" s="400"/>
      <c r="F58" s="400"/>
      <c r="G58" s="400"/>
      <c r="H58" s="400"/>
      <c r="I58" s="400"/>
      <c r="J58" s="400"/>
      <c r="K58" s="400"/>
      <c r="L58" s="448"/>
      <c r="M58" s="349">
        <v>10</v>
      </c>
      <c r="N58" s="318"/>
      <c r="O58" s="350"/>
      <c r="P58" s="349">
        <v>0</v>
      </c>
      <c r="Q58" s="318"/>
      <c r="R58" s="350"/>
      <c r="S58" s="349">
        <v>0</v>
      </c>
      <c r="T58" s="318"/>
      <c r="U58" s="350"/>
      <c r="V58" s="349">
        <v>0</v>
      </c>
      <c r="W58" s="318"/>
      <c r="X58" s="350"/>
      <c r="Y58" s="349">
        <v>0</v>
      </c>
      <c r="Z58" s="318"/>
      <c r="AA58" s="350"/>
      <c r="AB58" s="349">
        <v>0</v>
      </c>
      <c r="AC58" s="318"/>
      <c r="AD58" s="350"/>
      <c r="AE58" s="349">
        <v>0</v>
      </c>
      <c r="AF58" s="318"/>
      <c r="AG58" s="350"/>
      <c r="AH58" s="349">
        <v>0</v>
      </c>
      <c r="AI58" s="318"/>
      <c r="AJ58" s="350"/>
      <c r="AK58" s="349">
        <v>0</v>
      </c>
      <c r="AL58" s="318"/>
      <c r="AM58" s="350"/>
      <c r="AN58" s="349">
        <v>0</v>
      </c>
      <c r="AO58" s="318"/>
      <c r="AP58" s="350"/>
      <c r="AQ58" s="349">
        <v>0</v>
      </c>
      <c r="AR58" s="318"/>
      <c r="AS58" s="350"/>
      <c r="AT58" s="349">
        <v>0</v>
      </c>
      <c r="AU58" s="318"/>
      <c r="AV58" s="350"/>
      <c r="AW58" s="349">
        <v>0</v>
      </c>
      <c r="AX58" s="318"/>
      <c r="AY58" s="350"/>
      <c r="AZ58" s="349">
        <v>0</v>
      </c>
      <c r="BA58" s="318"/>
      <c r="BB58" s="350"/>
      <c r="BC58" s="349">
        <v>0</v>
      </c>
      <c r="BD58" s="318"/>
      <c r="BE58" s="350"/>
      <c r="BF58" s="349">
        <v>0</v>
      </c>
      <c r="BG58" s="318"/>
      <c r="BH58" s="350"/>
      <c r="BI58" s="41"/>
    </row>
    <row r="59" spans="1:61" ht="7.4" customHeight="1" x14ac:dyDescent="0.5">
      <c r="A59" s="42"/>
      <c r="B59" s="61"/>
      <c r="C59" s="400"/>
      <c r="D59" s="400"/>
      <c r="E59" s="400"/>
      <c r="F59" s="400"/>
      <c r="G59" s="400"/>
      <c r="H59" s="400"/>
      <c r="I59" s="400"/>
      <c r="J59" s="400"/>
      <c r="K59" s="400"/>
      <c r="L59" s="448"/>
      <c r="M59" s="349"/>
      <c r="N59" s="318"/>
      <c r="O59" s="350"/>
      <c r="P59" s="349"/>
      <c r="Q59" s="318"/>
      <c r="R59" s="350"/>
      <c r="S59" s="349"/>
      <c r="T59" s="318"/>
      <c r="U59" s="350"/>
      <c r="V59" s="349"/>
      <c r="W59" s="318"/>
      <c r="X59" s="350"/>
      <c r="Y59" s="349"/>
      <c r="Z59" s="318"/>
      <c r="AA59" s="350"/>
      <c r="AB59" s="349"/>
      <c r="AC59" s="318"/>
      <c r="AD59" s="350"/>
      <c r="AE59" s="349"/>
      <c r="AF59" s="318"/>
      <c r="AG59" s="350"/>
      <c r="AH59" s="349"/>
      <c r="AI59" s="318"/>
      <c r="AJ59" s="350"/>
      <c r="AK59" s="349"/>
      <c r="AL59" s="318"/>
      <c r="AM59" s="350"/>
      <c r="AN59" s="349"/>
      <c r="AO59" s="318"/>
      <c r="AP59" s="350"/>
      <c r="AQ59" s="349"/>
      <c r="AR59" s="318"/>
      <c r="AS59" s="350"/>
      <c r="AT59" s="349"/>
      <c r="AU59" s="318"/>
      <c r="AV59" s="350"/>
      <c r="AW59" s="349"/>
      <c r="AX59" s="318"/>
      <c r="AY59" s="350"/>
      <c r="AZ59" s="349"/>
      <c r="BA59" s="318"/>
      <c r="BB59" s="350"/>
      <c r="BC59" s="349"/>
      <c r="BD59" s="318"/>
      <c r="BE59" s="350"/>
      <c r="BF59" s="349"/>
      <c r="BG59" s="318"/>
      <c r="BH59" s="350"/>
      <c r="BI59" s="41"/>
    </row>
    <row r="60" spans="1:61" ht="7.4" customHeight="1" x14ac:dyDescent="0.5">
      <c r="A60" s="42"/>
      <c r="B60" s="64"/>
      <c r="C60" s="96"/>
      <c r="D60" s="96"/>
      <c r="E60" s="96"/>
      <c r="F60" s="96"/>
      <c r="G60" s="65"/>
      <c r="H60" s="173"/>
      <c r="I60" s="173"/>
      <c r="J60" s="173"/>
      <c r="K60" s="173"/>
      <c r="L60" s="157"/>
      <c r="M60" s="174"/>
      <c r="N60" s="135"/>
      <c r="O60" s="52"/>
      <c r="P60" s="174"/>
      <c r="Q60" s="135"/>
      <c r="R60" s="52"/>
      <c r="S60" s="174"/>
      <c r="T60" s="135"/>
      <c r="U60" s="52"/>
      <c r="V60" s="174"/>
      <c r="W60" s="135"/>
      <c r="X60" s="52"/>
      <c r="Y60" s="174"/>
      <c r="Z60" s="135"/>
      <c r="AA60" s="52"/>
      <c r="AB60" s="174"/>
      <c r="AC60" s="135"/>
      <c r="AD60" s="52"/>
      <c r="AE60" s="174"/>
      <c r="AF60" s="135"/>
      <c r="AG60" s="52"/>
      <c r="AH60" s="174"/>
      <c r="AI60" s="135"/>
      <c r="AJ60" s="52"/>
      <c r="AK60" s="174"/>
      <c r="AL60" s="135"/>
      <c r="AM60" s="52"/>
      <c r="AN60" s="174"/>
      <c r="AO60" s="135"/>
      <c r="AP60" s="52"/>
      <c r="AQ60" s="174"/>
      <c r="AR60" s="135"/>
      <c r="AS60" s="52"/>
      <c r="AT60" s="174"/>
      <c r="AU60" s="135"/>
      <c r="AV60" s="52"/>
      <c r="AW60" s="174"/>
      <c r="AX60" s="135"/>
      <c r="AY60" s="52"/>
      <c r="AZ60" s="174"/>
      <c r="BA60" s="135"/>
      <c r="BB60" s="52"/>
      <c r="BC60" s="174"/>
      <c r="BD60" s="135"/>
      <c r="BE60" s="52"/>
      <c r="BF60" s="174"/>
      <c r="BG60" s="135"/>
      <c r="BH60" s="52"/>
      <c r="BI60" s="41"/>
    </row>
    <row r="61" spans="1:61" ht="7.4" customHeight="1" x14ac:dyDescent="0.5">
      <c r="A61" s="42"/>
      <c r="R61" s="25"/>
      <c r="S61" s="25"/>
      <c r="T61" s="25"/>
      <c r="U61" s="25"/>
      <c r="V61" s="25"/>
      <c r="W61" s="25"/>
      <c r="X61" s="25"/>
      <c r="Y61" s="25"/>
      <c r="Z61" s="25"/>
      <c r="AS61" s="79"/>
      <c r="AT61" s="79"/>
      <c r="AU61" s="79"/>
      <c r="AV61" s="79"/>
      <c r="AW61" s="79"/>
      <c r="AX61" s="79"/>
      <c r="AY61" s="79"/>
      <c r="AZ61" s="79"/>
      <c r="BA61" s="79"/>
      <c r="BB61" s="79"/>
      <c r="BE61" s="79"/>
      <c r="BF61" s="79"/>
      <c r="BG61" s="79"/>
      <c r="BH61" s="79"/>
      <c r="BI61" s="41"/>
    </row>
    <row r="62" spans="1:61" ht="7.4" customHeight="1" x14ac:dyDescent="0.5">
      <c r="A62" s="42"/>
      <c r="B62" s="299" t="s">
        <v>83</v>
      </c>
      <c r="C62" s="363"/>
      <c r="D62" s="363"/>
      <c r="E62" s="363"/>
      <c r="F62" s="363"/>
      <c r="G62" s="363"/>
      <c r="H62" s="363"/>
      <c r="I62" s="363"/>
      <c r="J62" s="363"/>
      <c r="K62" s="363"/>
      <c r="L62" s="363"/>
      <c r="M62" s="363"/>
      <c r="N62" s="363"/>
      <c r="O62" s="363"/>
      <c r="P62" s="363"/>
      <c r="Q62" s="363"/>
      <c r="R62" s="363"/>
      <c r="S62" s="363"/>
      <c r="T62" s="363"/>
      <c r="U62" s="364"/>
      <c r="AQ62" s="79"/>
      <c r="AR62" s="299" t="s">
        <v>37</v>
      </c>
      <c r="AS62" s="363"/>
      <c r="AT62" s="363"/>
      <c r="AU62" s="363"/>
      <c r="AV62" s="363"/>
      <c r="AW62" s="363"/>
      <c r="AX62" s="363"/>
      <c r="AY62" s="363"/>
      <c r="AZ62" s="363"/>
      <c r="BA62" s="363"/>
      <c r="BB62" s="363"/>
      <c r="BC62" s="363"/>
      <c r="BD62" s="363"/>
      <c r="BE62" s="363"/>
      <c r="BF62" s="363"/>
      <c r="BG62" s="363"/>
      <c r="BH62" s="364"/>
      <c r="BI62" s="41"/>
    </row>
    <row r="63" spans="1:61" ht="7.4" customHeight="1" x14ac:dyDescent="0.5">
      <c r="A63" s="42"/>
      <c r="B63" s="365"/>
      <c r="C63" s="366"/>
      <c r="D63" s="366"/>
      <c r="E63" s="366"/>
      <c r="F63" s="366"/>
      <c r="G63" s="366"/>
      <c r="H63" s="366"/>
      <c r="I63" s="366"/>
      <c r="J63" s="366"/>
      <c r="K63" s="366"/>
      <c r="L63" s="366"/>
      <c r="M63" s="366"/>
      <c r="N63" s="366"/>
      <c r="O63" s="366"/>
      <c r="P63" s="366"/>
      <c r="Q63" s="366"/>
      <c r="R63" s="366"/>
      <c r="S63" s="366"/>
      <c r="T63" s="366"/>
      <c r="U63" s="367"/>
      <c r="AQ63" s="79"/>
      <c r="AR63" s="365"/>
      <c r="AS63" s="366"/>
      <c r="AT63" s="366"/>
      <c r="AU63" s="366"/>
      <c r="AV63" s="366"/>
      <c r="AW63" s="366"/>
      <c r="AX63" s="366"/>
      <c r="AY63" s="366"/>
      <c r="AZ63" s="366"/>
      <c r="BA63" s="366"/>
      <c r="BB63" s="366"/>
      <c r="BC63" s="366"/>
      <c r="BD63" s="366"/>
      <c r="BE63" s="366"/>
      <c r="BF63" s="366"/>
      <c r="BG63" s="366"/>
      <c r="BH63" s="367"/>
      <c r="BI63" s="41"/>
    </row>
    <row r="64" spans="1:61" ht="7.4" customHeight="1" x14ac:dyDescent="0.5">
      <c r="A64" s="42"/>
      <c r="B64" s="368"/>
      <c r="C64" s="369"/>
      <c r="D64" s="369"/>
      <c r="E64" s="369"/>
      <c r="F64" s="369"/>
      <c r="G64" s="369"/>
      <c r="H64" s="369"/>
      <c r="I64" s="369"/>
      <c r="J64" s="369"/>
      <c r="K64" s="369"/>
      <c r="L64" s="369"/>
      <c r="M64" s="369"/>
      <c r="N64" s="369"/>
      <c r="O64" s="369"/>
      <c r="P64" s="369"/>
      <c r="Q64" s="369"/>
      <c r="R64" s="369"/>
      <c r="S64" s="369"/>
      <c r="T64" s="369"/>
      <c r="U64" s="370"/>
      <c r="AQ64" s="79"/>
      <c r="AR64" s="368"/>
      <c r="AS64" s="369"/>
      <c r="AT64" s="369"/>
      <c r="AU64" s="369"/>
      <c r="AV64" s="369"/>
      <c r="AW64" s="369"/>
      <c r="AX64" s="369"/>
      <c r="AY64" s="369"/>
      <c r="AZ64" s="369"/>
      <c r="BA64" s="369"/>
      <c r="BB64" s="369"/>
      <c r="BC64" s="369"/>
      <c r="BD64" s="369"/>
      <c r="BE64" s="369"/>
      <c r="BF64" s="369"/>
      <c r="BG64" s="369"/>
      <c r="BH64" s="370"/>
      <c r="BI64" s="41"/>
    </row>
    <row r="65" spans="1:61" ht="7.4" customHeight="1" x14ac:dyDescent="0.5">
      <c r="A65" s="42"/>
      <c r="B65" s="58"/>
      <c r="C65" s="511" t="s">
        <v>91</v>
      </c>
      <c r="D65" s="511"/>
      <c r="E65" s="511"/>
      <c r="F65" s="511"/>
      <c r="G65" s="511"/>
      <c r="H65" s="511"/>
      <c r="I65" s="511"/>
      <c r="J65" s="511"/>
      <c r="K65" s="511"/>
      <c r="L65" s="511"/>
      <c r="M65" s="512"/>
      <c r="N65" s="38"/>
      <c r="O65" s="39"/>
      <c r="P65" s="39"/>
      <c r="Q65" s="39"/>
      <c r="R65" s="89"/>
      <c r="S65" s="89"/>
      <c r="T65" s="89"/>
      <c r="U65" s="176"/>
      <c r="AQ65" s="79"/>
      <c r="AR65" s="61"/>
      <c r="AS65" s="62"/>
      <c r="AT65" s="62"/>
      <c r="AU65" s="62"/>
      <c r="AV65" s="62"/>
      <c r="AW65" s="62"/>
      <c r="AX65" s="62"/>
      <c r="AY65" s="62"/>
      <c r="AZ65" s="62"/>
      <c r="BA65" s="62"/>
      <c r="BB65" s="62"/>
      <c r="BC65" s="62"/>
      <c r="BD65" s="62"/>
      <c r="BE65" s="38"/>
      <c r="BF65" s="39"/>
      <c r="BG65" s="39"/>
      <c r="BH65" s="40"/>
      <c r="BI65" s="41"/>
    </row>
    <row r="66" spans="1:61" ht="7.4" customHeight="1" x14ac:dyDescent="0.5">
      <c r="A66" s="42"/>
      <c r="B66" s="61"/>
      <c r="C66" s="455"/>
      <c r="D66" s="455"/>
      <c r="E66" s="455"/>
      <c r="F66" s="455"/>
      <c r="G66" s="455"/>
      <c r="H66" s="455"/>
      <c r="I66" s="455"/>
      <c r="J66" s="455"/>
      <c r="K66" s="455"/>
      <c r="L66" s="455"/>
      <c r="M66" s="458"/>
      <c r="N66" s="452" t="s">
        <v>42</v>
      </c>
      <c r="O66" s="453"/>
      <c r="P66" s="453"/>
      <c r="Q66" s="453"/>
      <c r="R66" s="453"/>
      <c r="S66" s="453"/>
      <c r="T66" s="453"/>
      <c r="U66" s="454"/>
      <c r="AQ66" s="79"/>
      <c r="AR66" s="61"/>
      <c r="AS66" s="400" t="s">
        <v>89</v>
      </c>
      <c r="AT66" s="400"/>
      <c r="AU66" s="400"/>
      <c r="AV66" s="400"/>
      <c r="AW66" s="400"/>
      <c r="AX66" s="400"/>
      <c r="AY66" s="400"/>
      <c r="AZ66" s="400"/>
      <c r="BA66" s="400"/>
      <c r="BB66" s="400"/>
      <c r="BC66" s="400"/>
      <c r="BD66" s="400"/>
      <c r="BE66" s="42"/>
      <c r="BF66" s="518">
        <v>0.02</v>
      </c>
      <c r="BG66" s="518"/>
      <c r="BH66" s="450"/>
      <c r="BI66" s="41"/>
    </row>
    <row r="67" spans="1:61" ht="7.4" customHeight="1" x14ac:dyDescent="0.5">
      <c r="A67" s="42"/>
      <c r="B67" s="61"/>
      <c r="C67" s="455"/>
      <c r="D67" s="455"/>
      <c r="E67" s="455"/>
      <c r="F67" s="455"/>
      <c r="G67" s="455"/>
      <c r="H67" s="455"/>
      <c r="I67" s="455"/>
      <c r="J67" s="455"/>
      <c r="K67" s="455"/>
      <c r="L67" s="455"/>
      <c r="M67" s="458"/>
      <c r="N67" s="452"/>
      <c r="O67" s="453"/>
      <c r="P67" s="453"/>
      <c r="Q67" s="453"/>
      <c r="R67" s="453"/>
      <c r="S67" s="453"/>
      <c r="T67" s="453"/>
      <c r="U67" s="454"/>
      <c r="AQ67" s="79"/>
      <c r="AR67" s="61"/>
      <c r="AS67" s="400"/>
      <c r="AT67" s="400"/>
      <c r="AU67" s="400"/>
      <c r="AV67" s="400"/>
      <c r="AW67" s="400"/>
      <c r="AX67" s="400"/>
      <c r="AY67" s="400"/>
      <c r="AZ67" s="400"/>
      <c r="BA67" s="400"/>
      <c r="BB67" s="400"/>
      <c r="BC67" s="400"/>
      <c r="BD67" s="400"/>
      <c r="BE67" s="42"/>
      <c r="BF67" s="518"/>
      <c r="BG67" s="518"/>
      <c r="BH67" s="450"/>
      <c r="BI67" s="41"/>
    </row>
    <row r="68" spans="1:61" ht="7.4" customHeight="1" x14ac:dyDescent="0.5">
      <c r="A68" s="42"/>
      <c r="B68" s="64"/>
      <c r="C68" s="65"/>
      <c r="D68" s="65"/>
      <c r="E68" s="65"/>
      <c r="F68" s="65"/>
      <c r="G68" s="65"/>
      <c r="H68" s="65"/>
      <c r="I68" s="65"/>
      <c r="J68" s="65"/>
      <c r="K68" s="65"/>
      <c r="L68" s="65"/>
      <c r="M68" s="66"/>
      <c r="N68" s="50"/>
      <c r="O68" s="51"/>
      <c r="P68" s="51"/>
      <c r="Q68" s="51"/>
      <c r="R68" s="97"/>
      <c r="S68" s="97"/>
      <c r="T68" s="97"/>
      <c r="U68" s="98"/>
      <c r="AQ68" s="79"/>
      <c r="AR68" s="61"/>
      <c r="AS68" s="400" t="s">
        <v>90</v>
      </c>
      <c r="AT68" s="400"/>
      <c r="AU68" s="400"/>
      <c r="AV68" s="400"/>
      <c r="AW68" s="400"/>
      <c r="AX68" s="400"/>
      <c r="AY68" s="400"/>
      <c r="AZ68" s="400"/>
      <c r="BA68" s="400"/>
      <c r="BB68" s="400"/>
      <c r="BC68" s="400"/>
      <c r="BD68" s="400"/>
      <c r="BE68" s="42"/>
      <c r="BF68" s="518"/>
      <c r="BG68" s="518"/>
      <c r="BH68" s="450"/>
      <c r="BI68" s="41"/>
    </row>
    <row r="69" spans="1:61" ht="7.4" customHeight="1" x14ac:dyDescent="0.5">
      <c r="A69" s="42"/>
      <c r="AQ69" s="79"/>
      <c r="AR69" s="61"/>
      <c r="AS69" s="400"/>
      <c r="AT69" s="400"/>
      <c r="AU69" s="400"/>
      <c r="AV69" s="400"/>
      <c r="AW69" s="400"/>
      <c r="AX69" s="400"/>
      <c r="AY69" s="400"/>
      <c r="AZ69" s="400"/>
      <c r="BA69" s="400"/>
      <c r="BB69" s="400"/>
      <c r="BC69" s="400"/>
      <c r="BD69" s="400"/>
      <c r="BE69" s="42"/>
      <c r="BF69" s="518"/>
      <c r="BG69" s="518"/>
      <c r="BH69" s="450"/>
      <c r="BI69" s="41"/>
    </row>
    <row r="70" spans="1:61" ht="7.4" customHeight="1" x14ac:dyDescent="0.5">
      <c r="A70" s="42"/>
      <c r="AQ70" s="79"/>
      <c r="AR70" s="61"/>
      <c r="AS70" s="62"/>
      <c r="AT70" s="62"/>
      <c r="AU70" s="62"/>
      <c r="AV70" s="62"/>
      <c r="AW70" s="62"/>
      <c r="AX70" s="62"/>
      <c r="AY70" s="62"/>
      <c r="AZ70" s="62"/>
      <c r="BA70" s="62"/>
      <c r="BB70" s="62"/>
      <c r="BC70" s="62"/>
      <c r="BD70" s="62"/>
      <c r="BE70" s="50"/>
      <c r="BF70" s="235"/>
      <c r="BG70" s="235"/>
      <c r="BH70" s="163"/>
      <c r="BI70" s="41"/>
    </row>
    <row r="71" spans="1:61" ht="7.4" customHeight="1" x14ac:dyDescent="0.5">
      <c r="A71" s="42"/>
      <c r="AQ71" s="79"/>
      <c r="AR71" s="61"/>
      <c r="AS71" s="62"/>
      <c r="AT71" s="62"/>
      <c r="AU71" s="62"/>
      <c r="AV71" s="62"/>
      <c r="AW71" s="62"/>
      <c r="AX71" s="62"/>
      <c r="AY71" s="62"/>
      <c r="AZ71" s="62"/>
      <c r="BA71" s="62"/>
      <c r="BB71" s="62"/>
      <c r="BC71" s="62"/>
      <c r="BD71" s="63"/>
      <c r="BF71" s="237"/>
      <c r="BG71" s="237"/>
      <c r="BH71" s="236"/>
      <c r="BI71" s="41"/>
    </row>
    <row r="72" spans="1:61" ht="7.4" customHeight="1" x14ac:dyDescent="0.5">
      <c r="A72" s="42"/>
      <c r="AQ72" s="79"/>
      <c r="AR72" s="61"/>
      <c r="AS72" s="400" t="s">
        <v>93</v>
      </c>
      <c r="AT72" s="400"/>
      <c r="AU72" s="400"/>
      <c r="AV72" s="400"/>
      <c r="AW72" s="400"/>
      <c r="AX72" s="400"/>
      <c r="AY72" s="400"/>
      <c r="AZ72" s="400"/>
      <c r="BA72" s="400"/>
      <c r="BB72" s="400"/>
      <c r="BC72" s="400"/>
      <c r="BD72" s="448"/>
      <c r="BF72" s="518">
        <v>0.04</v>
      </c>
      <c r="BG72" s="518"/>
      <c r="BH72" s="450"/>
      <c r="BI72" s="41"/>
    </row>
    <row r="73" spans="1:61" ht="7.4" customHeight="1" x14ac:dyDescent="0.5">
      <c r="A73" s="42"/>
      <c r="AQ73" s="79"/>
      <c r="AR73" s="61"/>
      <c r="AS73" s="400"/>
      <c r="AT73" s="400"/>
      <c r="AU73" s="400"/>
      <c r="AV73" s="400"/>
      <c r="AW73" s="400"/>
      <c r="AX73" s="400"/>
      <c r="AY73" s="400"/>
      <c r="AZ73" s="400"/>
      <c r="BA73" s="400"/>
      <c r="BB73" s="400"/>
      <c r="BC73" s="400"/>
      <c r="BD73" s="448"/>
      <c r="BF73" s="518"/>
      <c r="BG73" s="518"/>
      <c r="BH73" s="450"/>
      <c r="BI73" s="41"/>
    </row>
    <row r="74" spans="1:61" ht="7.4" customHeight="1" x14ac:dyDescent="0.5">
      <c r="A74" s="42"/>
      <c r="AQ74" s="79"/>
      <c r="AR74" s="61"/>
      <c r="AS74" s="62"/>
      <c r="AT74" s="62"/>
      <c r="AU74" s="62"/>
      <c r="AV74" s="62"/>
      <c r="AW74" s="62"/>
      <c r="AX74" s="62"/>
      <c r="AY74" s="62"/>
      <c r="AZ74" s="62"/>
      <c r="BA74" s="62"/>
      <c r="BB74" s="62"/>
      <c r="BC74" s="62"/>
      <c r="BD74" s="63"/>
      <c r="BE74" s="51"/>
      <c r="BF74" s="235"/>
      <c r="BG74" s="235"/>
      <c r="BH74" s="163"/>
      <c r="BI74" s="41"/>
    </row>
    <row r="75" spans="1:61" ht="7.4" customHeight="1" x14ac:dyDescent="0.5">
      <c r="A75" s="42"/>
      <c r="AR75" s="61"/>
      <c r="AS75" s="62"/>
      <c r="AT75" s="62"/>
      <c r="AU75" s="62"/>
      <c r="AV75" s="62"/>
      <c r="AW75" s="62"/>
      <c r="AX75" s="62"/>
      <c r="AY75" s="62"/>
      <c r="AZ75" s="62"/>
      <c r="BA75" s="62"/>
      <c r="BB75" s="62"/>
      <c r="BC75" s="62"/>
      <c r="BD75" s="63"/>
      <c r="BE75" s="39"/>
      <c r="BF75" s="234"/>
      <c r="BG75" s="234"/>
      <c r="BH75" s="169"/>
      <c r="BI75" s="41"/>
    </row>
    <row r="76" spans="1:61" ht="7.4" customHeight="1" x14ac:dyDescent="0.5">
      <c r="A76" s="42"/>
      <c r="AQ76" s="79"/>
      <c r="AR76" s="61"/>
      <c r="AS76" s="400" t="s">
        <v>97</v>
      </c>
      <c r="AT76" s="400"/>
      <c r="AU76" s="400"/>
      <c r="AV76" s="400"/>
      <c r="AW76" s="400"/>
      <c r="AX76" s="400"/>
      <c r="AY76" s="400"/>
      <c r="AZ76" s="400"/>
      <c r="BA76" s="400"/>
      <c r="BB76" s="400"/>
      <c r="BC76" s="400"/>
      <c r="BD76" s="448"/>
      <c r="BF76" s="518">
        <v>0.03</v>
      </c>
      <c r="BG76" s="518"/>
      <c r="BH76" s="450"/>
      <c r="BI76" s="41"/>
    </row>
    <row r="77" spans="1:61" ht="7.4" customHeight="1" x14ac:dyDescent="0.5">
      <c r="A77" s="42"/>
      <c r="AQ77" s="79"/>
      <c r="AR77" s="61"/>
      <c r="AS77" s="400"/>
      <c r="AT77" s="400"/>
      <c r="AU77" s="400"/>
      <c r="AV77" s="400"/>
      <c r="AW77" s="400"/>
      <c r="AX77" s="400"/>
      <c r="AY77" s="400"/>
      <c r="AZ77" s="400"/>
      <c r="BA77" s="400"/>
      <c r="BB77" s="400"/>
      <c r="BC77" s="400"/>
      <c r="BD77" s="448"/>
      <c r="BF77" s="518"/>
      <c r="BG77" s="518"/>
      <c r="BH77" s="450"/>
      <c r="BI77" s="41"/>
    </row>
    <row r="78" spans="1:61" ht="7.4" customHeight="1" x14ac:dyDescent="0.5">
      <c r="A78" s="42"/>
      <c r="Y78" s="25"/>
      <c r="Z78" s="25"/>
      <c r="AA78" s="25"/>
      <c r="AB78" s="25"/>
      <c r="AC78" s="25"/>
      <c r="AD78" s="25"/>
      <c r="AE78" s="25"/>
      <c r="AF78" s="25"/>
      <c r="AG78" s="25"/>
      <c r="AH78" s="25"/>
      <c r="AJ78" s="79"/>
      <c r="AK78" s="79"/>
      <c r="AL78" s="79"/>
      <c r="AM78" s="79"/>
      <c r="AN78" s="79"/>
      <c r="AO78" s="79"/>
      <c r="AP78" s="79"/>
      <c r="AQ78" s="79"/>
      <c r="AR78" s="64"/>
      <c r="AS78" s="65"/>
      <c r="AT78" s="65"/>
      <c r="AU78" s="65"/>
      <c r="AV78" s="65"/>
      <c r="AW78" s="65"/>
      <c r="AX78" s="65"/>
      <c r="AY78" s="65"/>
      <c r="AZ78" s="65"/>
      <c r="BA78" s="65"/>
      <c r="BB78" s="65"/>
      <c r="BC78" s="65"/>
      <c r="BD78" s="66"/>
      <c r="BE78" s="51"/>
      <c r="BF78" s="51"/>
      <c r="BG78" s="51"/>
      <c r="BH78" s="52"/>
      <c r="BI78" s="41"/>
    </row>
    <row r="79" spans="1:61" ht="7.4" customHeight="1" x14ac:dyDescent="0.5">
      <c r="A79" s="50"/>
      <c r="B79" s="51"/>
      <c r="C79" s="51"/>
      <c r="D79" s="135"/>
      <c r="E79" s="135"/>
      <c r="F79" s="135"/>
      <c r="G79" s="135"/>
      <c r="H79" s="135"/>
      <c r="I79" s="135"/>
      <c r="J79" s="135"/>
      <c r="K79" s="135"/>
      <c r="L79" s="135"/>
      <c r="M79" s="135"/>
      <c r="N79" s="135"/>
      <c r="O79" s="135"/>
      <c r="P79" s="135"/>
      <c r="Q79" s="135"/>
      <c r="R79" s="135"/>
      <c r="S79" s="135"/>
      <c r="T79" s="135"/>
      <c r="U79" s="135"/>
      <c r="V79" s="135"/>
      <c r="W79" s="135"/>
      <c r="X79" s="135"/>
      <c r="Y79" s="135"/>
      <c r="Z79" s="135"/>
      <c r="AA79" s="135"/>
      <c r="AB79" s="135"/>
      <c r="AC79" s="135"/>
      <c r="AD79" s="135"/>
      <c r="AE79" s="135"/>
      <c r="AF79" s="135"/>
      <c r="AG79" s="135"/>
      <c r="AH79" s="135"/>
      <c r="AI79" s="135"/>
      <c r="AJ79" s="135"/>
      <c r="AK79" s="135"/>
      <c r="AL79" s="135"/>
      <c r="AM79" s="135"/>
      <c r="AN79" s="135"/>
      <c r="AO79" s="135"/>
      <c r="AP79" s="135"/>
      <c r="AQ79" s="135"/>
      <c r="AR79" s="135"/>
      <c r="AS79" s="135"/>
      <c r="AT79" s="135"/>
      <c r="AU79" s="135"/>
      <c r="AV79" s="135"/>
      <c r="AW79" s="135"/>
      <c r="AX79" s="135"/>
      <c r="AY79" s="135"/>
      <c r="AZ79" s="135"/>
      <c r="BA79" s="135"/>
      <c r="BB79" s="135"/>
      <c r="BC79" s="135"/>
      <c r="BD79" s="135"/>
      <c r="BE79" s="135"/>
      <c r="BF79" s="135"/>
      <c r="BG79" s="135"/>
      <c r="BH79" s="135"/>
      <c r="BI79" s="52"/>
    </row>
    <row r="80" spans="1:61" ht="7.4" customHeight="1" x14ac:dyDescent="0.5">
      <c r="D80" s="79"/>
      <c r="E80" s="79"/>
      <c r="F80" s="79"/>
      <c r="G80" s="79"/>
      <c r="H80" s="79"/>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79"/>
      <c r="AS80" s="79"/>
      <c r="AT80" s="79"/>
      <c r="AU80" s="79"/>
      <c r="AV80" s="79"/>
      <c r="AW80" s="79"/>
      <c r="AX80" s="79"/>
      <c r="AY80" s="79"/>
      <c r="AZ80" s="79"/>
      <c r="BA80" s="79"/>
      <c r="BB80" s="79"/>
      <c r="BC80" s="79"/>
      <c r="BD80" s="79"/>
      <c r="BE80" s="79"/>
      <c r="BF80" s="79"/>
      <c r="BG80" s="79"/>
      <c r="BH80" s="79"/>
    </row>
    <row r="81" spans="1:61" ht="7.4" customHeight="1" x14ac:dyDescent="0.5">
      <c r="A81" s="337" t="s">
        <v>46</v>
      </c>
      <c r="B81" s="337"/>
      <c r="C81" s="337"/>
      <c r="D81" s="337"/>
      <c r="E81" s="337"/>
      <c r="F81" s="337"/>
      <c r="G81" s="337"/>
      <c r="H81" s="337"/>
      <c r="I81" s="337"/>
      <c r="J81" s="337"/>
      <c r="K81" s="337"/>
      <c r="L81" s="337"/>
      <c r="M81" s="337"/>
      <c r="N81" s="337"/>
      <c r="O81" s="337"/>
      <c r="P81" s="337"/>
      <c r="Q81" s="337"/>
      <c r="R81" s="337"/>
      <c r="S81" s="337"/>
      <c r="T81" s="337"/>
      <c r="U81" s="337"/>
      <c r="V81" s="337"/>
      <c r="W81" s="337"/>
      <c r="X81" s="337"/>
      <c r="Y81" s="337"/>
      <c r="Z81" s="337"/>
      <c r="AA81" s="337"/>
      <c r="AB81" s="337"/>
      <c r="AC81" s="337"/>
      <c r="AD81" s="337"/>
      <c r="AE81" s="337"/>
      <c r="AF81" s="337"/>
      <c r="AG81" s="337"/>
      <c r="AH81" s="337"/>
      <c r="AI81" s="337"/>
      <c r="AJ81" s="337"/>
      <c r="AK81" s="337"/>
      <c r="AL81" s="337"/>
      <c r="AM81" s="337"/>
      <c r="AN81" s="337"/>
      <c r="AO81" s="337"/>
      <c r="AP81" s="337"/>
      <c r="AQ81" s="337"/>
      <c r="AR81" s="337"/>
      <c r="AS81" s="337"/>
      <c r="AT81" s="337"/>
      <c r="AU81" s="337"/>
      <c r="AV81" s="337"/>
      <c r="AW81" s="337"/>
      <c r="AX81" s="337"/>
      <c r="AY81" s="337"/>
      <c r="AZ81" s="337"/>
      <c r="BA81" s="337"/>
      <c r="BB81" s="337"/>
      <c r="BC81" s="337"/>
      <c r="BD81" s="337"/>
      <c r="BE81" s="337"/>
      <c r="BF81" s="337"/>
      <c r="BG81" s="337"/>
      <c r="BH81" s="337"/>
      <c r="BI81" s="337"/>
    </row>
    <row r="82" spans="1:61" ht="7.4" customHeight="1" x14ac:dyDescent="0.5">
      <c r="A82" s="337"/>
      <c r="B82" s="337"/>
      <c r="C82" s="337"/>
      <c r="D82" s="337"/>
      <c r="E82" s="337"/>
      <c r="F82" s="337"/>
      <c r="G82" s="337"/>
      <c r="H82" s="337"/>
      <c r="I82" s="337"/>
      <c r="J82" s="337"/>
      <c r="K82" s="337"/>
      <c r="L82" s="337"/>
      <c r="M82" s="337"/>
      <c r="N82" s="337"/>
      <c r="O82" s="337"/>
      <c r="P82" s="337"/>
      <c r="Q82" s="337"/>
      <c r="R82" s="337"/>
      <c r="S82" s="337"/>
      <c r="T82" s="337"/>
      <c r="U82" s="337"/>
      <c r="V82" s="337"/>
      <c r="W82" s="337"/>
      <c r="X82" s="337"/>
      <c r="Y82" s="337"/>
      <c r="Z82" s="337"/>
      <c r="AA82" s="337"/>
      <c r="AB82" s="337"/>
      <c r="AC82" s="337"/>
      <c r="AD82" s="337"/>
      <c r="AE82" s="337"/>
      <c r="AF82" s="337"/>
      <c r="AG82" s="337"/>
      <c r="AH82" s="337"/>
      <c r="AI82" s="337"/>
      <c r="AJ82" s="337"/>
      <c r="AK82" s="337"/>
      <c r="AL82" s="337"/>
      <c r="AM82" s="337"/>
      <c r="AN82" s="337"/>
      <c r="AO82" s="337"/>
      <c r="AP82" s="337"/>
      <c r="AQ82" s="337"/>
      <c r="AR82" s="337"/>
      <c r="AS82" s="337"/>
      <c r="AT82" s="337"/>
      <c r="AU82" s="337"/>
      <c r="AV82" s="337"/>
      <c r="AW82" s="337"/>
      <c r="AX82" s="337"/>
      <c r="AY82" s="337"/>
      <c r="AZ82" s="337"/>
      <c r="BA82" s="337"/>
      <c r="BB82" s="337"/>
      <c r="BC82" s="337"/>
      <c r="BD82" s="337"/>
      <c r="BE82" s="337"/>
      <c r="BF82" s="337"/>
      <c r="BG82" s="337"/>
      <c r="BH82" s="337"/>
      <c r="BI82" s="337"/>
    </row>
    <row r="83" spans="1:61" ht="7.4" customHeight="1" x14ac:dyDescent="0.5">
      <c r="D83" s="79"/>
      <c r="E83" s="79"/>
      <c r="F83" s="79"/>
      <c r="G83" s="79"/>
      <c r="H83" s="79"/>
      <c r="I83" s="79"/>
      <c r="J83" s="79"/>
      <c r="K83" s="79"/>
      <c r="L83" s="79"/>
      <c r="M83" s="79"/>
      <c r="N83" s="79"/>
      <c r="O83" s="79"/>
      <c r="P83" s="79"/>
      <c r="Q83" s="79"/>
      <c r="R83" s="79"/>
      <c r="S83" s="79"/>
      <c r="T83" s="79"/>
      <c r="U83" s="79"/>
      <c r="V83" s="79"/>
      <c r="W83" s="79"/>
      <c r="X83" s="79"/>
      <c r="Y83" s="79"/>
      <c r="Z83" s="79"/>
      <c r="AA83" s="79"/>
      <c r="AB83" s="79"/>
      <c r="AC83" s="79"/>
      <c r="AD83" s="79"/>
      <c r="AE83" s="79"/>
      <c r="AF83" s="79"/>
      <c r="AG83" s="79"/>
      <c r="AH83" s="79"/>
      <c r="AI83" s="79"/>
      <c r="AJ83" s="79"/>
      <c r="AK83" s="79"/>
      <c r="AL83" s="79"/>
      <c r="AM83" s="79"/>
      <c r="AN83" s="79"/>
      <c r="AO83" s="79"/>
      <c r="AP83" s="79"/>
      <c r="AQ83" s="79"/>
      <c r="AR83" s="79"/>
      <c r="AS83" s="79"/>
      <c r="AT83" s="79"/>
      <c r="AU83" s="79"/>
      <c r="AV83" s="79"/>
      <c r="AW83" s="79"/>
      <c r="AX83" s="79"/>
      <c r="AY83" s="79"/>
      <c r="AZ83" s="79"/>
      <c r="BA83" s="79"/>
      <c r="BB83" s="79"/>
      <c r="BC83" s="79"/>
      <c r="BD83" s="79"/>
      <c r="BE83" s="79"/>
      <c r="BF83" s="79"/>
      <c r="BG83" s="79"/>
      <c r="BH83" s="79"/>
    </row>
    <row r="84" spans="1:61" ht="7.4" customHeight="1" x14ac:dyDescent="0.5">
      <c r="D84" s="79"/>
      <c r="E84" s="79"/>
      <c r="F84" s="79"/>
      <c r="G84" s="79"/>
      <c r="H84" s="79"/>
      <c r="I84" s="79"/>
      <c r="J84" s="79"/>
      <c r="K84" s="79"/>
      <c r="L84" s="79"/>
      <c r="M84" s="79"/>
      <c r="N84" s="79"/>
      <c r="O84" s="79"/>
      <c r="P84" s="79"/>
      <c r="Q84" s="79"/>
      <c r="R84" s="79"/>
      <c r="S84" s="79"/>
      <c r="T84" s="79"/>
      <c r="U84" s="79"/>
      <c r="V84" s="79"/>
      <c r="W84" s="79"/>
      <c r="X84" s="79"/>
      <c r="Y84" s="79"/>
      <c r="Z84" s="79"/>
      <c r="AA84" s="79"/>
      <c r="AB84" s="79"/>
      <c r="AC84" s="79"/>
      <c r="AD84" s="79"/>
      <c r="AE84" s="79"/>
      <c r="AF84" s="79"/>
      <c r="AG84" s="79"/>
      <c r="AH84" s="79"/>
      <c r="AI84" s="79"/>
      <c r="AJ84" s="79"/>
      <c r="AK84" s="79"/>
      <c r="AL84" s="79"/>
      <c r="AM84" s="79"/>
      <c r="AN84" s="79"/>
      <c r="AO84" s="79"/>
      <c r="AP84" s="79"/>
      <c r="AQ84" s="79"/>
      <c r="AR84" s="79"/>
      <c r="AS84" s="79"/>
      <c r="AT84" s="79"/>
      <c r="AU84" s="79"/>
      <c r="AV84" s="79"/>
      <c r="AW84" s="79"/>
      <c r="AX84" s="79"/>
      <c r="AY84" s="79"/>
      <c r="AZ84" s="79"/>
      <c r="BA84" s="79"/>
      <c r="BB84" s="79"/>
      <c r="BC84" s="79"/>
      <c r="BD84" s="79"/>
      <c r="BE84" s="79"/>
      <c r="BF84" s="79"/>
      <c r="BG84" s="79"/>
      <c r="BH84" s="79"/>
    </row>
    <row r="85" spans="1:61" ht="7.4" customHeight="1" x14ac:dyDescent="0.5">
      <c r="D85" s="79"/>
      <c r="E85" s="79"/>
      <c r="F85" s="79"/>
      <c r="G85" s="79"/>
      <c r="H85" s="79"/>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79"/>
      <c r="AS85" s="79"/>
      <c r="AT85" s="79"/>
      <c r="AU85" s="79"/>
      <c r="AV85" s="79"/>
      <c r="AW85" s="79"/>
      <c r="AX85" s="79"/>
      <c r="AY85" s="79"/>
      <c r="AZ85" s="79"/>
      <c r="BA85" s="79"/>
      <c r="BB85" s="79"/>
      <c r="BC85" s="79"/>
      <c r="BD85" s="79"/>
      <c r="BE85" s="79"/>
      <c r="BF85" s="79"/>
      <c r="BG85" s="79"/>
      <c r="BH85" s="79"/>
    </row>
    <row r="88" spans="1:61" ht="7.4" customHeight="1" x14ac:dyDescent="0.5">
      <c r="D88" s="79"/>
      <c r="E88" s="79"/>
      <c r="F88" s="79"/>
      <c r="G88" s="79"/>
      <c r="H88" s="79"/>
      <c r="I88" s="79"/>
      <c r="J88" s="79"/>
      <c r="K88" s="79"/>
      <c r="L88" s="79"/>
      <c r="M88" s="79"/>
      <c r="N88" s="79"/>
      <c r="O88" s="79"/>
      <c r="P88" s="79"/>
      <c r="Q88" s="79"/>
      <c r="R88" s="79"/>
      <c r="S88" s="79"/>
      <c r="T88" s="79"/>
      <c r="U88" s="79"/>
      <c r="V88" s="79"/>
      <c r="W88" s="79"/>
      <c r="X88" s="79"/>
      <c r="Y88" s="79"/>
      <c r="Z88" s="79"/>
      <c r="AA88" s="79"/>
      <c r="AB88" s="79"/>
      <c r="AC88" s="79"/>
      <c r="AD88" s="79"/>
      <c r="AE88" s="79"/>
      <c r="AF88" s="79"/>
      <c r="AG88" s="79"/>
      <c r="AH88" s="79"/>
      <c r="AI88" s="79"/>
      <c r="AJ88" s="79"/>
      <c r="AK88" s="79"/>
      <c r="AL88" s="79"/>
      <c r="AM88" s="79"/>
      <c r="AN88" s="79"/>
      <c r="AO88" s="79"/>
      <c r="AP88" s="79"/>
      <c r="AQ88" s="79"/>
      <c r="AR88" s="79"/>
      <c r="AS88" s="79"/>
      <c r="AT88" s="79"/>
      <c r="AU88" s="79"/>
      <c r="AV88" s="79"/>
      <c r="AW88" s="79"/>
      <c r="AX88" s="79"/>
      <c r="AY88" s="79"/>
      <c r="AZ88" s="79"/>
      <c r="BA88" s="79"/>
      <c r="BB88" s="79"/>
      <c r="BC88" s="79"/>
      <c r="BD88" s="79"/>
      <c r="BE88" s="79"/>
      <c r="BF88" s="79"/>
      <c r="BG88" s="79"/>
      <c r="BH88" s="79"/>
    </row>
    <row r="89" spans="1:61" ht="7.4" customHeight="1" x14ac:dyDescent="0.5">
      <c r="D89" s="79"/>
      <c r="E89" s="79"/>
      <c r="F89" s="79"/>
      <c r="G89" s="79"/>
      <c r="H89" s="79"/>
      <c r="I89" s="79"/>
      <c r="J89" s="79"/>
      <c r="K89" s="79"/>
      <c r="L89" s="79"/>
      <c r="M89" s="79"/>
      <c r="N89" s="79"/>
      <c r="O89" s="79"/>
      <c r="P89" s="79"/>
      <c r="Q89" s="79"/>
      <c r="R89" s="79"/>
      <c r="S89" s="79"/>
      <c r="T89" s="79"/>
      <c r="U89" s="79"/>
      <c r="V89" s="79"/>
      <c r="W89" s="79"/>
      <c r="X89" s="79"/>
      <c r="Y89" s="79"/>
      <c r="Z89" s="79"/>
      <c r="AA89" s="79"/>
      <c r="AB89" s="79"/>
      <c r="AC89" s="79"/>
      <c r="AD89" s="79"/>
      <c r="AE89" s="79"/>
      <c r="AF89" s="79"/>
      <c r="AG89" s="79"/>
      <c r="AH89" s="79"/>
      <c r="AI89" s="79"/>
      <c r="AJ89" s="79"/>
      <c r="AK89" s="79"/>
      <c r="AL89" s="79"/>
      <c r="AM89" s="79"/>
      <c r="AN89" s="79"/>
      <c r="AO89" s="79"/>
      <c r="AP89" s="79"/>
      <c r="AQ89" s="79"/>
      <c r="AR89" s="79"/>
      <c r="AS89" s="79"/>
      <c r="AT89" s="79"/>
      <c r="AU89" s="79"/>
      <c r="AV89" s="79"/>
      <c r="AW89" s="79"/>
      <c r="AX89" s="79"/>
      <c r="AY89" s="79"/>
      <c r="AZ89" s="79"/>
      <c r="BA89" s="79"/>
      <c r="BB89" s="79"/>
      <c r="BC89" s="79"/>
      <c r="BD89" s="79"/>
      <c r="BE89" s="79"/>
      <c r="BF89" s="79"/>
      <c r="BG89" s="79"/>
      <c r="BH89" s="79"/>
    </row>
    <row r="90" spans="1:61" ht="7.4" customHeight="1" x14ac:dyDescent="0.5">
      <c r="D90" s="79"/>
      <c r="E90" s="79"/>
      <c r="F90" s="79"/>
      <c r="G90" s="79"/>
      <c r="H90" s="79"/>
      <c r="I90" s="79"/>
      <c r="J90" s="79"/>
      <c r="K90" s="79"/>
      <c r="L90" s="79"/>
      <c r="M90" s="79"/>
      <c r="N90" s="79"/>
      <c r="O90" s="79"/>
      <c r="P90" s="79"/>
      <c r="Q90" s="79"/>
      <c r="R90" s="79"/>
      <c r="S90" s="79"/>
      <c r="T90" s="79"/>
      <c r="U90" s="79"/>
      <c r="V90" s="79"/>
      <c r="W90" s="79"/>
      <c r="X90" s="79"/>
      <c r="Y90" s="79"/>
      <c r="Z90" s="79"/>
      <c r="AA90" s="79"/>
      <c r="AB90" s="79"/>
      <c r="AC90" s="79"/>
      <c r="AD90" s="79"/>
      <c r="AE90" s="79"/>
      <c r="AF90" s="79"/>
      <c r="AG90" s="79"/>
      <c r="AH90" s="79"/>
      <c r="AI90" s="79"/>
      <c r="AJ90" s="79"/>
      <c r="AK90" s="79"/>
      <c r="AL90" s="79"/>
      <c r="AM90" s="79"/>
      <c r="AN90" s="79"/>
      <c r="AO90" s="79"/>
      <c r="AP90" s="79"/>
      <c r="AQ90" s="79"/>
      <c r="AR90" s="79"/>
      <c r="AS90" s="79"/>
      <c r="AT90" s="79"/>
      <c r="AU90" s="79"/>
      <c r="AV90" s="79"/>
      <c r="AW90" s="79"/>
      <c r="AX90" s="79"/>
      <c r="AY90" s="79"/>
      <c r="AZ90" s="79"/>
      <c r="BA90" s="79"/>
      <c r="BB90" s="79"/>
      <c r="BC90" s="79"/>
      <c r="BD90" s="79"/>
      <c r="BE90" s="79"/>
      <c r="BF90" s="79"/>
      <c r="BG90" s="79"/>
      <c r="BH90" s="79"/>
    </row>
    <row r="91" spans="1:61" ht="7.4" customHeight="1" x14ac:dyDescent="0.5">
      <c r="D91" s="79"/>
      <c r="E91" s="79"/>
      <c r="F91" s="79"/>
      <c r="G91" s="79"/>
      <c r="H91" s="79"/>
      <c r="I91" s="79"/>
      <c r="J91" s="79"/>
      <c r="K91" s="79"/>
      <c r="L91" s="79"/>
      <c r="M91" s="79"/>
      <c r="N91" s="79"/>
      <c r="O91" s="79"/>
      <c r="P91" s="79"/>
      <c r="Q91" s="79"/>
      <c r="R91" s="79"/>
      <c r="S91" s="79"/>
      <c r="T91" s="79"/>
      <c r="U91" s="79"/>
      <c r="V91" s="79"/>
      <c r="W91" s="79"/>
      <c r="X91" s="79"/>
      <c r="Y91" s="79"/>
      <c r="Z91" s="79"/>
      <c r="AA91" s="79"/>
      <c r="AB91" s="79"/>
      <c r="AC91" s="79"/>
      <c r="AD91" s="79"/>
      <c r="AE91" s="79"/>
      <c r="AF91" s="79"/>
      <c r="AG91" s="79"/>
      <c r="AH91" s="79"/>
      <c r="AI91" s="79"/>
      <c r="AJ91" s="79"/>
      <c r="AK91" s="79"/>
      <c r="AL91" s="79"/>
      <c r="AM91" s="79"/>
      <c r="AN91" s="79"/>
      <c r="AO91" s="79"/>
      <c r="AP91" s="79"/>
      <c r="AQ91" s="79"/>
      <c r="AR91" s="79"/>
      <c r="AS91" s="79"/>
      <c r="AT91" s="79"/>
      <c r="AU91" s="79"/>
      <c r="AV91" s="79"/>
      <c r="AW91" s="79"/>
      <c r="AX91" s="79"/>
      <c r="AY91" s="79"/>
      <c r="AZ91" s="79"/>
      <c r="BA91" s="79"/>
      <c r="BB91" s="79"/>
      <c r="BC91" s="79"/>
      <c r="BD91" s="79"/>
      <c r="BE91" s="79"/>
      <c r="BF91" s="79"/>
      <c r="BG91" s="79"/>
      <c r="BH91" s="79"/>
    </row>
    <row r="92" spans="1:61" ht="7.4" customHeight="1" x14ac:dyDescent="0.5">
      <c r="D92" s="79"/>
      <c r="E92" s="79"/>
      <c r="F92" s="79"/>
      <c r="G92" s="79"/>
      <c r="H92" s="79"/>
      <c r="I92" s="79"/>
      <c r="J92" s="79"/>
      <c r="K92" s="79"/>
      <c r="L92" s="79"/>
      <c r="M92" s="79"/>
      <c r="N92" s="79"/>
      <c r="O92" s="79"/>
      <c r="P92" s="79"/>
      <c r="Q92" s="79"/>
      <c r="R92" s="79"/>
      <c r="S92" s="79"/>
      <c r="T92" s="79"/>
      <c r="U92" s="79"/>
      <c r="V92" s="79"/>
      <c r="W92" s="79"/>
      <c r="X92" s="79"/>
      <c r="Y92" s="79"/>
      <c r="Z92" s="79"/>
      <c r="AA92" s="79"/>
      <c r="AB92" s="79"/>
      <c r="AC92" s="79"/>
      <c r="AD92" s="79"/>
      <c r="AE92" s="79"/>
      <c r="AF92" s="79"/>
      <c r="AG92" s="79"/>
      <c r="AH92" s="79"/>
      <c r="AI92" s="79"/>
      <c r="AJ92" s="79"/>
      <c r="AK92" s="79"/>
      <c r="AL92" s="79"/>
      <c r="AM92" s="79"/>
      <c r="AN92" s="79"/>
      <c r="AO92" s="79"/>
      <c r="AP92" s="79"/>
      <c r="AQ92" s="79"/>
      <c r="AR92" s="79"/>
      <c r="AS92" s="79"/>
      <c r="AT92" s="79"/>
      <c r="AU92" s="79"/>
      <c r="AV92" s="79"/>
      <c r="AW92" s="79"/>
      <c r="AX92" s="79"/>
      <c r="AY92" s="79"/>
      <c r="AZ92" s="79"/>
      <c r="BA92" s="79"/>
      <c r="BB92" s="79"/>
      <c r="BC92" s="79"/>
      <c r="BD92" s="79"/>
      <c r="BE92" s="79"/>
      <c r="BF92" s="79"/>
      <c r="BG92" s="79"/>
      <c r="BH92" s="79"/>
    </row>
    <row r="93" spans="1:61" ht="7.4" customHeight="1" x14ac:dyDescent="0.5">
      <c r="D93" s="79"/>
      <c r="E93" s="79"/>
      <c r="F93" s="79"/>
      <c r="G93" s="79"/>
      <c r="H93" s="79"/>
      <c r="I93" s="79"/>
      <c r="J93" s="79"/>
      <c r="K93" s="79"/>
      <c r="L93" s="79"/>
      <c r="M93" s="79"/>
      <c r="N93" s="79"/>
      <c r="O93" s="79"/>
      <c r="P93" s="79"/>
      <c r="Q93" s="79"/>
      <c r="R93" s="79"/>
      <c r="S93" s="79"/>
      <c r="T93" s="79"/>
      <c r="U93" s="79"/>
      <c r="V93" s="79"/>
      <c r="W93" s="79"/>
      <c r="X93" s="79"/>
      <c r="Y93" s="79"/>
      <c r="Z93" s="79"/>
      <c r="AA93" s="79"/>
      <c r="AB93" s="79"/>
      <c r="AC93" s="79"/>
      <c r="AD93" s="79"/>
      <c r="AE93" s="79"/>
      <c r="AF93" s="79"/>
      <c r="AG93" s="79"/>
      <c r="AH93" s="79"/>
      <c r="AI93" s="79"/>
      <c r="AJ93" s="79"/>
      <c r="AK93" s="79"/>
      <c r="AL93" s="79"/>
      <c r="AM93" s="79"/>
      <c r="AN93" s="79"/>
      <c r="AO93" s="79"/>
      <c r="AP93" s="79"/>
      <c r="AQ93" s="79"/>
      <c r="AR93" s="79"/>
      <c r="AS93" s="79"/>
      <c r="AT93" s="79"/>
      <c r="AU93" s="79"/>
      <c r="AV93" s="79"/>
      <c r="AW93" s="79"/>
      <c r="AX93" s="79"/>
      <c r="AY93" s="79"/>
      <c r="AZ93" s="79"/>
      <c r="BA93" s="79"/>
      <c r="BB93" s="79"/>
      <c r="BC93" s="79"/>
      <c r="BD93" s="79"/>
      <c r="BE93" s="79"/>
      <c r="BF93" s="79"/>
      <c r="BG93" s="79"/>
      <c r="BH93" s="79"/>
    </row>
    <row r="94" spans="1:61" ht="7.4" customHeight="1" x14ac:dyDescent="0.5">
      <c r="D94" s="79"/>
      <c r="E94" s="79"/>
      <c r="F94" s="79"/>
      <c r="G94" s="79"/>
      <c r="H94" s="79"/>
      <c r="I94" s="79"/>
      <c r="J94" s="79"/>
      <c r="K94" s="79"/>
      <c r="L94" s="79"/>
      <c r="M94" s="79"/>
      <c r="N94" s="79"/>
      <c r="O94" s="79"/>
      <c r="P94" s="79"/>
      <c r="Q94" s="79"/>
      <c r="R94" s="79"/>
      <c r="S94" s="79"/>
      <c r="T94" s="79"/>
      <c r="U94" s="79"/>
      <c r="V94" s="79"/>
      <c r="W94" s="79"/>
      <c r="X94" s="79"/>
      <c r="Y94" s="79"/>
      <c r="Z94" s="79"/>
      <c r="AA94" s="79"/>
      <c r="AB94" s="79"/>
      <c r="AC94" s="79"/>
      <c r="AD94" s="79"/>
      <c r="AE94" s="79"/>
      <c r="AF94" s="79"/>
      <c r="AG94" s="79"/>
      <c r="AH94" s="79"/>
      <c r="AI94" s="79"/>
      <c r="AJ94" s="79"/>
      <c r="AK94" s="79"/>
      <c r="AL94" s="79"/>
      <c r="AM94" s="79"/>
      <c r="AN94" s="79"/>
      <c r="AO94" s="79"/>
      <c r="AP94" s="79"/>
      <c r="AQ94" s="79"/>
      <c r="AR94" s="79"/>
      <c r="AS94" s="79"/>
      <c r="AT94" s="79"/>
      <c r="AU94" s="79"/>
      <c r="AV94" s="79"/>
      <c r="AW94" s="79"/>
      <c r="AX94" s="79"/>
      <c r="AY94" s="79"/>
      <c r="AZ94" s="79"/>
      <c r="BA94" s="79"/>
      <c r="BB94" s="79"/>
      <c r="BC94" s="79"/>
      <c r="BD94" s="79"/>
      <c r="BE94" s="79"/>
      <c r="BF94" s="79"/>
      <c r="BG94" s="79"/>
      <c r="BH94" s="79"/>
    </row>
    <row r="95" spans="1:61" ht="7.4" customHeight="1" x14ac:dyDescent="0.5">
      <c r="D95" s="79"/>
      <c r="E95" s="79"/>
      <c r="F95" s="79"/>
      <c r="G95" s="79"/>
      <c r="H95" s="79"/>
      <c r="I95" s="79"/>
      <c r="J95" s="79"/>
      <c r="K95" s="79"/>
      <c r="L95" s="79"/>
      <c r="M95" s="79"/>
      <c r="N95" s="79"/>
      <c r="O95" s="79"/>
      <c r="P95" s="79"/>
      <c r="Q95" s="79"/>
      <c r="R95" s="79"/>
      <c r="S95" s="79"/>
      <c r="T95" s="79"/>
      <c r="U95" s="79"/>
      <c r="V95" s="79"/>
      <c r="W95" s="79"/>
      <c r="X95" s="79"/>
      <c r="Y95" s="79"/>
      <c r="Z95" s="79"/>
      <c r="AA95" s="79"/>
      <c r="AB95" s="79"/>
      <c r="AC95" s="79"/>
      <c r="AD95" s="79"/>
      <c r="AE95" s="79"/>
      <c r="AF95" s="79"/>
      <c r="AG95" s="79"/>
      <c r="AH95" s="79"/>
      <c r="AI95" s="79"/>
      <c r="AJ95" s="79"/>
      <c r="AK95" s="79"/>
      <c r="AL95" s="79"/>
      <c r="AM95" s="79"/>
      <c r="AN95" s="79"/>
      <c r="AO95" s="79"/>
      <c r="AP95" s="79"/>
      <c r="AQ95" s="79"/>
      <c r="AR95" s="79"/>
      <c r="AS95" s="79"/>
      <c r="AT95" s="79"/>
      <c r="AU95" s="79"/>
      <c r="AV95" s="79"/>
      <c r="AW95" s="79"/>
      <c r="AX95" s="79"/>
      <c r="AY95" s="79"/>
      <c r="AZ95" s="79"/>
      <c r="BA95" s="79"/>
      <c r="BB95" s="79"/>
      <c r="BC95" s="79"/>
      <c r="BD95" s="79"/>
      <c r="BE95" s="79"/>
      <c r="BF95" s="79"/>
      <c r="BG95" s="79"/>
      <c r="BH95" s="79"/>
    </row>
    <row r="96" spans="1:61" ht="7.4" customHeight="1" x14ac:dyDescent="0.5">
      <c r="D96" s="79"/>
      <c r="E96" s="79"/>
      <c r="F96" s="79"/>
      <c r="G96" s="79"/>
      <c r="H96" s="79"/>
      <c r="I96" s="79"/>
      <c r="J96" s="79"/>
      <c r="K96" s="79"/>
      <c r="L96" s="79"/>
      <c r="M96" s="79"/>
      <c r="N96" s="79"/>
      <c r="O96" s="79"/>
      <c r="P96" s="79"/>
      <c r="Q96" s="79"/>
      <c r="R96" s="79"/>
      <c r="S96" s="79"/>
      <c r="T96" s="79"/>
      <c r="U96" s="79"/>
      <c r="V96" s="79"/>
      <c r="W96" s="79"/>
      <c r="X96" s="79"/>
      <c r="Y96" s="79"/>
      <c r="Z96" s="79"/>
      <c r="AA96" s="79"/>
      <c r="AB96" s="79"/>
      <c r="AC96" s="79"/>
      <c r="AD96" s="79"/>
      <c r="AE96" s="79"/>
      <c r="AF96" s="79"/>
      <c r="AG96" s="79"/>
      <c r="AH96" s="79"/>
      <c r="AI96" s="79"/>
      <c r="AJ96" s="79"/>
      <c r="AK96" s="79"/>
      <c r="AL96" s="79"/>
      <c r="AM96" s="79"/>
      <c r="AN96" s="79"/>
      <c r="AO96" s="79"/>
      <c r="AP96" s="79"/>
      <c r="AQ96" s="79"/>
      <c r="AR96" s="79"/>
      <c r="AS96" s="79"/>
      <c r="AT96" s="79"/>
      <c r="AU96" s="79"/>
      <c r="AV96" s="79"/>
      <c r="AW96" s="79"/>
      <c r="AX96" s="79"/>
      <c r="AY96" s="79"/>
      <c r="AZ96" s="79"/>
      <c r="BA96" s="79"/>
      <c r="BB96" s="79"/>
      <c r="BC96" s="79"/>
      <c r="BD96" s="79"/>
      <c r="BE96" s="79"/>
      <c r="BF96" s="79"/>
      <c r="BG96" s="79"/>
      <c r="BH96" s="79"/>
    </row>
    <row r="97" spans="1:98" ht="7.4" customHeight="1" x14ac:dyDescent="0.5">
      <c r="D97" s="79"/>
      <c r="E97" s="79"/>
      <c r="F97" s="79"/>
      <c r="G97" s="79"/>
      <c r="H97" s="79"/>
      <c r="I97" s="79"/>
      <c r="J97" s="79"/>
      <c r="K97" s="79"/>
      <c r="L97" s="79"/>
      <c r="M97" s="79"/>
      <c r="N97" s="79"/>
      <c r="O97" s="79"/>
      <c r="P97" s="79"/>
      <c r="Q97" s="79"/>
      <c r="R97" s="79"/>
      <c r="S97" s="79"/>
      <c r="T97" s="79"/>
      <c r="U97" s="79"/>
      <c r="V97" s="79"/>
      <c r="W97" s="79"/>
      <c r="X97" s="79"/>
      <c r="Y97" s="79"/>
      <c r="Z97" s="79"/>
      <c r="AA97" s="79"/>
      <c r="AB97" s="79"/>
      <c r="AC97" s="79"/>
      <c r="AD97" s="79"/>
      <c r="AE97" s="79"/>
      <c r="AF97" s="79"/>
      <c r="AG97" s="79"/>
      <c r="AH97" s="79"/>
      <c r="AI97" s="79"/>
      <c r="AJ97" s="79"/>
      <c r="AK97" s="79"/>
      <c r="AL97" s="79"/>
      <c r="AM97" s="79"/>
      <c r="AN97" s="79"/>
      <c r="AO97" s="79"/>
      <c r="AP97" s="79"/>
      <c r="AQ97" s="79"/>
      <c r="AR97" s="79"/>
      <c r="AS97" s="79"/>
      <c r="AT97" s="79"/>
      <c r="AU97" s="79"/>
      <c r="AV97" s="79"/>
      <c r="AW97" s="79"/>
      <c r="AX97" s="79"/>
      <c r="AY97" s="79"/>
      <c r="AZ97" s="79"/>
      <c r="BA97" s="79"/>
      <c r="BB97" s="79"/>
      <c r="BC97" s="79"/>
      <c r="BD97" s="79"/>
      <c r="BE97" s="79"/>
      <c r="BF97" s="79"/>
      <c r="BG97" s="79"/>
      <c r="BH97" s="79"/>
      <c r="BK97" s="108"/>
      <c r="BL97" s="108"/>
      <c r="BM97" s="108"/>
      <c r="BN97" s="108"/>
      <c r="BO97" s="108"/>
      <c r="BP97" s="108"/>
      <c r="BQ97" s="108"/>
      <c r="BR97" s="108"/>
      <c r="BS97" s="108"/>
      <c r="BT97" s="108"/>
    </row>
    <row r="98" spans="1:98" ht="7.4" customHeight="1" x14ac:dyDescent="0.5">
      <c r="D98" s="79"/>
      <c r="E98" s="79"/>
      <c r="F98" s="79"/>
      <c r="G98" s="79"/>
      <c r="H98" s="79"/>
      <c r="I98" s="79"/>
      <c r="J98" s="79"/>
      <c r="K98" s="79"/>
      <c r="L98" s="79"/>
      <c r="M98" s="79"/>
      <c r="N98" s="79"/>
      <c r="O98" s="79"/>
      <c r="P98" s="79"/>
      <c r="Q98" s="79"/>
      <c r="R98" s="79"/>
      <c r="S98" s="79"/>
      <c r="T98" s="79"/>
      <c r="U98" s="79"/>
      <c r="V98" s="79"/>
      <c r="W98" s="79"/>
      <c r="X98" s="79"/>
      <c r="Y98" s="79"/>
      <c r="Z98" s="79"/>
      <c r="AA98" s="79"/>
      <c r="AB98" s="79"/>
      <c r="AC98" s="79"/>
      <c r="AD98" s="79"/>
      <c r="AE98" s="79"/>
      <c r="AF98" s="79"/>
      <c r="AG98" s="79"/>
      <c r="AH98" s="79"/>
      <c r="AI98" s="79"/>
      <c r="AJ98" s="79"/>
      <c r="AK98" s="79"/>
      <c r="AL98" s="79"/>
      <c r="AM98" s="79"/>
      <c r="AN98" s="79"/>
      <c r="AO98" s="79"/>
      <c r="AP98" s="79"/>
      <c r="AQ98" s="79"/>
      <c r="AR98" s="79"/>
      <c r="AS98" s="79"/>
      <c r="AT98" s="79"/>
      <c r="AU98" s="79"/>
      <c r="AV98" s="79"/>
      <c r="AW98" s="79"/>
      <c r="AX98" s="79"/>
      <c r="AY98" s="79"/>
      <c r="AZ98" s="79"/>
      <c r="BA98" s="79"/>
      <c r="BB98" s="79"/>
      <c r="BC98" s="79"/>
      <c r="BD98" s="79"/>
      <c r="BE98" s="79"/>
      <c r="BF98" s="79"/>
      <c r="BG98" s="79"/>
      <c r="BH98" s="79"/>
      <c r="BK98" s="108"/>
      <c r="BL98" s="108"/>
      <c r="BM98" s="108"/>
      <c r="BN98" s="108"/>
      <c r="BO98" s="108"/>
      <c r="BP98" s="108"/>
      <c r="BQ98" s="108"/>
      <c r="BR98" s="108"/>
      <c r="BS98" s="108"/>
      <c r="BT98" s="108"/>
    </row>
    <row r="99" spans="1:98" ht="7.4" customHeight="1" x14ac:dyDescent="0.5">
      <c r="D99" s="79"/>
      <c r="E99" s="79"/>
      <c r="F99" s="79"/>
      <c r="G99" s="79"/>
      <c r="H99" s="79"/>
      <c r="I99" s="79"/>
      <c r="J99" s="79"/>
      <c r="K99" s="79"/>
      <c r="L99" s="79"/>
      <c r="M99" s="79"/>
      <c r="N99" s="79"/>
      <c r="O99" s="79"/>
      <c r="P99" s="79"/>
      <c r="Q99" s="79"/>
      <c r="R99" s="79"/>
      <c r="S99" s="79"/>
      <c r="T99" s="79"/>
      <c r="U99" s="79"/>
      <c r="V99" s="79"/>
      <c r="W99" s="79"/>
      <c r="X99" s="79"/>
      <c r="Y99" s="79"/>
      <c r="Z99" s="79"/>
      <c r="AA99" s="79"/>
      <c r="AB99" s="79"/>
      <c r="AC99" s="79"/>
      <c r="AD99" s="79"/>
      <c r="AE99" s="79"/>
      <c r="AF99" s="79"/>
      <c r="AG99" s="79"/>
      <c r="AH99" s="79"/>
      <c r="AI99" s="79"/>
      <c r="AJ99" s="79"/>
      <c r="AK99" s="79"/>
      <c r="AL99" s="79"/>
      <c r="AM99" s="79"/>
      <c r="AN99" s="79"/>
      <c r="AO99" s="79"/>
      <c r="AP99" s="79"/>
      <c r="AQ99" s="79"/>
      <c r="AR99" s="79"/>
      <c r="AS99" s="79"/>
      <c r="AT99" s="79"/>
      <c r="AU99" s="79"/>
      <c r="AV99" s="79"/>
      <c r="AW99" s="79"/>
      <c r="AX99" s="79"/>
      <c r="AY99" s="79"/>
      <c r="AZ99" s="79"/>
      <c r="BA99" s="79"/>
      <c r="BB99" s="79"/>
      <c r="BC99" s="79"/>
      <c r="BD99" s="79"/>
      <c r="BE99" s="79"/>
      <c r="BF99" s="79"/>
      <c r="BG99" s="79"/>
      <c r="BH99" s="79"/>
      <c r="BK99" s="108"/>
      <c r="BL99" s="108"/>
      <c r="BM99" s="108"/>
      <c r="BN99" s="108"/>
      <c r="BO99" s="108"/>
      <c r="BP99" s="108"/>
      <c r="BQ99" s="108"/>
      <c r="BR99" s="108"/>
      <c r="BS99" s="108"/>
      <c r="BT99" s="108"/>
    </row>
    <row r="100" spans="1:98" ht="7.4" customHeight="1" x14ac:dyDescent="0.5">
      <c r="D100" s="79"/>
      <c r="E100" s="79"/>
      <c r="F100" s="79"/>
      <c r="G100" s="79"/>
      <c r="H100" s="79"/>
      <c r="I100" s="79"/>
      <c r="J100" s="79"/>
      <c r="K100" s="79"/>
      <c r="L100" s="79"/>
      <c r="M100" s="79"/>
      <c r="N100" s="79"/>
      <c r="O100" s="79"/>
      <c r="P100" s="79"/>
      <c r="Q100" s="79"/>
      <c r="R100" s="79"/>
      <c r="S100" s="79"/>
      <c r="T100" s="79"/>
      <c r="U100" s="79"/>
      <c r="V100" s="79"/>
      <c r="W100" s="79"/>
      <c r="X100" s="79"/>
      <c r="Y100" s="79"/>
      <c r="Z100" s="79"/>
      <c r="AA100" s="79"/>
      <c r="AB100" s="79"/>
      <c r="AC100" s="79"/>
      <c r="AD100" s="79"/>
      <c r="AE100" s="79"/>
      <c r="AF100" s="79"/>
      <c r="AG100" s="79"/>
      <c r="AH100" s="79"/>
      <c r="AI100" s="79"/>
      <c r="AJ100" s="79"/>
      <c r="AK100" s="79"/>
      <c r="AL100" s="79"/>
      <c r="AM100" s="79"/>
      <c r="AN100" s="79"/>
      <c r="AO100" s="79"/>
      <c r="AP100" s="79"/>
      <c r="AQ100" s="79"/>
      <c r="AR100" s="79"/>
      <c r="AS100" s="79"/>
      <c r="AT100" s="79"/>
      <c r="AU100" s="79"/>
      <c r="AV100" s="79"/>
      <c r="AW100" s="79"/>
      <c r="AX100" s="79"/>
      <c r="AY100" s="79"/>
      <c r="AZ100" s="79"/>
      <c r="BA100" s="79"/>
      <c r="BB100" s="79"/>
      <c r="BC100" s="79"/>
      <c r="BD100" s="79"/>
      <c r="BE100" s="79"/>
      <c r="BF100" s="79"/>
      <c r="BG100" s="79"/>
      <c r="BH100" s="79"/>
      <c r="BK100" s="108"/>
      <c r="BL100" s="108"/>
      <c r="BM100" s="108"/>
      <c r="BN100" s="108"/>
      <c r="BO100" s="108"/>
      <c r="BP100" s="108"/>
      <c r="BQ100" s="108"/>
      <c r="BR100" s="108"/>
      <c r="BS100" s="108"/>
      <c r="BT100" s="108"/>
    </row>
    <row r="101" spans="1:98" ht="7.4" customHeight="1" x14ac:dyDescent="0.5">
      <c r="D101" s="79"/>
      <c r="E101" s="79"/>
      <c r="F101" s="79"/>
      <c r="G101" s="79"/>
      <c r="H101" s="79"/>
      <c r="I101" s="79"/>
      <c r="J101" s="79"/>
      <c r="K101" s="79"/>
      <c r="L101" s="79"/>
      <c r="M101" s="79"/>
      <c r="N101" s="79"/>
      <c r="O101" s="79"/>
      <c r="P101" s="79"/>
      <c r="Q101" s="79"/>
      <c r="R101" s="79"/>
      <c r="S101" s="79"/>
      <c r="T101" s="79"/>
      <c r="U101" s="79"/>
      <c r="V101" s="79"/>
      <c r="W101" s="79"/>
      <c r="X101" s="79"/>
      <c r="Y101" s="79"/>
      <c r="Z101" s="79"/>
      <c r="AA101" s="79"/>
      <c r="AB101" s="79"/>
      <c r="AC101" s="79"/>
      <c r="AD101" s="79"/>
      <c r="AE101" s="79"/>
      <c r="AF101" s="79"/>
      <c r="AG101" s="79"/>
      <c r="AH101" s="79"/>
      <c r="AI101" s="79"/>
      <c r="AJ101" s="79"/>
      <c r="AK101" s="79"/>
      <c r="AL101" s="79"/>
      <c r="AM101" s="79"/>
      <c r="AN101" s="79"/>
      <c r="AO101" s="79"/>
      <c r="AP101" s="79"/>
      <c r="AQ101" s="79"/>
      <c r="AR101" s="79"/>
      <c r="AS101" s="79"/>
      <c r="AT101" s="79"/>
      <c r="AU101" s="79"/>
      <c r="AV101" s="79"/>
      <c r="AW101" s="79"/>
      <c r="AX101" s="79"/>
      <c r="AY101" s="79"/>
      <c r="AZ101" s="79"/>
      <c r="BA101" s="79"/>
      <c r="BB101" s="79"/>
      <c r="BC101" s="79"/>
      <c r="BD101" s="79"/>
      <c r="BE101" s="79"/>
      <c r="BF101" s="79"/>
      <c r="BG101" s="79"/>
      <c r="BH101" s="79"/>
      <c r="BK101" s="108"/>
      <c r="BL101" s="108"/>
      <c r="BM101" s="108"/>
      <c r="BN101" s="108"/>
      <c r="BO101" s="108"/>
      <c r="BP101" s="108"/>
      <c r="BQ101" s="108"/>
      <c r="BR101" s="108"/>
      <c r="BS101" s="108"/>
      <c r="BT101" s="108"/>
    </row>
    <row r="102" spans="1:98" ht="7.4" customHeight="1" x14ac:dyDescent="0.5">
      <c r="D102" s="79"/>
      <c r="E102" s="79"/>
      <c r="F102" s="79"/>
      <c r="G102" s="79"/>
      <c r="H102" s="79"/>
      <c r="I102" s="79"/>
      <c r="J102" s="79"/>
      <c r="K102" s="79"/>
      <c r="L102" s="79"/>
      <c r="M102" s="79"/>
      <c r="N102" s="79"/>
      <c r="O102" s="79"/>
      <c r="P102" s="79"/>
      <c r="Q102" s="79"/>
      <c r="R102" s="79"/>
      <c r="S102" s="79"/>
      <c r="T102" s="79"/>
      <c r="U102" s="79"/>
      <c r="V102" s="79"/>
      <c r="W102" s="79"/>
      <c r="X102" s="79"/>
      <c r="Y102" s="79"/>
      <c r="Z102" s="79"/>
      <c r="AA102" s="79"/>
      <c r="AB102" s="79"/>
      <c r="AC102" s="79"/>
      <c r="AD102" s="79"/>
      <c r="AE102" s="79"/>
      <c r="AF102" s="79"/>
      <c r="AG102" s="79"/>
      <c r="AH102" s="79"/>
      <c r="AI102" s="79"/>
      <c r="AJ102" s="79"/>
      <c r="AK102" s="79"/>
      <c r="AL102" s="79"/>
      <c r="AM102" s="79"/>
      <c r="AN102" s="79"/>
      <c r="AO102" s="79"/>
      <c r="AP102" s="79"/>
      <c r="AQ102" s="79"/>
      <c r="AR102" s="79"/>
      <c r="AS102" s="79"/>
      <c r="AT102" s="79"/>
      <c r="AU102" s="79"/>
      <c r="AV102" s="79"/>
      <c r="AW102" s="79"/>
      <c r="AX102" s="79"/>
      <c r="AY102" s="79"/>
      <c r="AZ102" s="79"/>
      <c r="BA102" s="79"/>
      <c r="BB102" s="79"/>
      <c r="BC102" s="79"/>
      <c r="BD102" s="79"/>
      <c r="BE102" s="79"/>
      <c r="BF102" s="79"/>
      <c r="BG102" s="79"/>
      <c r="BH102" s="79"/>
      <c r="BK102" s="108"/>
      <c r="BL102" s="108"/>
      <c r="BM102" s="108"/>
      <c r="BN102" s="108"/>
      <c r="BO102" s="108"/>
      <c r="BP102" s="108"/>
      <c r="BQ102" s="108"/>
      <c r="BR102" s="108"/>
      <c r="BS102" s="108"/>
      <c r="BT102" s="108"/>
    </row>
    <row r="103" spans="1:98" ht="7.4" customHeight="1" x14ac:dyDescent="0.5">
      <c r="D103" s="79"/>
      <c r="E103" s="79"/>
      <c r="F103" s="79"/>
      <c r="G103" s="79"/>
      <c r="H103" s="79"/>
      <c r="I103" s="79"/>
      <c r="J103" s="79"/>
      <c r="K103" s="79"/>
      <c r="L103" s="79"/>
      <c r="M103" s="79"/>
      <c r="N103" s="79"/>
      <c r="O103" s="79"/>
      <c r="P103" s="79"/>
      <c r="Q103" s="79"/>
      <c r="R103" s="79"/>
      <c r="S103" s="79"/>
      <c r="T103" s="79"/>
      <c r="U103" s="79"/>
      <c r="V103" s="79"/>
      <c r="W103" s="79"/>
      <c r="X103" s="79"/>
      <c r="Y103" s="79"/>
      <c r="Z103" s="79"/>
      <c r="AA103" s="79"/>
      <c r="AB103" s="79"/>
      <c r="AC103" s="79"/>
      <c r="AD103" s="79"/>
      <c r="AE103" s="79"/>
      <c r="AF103" s="79"/>
      <c r="AG103" s="79"/>
      <c r="AH103" s="79"/>
      <c r="AI103" s="79"/>
      <c r="AJ103" s="79"/>
      <c r="AK103" s="79"/>
      <c r="AL103" s="79"/>
      <c r="AM103" s="79"/>
      <c r="AN103" s="79"/>
      <c r="AO103" s="79"/>
      <c r="AP103" s="79"/>
      <c r="AQ103" s="79"/>
      <c r="AR103" s="79"/>
      <c r="AS103" s="79"/>
      <c r="AT103" s="79"/>
      <c r="AU103" s="79"/>
      <c r="AV103" s="79"/>
      <c r="AW103" s="79"/>
      <c r="AX103" s="79"/>
      <c r="AY103" s="79"/>
      <c r="AZ103" s="79"/>
      <c r="BA103" s="79"/>
      <c r="BB103" s="79"/>
      <c r="BC103" s="79"/>
      <c r="BD103" s="79"/>
      <c r="BE103" s="79"/>
      <c r="BF103" s="79"/>
      <c r="BG103" s="79"/>
      <c r="BH103" s="79"/>
      <c r="BK103" s="108"/>
      <c r="BL103" s="108"/>
      <c r="BM103" s="108"/>
      <c r="BN103" s="108"/>
      <c r="BO103" s="108"/>
      <c r="BP103" s="108"/>
      <c r="BQ103" s="108"/>
      <c r="BR103" s="108"/>
      <c r="BS103" s="108"/>
      <c r="BT103" s="108"/>
    </row>
    <row r="104" spans="1:98" ht="7.4" customHeight="1" x14ac:dyDescent="0.5">
      <c r="D104" s="79"/>
      <c r="E104" s="79"/>
      <c r="F104" s="79"/>
      <c r="G104" s="79"/>
      <c r="H104" s="79"/>
      <c r="I104" s="79"/>
      <c r="J104" s="79"/>
      <c r="K104" s="79"/>
      <c r="L104" s="79"/>
      <c r="M104" s="79"/>
      <c r="N104" s="79"/>
      <c r="O104" s="79"/>
      <c r="P104" s="79"/>
      <c r="Q104" s="79"/>
      <c r="R104" s="79"/>
      <c r="S104" s="79"/>
      <c r="T104" s="79"/>
      <c r="U104" s="79"/>
      <c r="V104" s="79"/>
      <c r="W104" s="79"/>
      <c r="X104" s="79"/>
      <c r="Y104" s="79"/>
      <c r="Z104" s="79"/>
      <c r="AA104" s="79"/>
      <c r="AB104" s="79"/>
      <c r="AC104" s="79"/>
      <c r="AD104" s="79"/>
      <c r="AE104" s="79"/>
      <c r="AF104" s="79"/>
      <c r="AG104" s="79"/>
      <c r="AH104" s="79"/>
      <c r="AI104" s="79"/>
      <c r="AJ104" s="79"/>
      <c r="AK104" s="79"/>
      <c r="AL104" s="79"/>
      <c r="AM104" s="79"/>
      <c r="AN104" s="79"/>
      <c r="AO104" s="79"/>
      <c r="AP104" s="79"/>
      <c r="AQ104" s="79"/>
      <c r="AR104" s="79"/>
      <c r="AS104" s="79"/>
      <c r="AT104" s="79"/>
      <c r="AU104" s="79"/>
      <c r="AV104" s="79"/>
      <c r="AW104" s="79"/>
      <c r="AX104" s="79"/>
      <c r="AY104" s="79"/>
      <c r="AZ104" s="79"/>
      <c r="BA104" s="79"/>
      <c r="BB104" s="79"/>
      <c r="BC104" s="79"/>
      <c r="BD104" s="79"/>
      <c r="BE104" s="79"/>
      <c r="BF104" s="79"/>
      <c r="BG104" s="79"/>
      <c r="BH104" s="79"/>
      <c r="BK104" s="108"/>
      <c r="BL104" s="108"/>
      <c r="BM104" s="108"/>
      <c r="BN104" s="108"/>
      <c r="BO104" s="108"/>
      <c r="BP104" s="108"/>
      <c r="BQ104" s="108"/>
      <c r="BR104" s="108"/>
      <c r="BS104" s="108"/>
      <c r="BT104" s="108"/>
    </row>
    <row r="105" spans="1:98" ht="7.4" customHeight="1" x14ac:dyDescent="0.5">
      <c r="D105" s="79"/>
      <c r="E105" s="79"/>
      <c r="F105" s="79"/>
      <c r="G105" s="79"/>
      <c r="H105" s="79"/>
      <c r="I105" s="79"/>
      <c r="J105" s="79"/>
      <c r="K105" s="79"/>
      <c r="L105" s="79"/>
      <c r="M105" s="79"/>
      <c r="N105" s="79"/>
      <c r="O105" s="79"/>
      <c r="P105" s="79"/>
      <c r="Q105" s="79"/>
      <c r="R105" s="79"/>
      <c r="S105" s="79"/>
      <c r="T105" s="79"/>
      <c r="U105" s="79"/>
      <c r="V105" s="79"/>
      <c r="W105" s="79"/>
      <c r="X105" s="79"/>
      <c r="Y105" s="79"/>
      <c r="Z105" s="79"/>
      <c r="AA105" s="79"/>
      <c r="AB105" s="79"/>
      <c r="AC105" s="79"/>
      <c r="AD105" s="79"/>
      <c r="AE105" s="79"/>
      <c r="AF105" s="79"/>
      <c r="AG105" s="79"/>
      <c r="AH105" s="79"/>
      <c r="AI105" s="79"/>
      <c r="AJ105" s="79"/>
      <c r="AK105" s="79"/>
      <c r="AL105" s="79"/>
      <c r="AM105" s="79"/>
      <c r="AN105" s="79"/>
      <c r="AO105" s="79"/>
      <c r="AP105" s="79"/>
      <c r="AQ105" s="79"/>
      <c r="AR105" s="79"/>
      <c r="AS105" s="79"/>
      <c r="AT105" s="79"/>
      <c r="AU105" s="79"/>
      <c r="AV105" s="79"/>
      <c r="AW105" s="79"/>
      <c r="AX105" s="79"/>
      <c r="AY105" s="79"/>
      <c r="AZ105" s="79"/>
      <c r="BA105" s="79"/>
      <c r="BB105" s="79"/>
      <c r="BC105" s="79"/>
      <c r="BD105" s="79"/>
      <c r="BE105" s="79"/>
      <c r="BF105" s="79"/>
      <c r="BG105" s="79"/>
      <c r="BH105" s="79"/>
      <c r="BK105" s="108"/>
      <c r="BL105" s="108"/>
      <c r="BM105" s="108"/>
      <c r="BN105" s="108"/>
      <c r="BO105" s="108"/>
      <c r="BP105" s="108"/>
      <c r="BQ105" s="108"/>
      <c r="BR105" s="108"/>
      <c r="BS105" s="108"/>
      <c r="BT105" s="108"/>
      <c r="BX105" s="55"/>
      <c r="BY105" s="55"/>
      <c r="BZ105" s="55"/>
      <c r="CA105" s="55"/>
      <c r="CB105" s="55"/>
      <c r="CC105" s="55"/>
      <c r="CD105" s="55"/>
      <c r="CE105" s="55"/>
      <c r="CF105" s="55"/>
      <c r="CG105" s="55"/>
      <c r="CH105" s="55"/>
      <c r="CI105" s="55"/>
      <c r="CJ105" s="55"/>
      <c r="CK105" s="55"/>
      <c r="CL105" s="55"/>
      <c r="CM105" s="55"/>
      <c r="CN105" s="55"/>
      <c r="CO105" s="55"/>
    </row>
    <row r="106" spans="1:98" ht="7.4" customHeight="1" x14ac:dyDescent="0.5">
      <c r="D106" s="79"/>
      <c r="E106" s="79"/>
      <c r="F106" s="79"/>
      <c r="G106" s="79"/>
      <c r="H106" s="79"/>
      <c r="I106" s="79"/>
      <c r="J106" s="79"/>
      <c r="K106" s="79"/>
      <c r="L106" s="79"/>
      <c r="M106" s="79"/>
      <c r="N106" s="79"/>
      <c r="O106" s="79"/>
      <c r="P106" s="79"/>
      <c r="Q106" s="79"/>
      <c r="R106" s="79"/>
      <c r="S106" s="79"/>
      <c r="T106" s="79"/>
      <c r="U106" s="79"/>
      <c r="V106" s="79"/>
      <c r="W106" s="79"/>
      <c r="X106" s="79"/>
      <c r="Y106" s="79"/>
      <c r="Z106" s="79"/>
      <c r="AA106" s="79"/>
      <c r="AB106" s="79"/>
      <c r="AC106" s="79"/>
      <c r="AD106" s="79"/>
      <c r="AE106" s="79"/>
      <c r="AF106" s="79"/>
      <c r="AG106" s="79"/>
      <c r="AH106" s="79"/>
      <c r="AI106" s="79"/>
      <c r="AJ106" s="79"/>
      <c r="AK106" s="79"/>
      <c r="AL106" s="79"/>
      <c r="AM106" s="79"/>
      <c r="AN106" s="79"/>
      <c r="AO106" s="79"/>
      <c r="AP106" s="79"/>
      <c r="AQ106" s="79"/>
      <c r="AR106" s="79"/>
      <c r="AS106" s="79"/>
      <c r="AT106" s="79"/>
      <c r="AU106" s="79"/>
      <c r="AV106" s="79"/>
      <c r="AW106" s="79"/>
      <c r="AX106" s="79"/>
      <c r="AY106" s="79"/>
      <c r="AZ106" s="79"/>
      <c r="BA106" s="79"/>
      <c r="BB106" s="79"/>
      <c r="BC106" s="79"/>
      <c r="BD106" s="79"/>
      <c r="BE106" s="79"/>
      <c r="BF106" s="79"/>
      <c r="BG106" s="79"/>
      <c r="BH106" s="79"/>
      <c r="BK106" s="333"/>
      <c r="BL106" s="333"/>
      <c r="BM106" s="333"/>
      <c r="BN106" s="333"/>
      <c r="BO106" s="333"/>
      <c r="BP106" s="333"/>
      <c r="BQ106" s="298"/>
      <c r="BR106" s="298"/>
      <c r="BS106" s="298"/>
      <c r="BT106" s="298"/>
      <c r="BU106" s="298"/>
      <c r="BV106" s="298"/>
      <c r="BW106" s="298"/>
      <c r="CJ106" s="25"/>
      <c r="CK106" s="25"/>
      <c r="CL106" s="25"/>
      <c r="CM106" s="25"/>
      <c r="CN106" s="25"/>
      <c r="CO106" s="25"/>
    </row>
    <row r="107" spans="1:98" ht="7.4" customHeight="1" x14ac:dyDescent="0.5">
      <c r="BB107" s="184"/>
      <c r="BC107" s="184"/>
      <c r="BD107" s="184"/>
      <c r="BE107" s="184"/>
      <c r="BF107" s="184"/>
      <c r="BG107" s="184"/>
      <c r="BH107" s="184"/>
      <c r="BI107" s="184"/>
      <c r="BK107" s="339"/>
      <c r="BL107" s="339"/>
      <c r="BM107" s="339"/>
      <c r="BN107" s="339"/>
      <c r="BO107" s="339"/>
      <c r="BP107" s="339"/>
      <c r="BQ107" s="340"/>
      <c r="BR107" s="340"/>
      <c r="BS107" s="340"/>
      <c r="BT107" s="340"/>
      <c r="BU107" s="340"/>
      <c r="BV107" s="340"/>
      <c r="BW107" s="340"/>
      <c r="CJ107" s="108"/>
      <c r="CK107" s="108"/>
      <c r="CL107" s="108"/>
      <c r="CM107" s="108"/>
      <c r="CN107" s="108"/>
      <c r="CO107" s="108"/>
    </row>
    <row r="108" spans="1:98" ht="7.4" customHeight="1" x14ac:dyDescent="0.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BB108" s="184"/>
      <c r="BC108" s="184"/>
      <c r="BD108" s="184"/>
      <c r="BE108" s="184"/>
      <c r="BF108" s="184"/>
      <c r="BG108" s="184"/>
      <c r="BH108" s="184"/>
      <c r="BI108" s="184"/>
      <c r="BK108" s="339"/>
      <c r="BL108" s="339"/>
      <c r="BM108" s="339"/>
      <c r="BN108" s="339"/>
      <c r="BO108" s="339"/>
      <c r="BP108" s="339"/>
      <c r="BQ108" s="340"/>
      <c r="BR108" s="340"/>
      <c r="BS108" s="340"/>
      <c r="BT108" s="340"/>
      <c r="BU108" s="340"/>
      <c r="BV108" s="340"/>
      <c r="BW108" s="340"/>
      <c r="CJ108" s="108"/>
      <c r="CK108" s="108"/>
      <c r="CL108" s="108"/>
      <c r="CM108" s="108"/>
      <c r="CN108" s="108"/>
      <c r="CO108" s="108"/>
    </row>
    <row r="109" spans="1:98" ht="7.4" customHeight="1" x14ac:dyDescent="0.5">
      <c r="A109" s="38"/>
      <c r="B109" s="39"/>
      <c r="C109" s="39"/>
      <c r="D109" s="39"/>
      <c r="E109" s="39"/>
      <c r="F109" s="39"/>
      <c r="G109" s="39"/>
      <c r="H109" s="39"/>
      <c r="I109" s="39"/>
      <c r="J109" s="39"/>
      <c r="K109" s="39"/>
      <c r="L109" s="39"/>
      <c r="M109" s="39"/>
      <c r="N109" s="39"/>
      <c r="O109" s="39"/>
      <c r="P109" s="39"/>
      <c r="Q109" s="39"/>
      <c r="R109" s="39"/>
      <c r="S109" s="67"/>
      <c r="T109" s="68"/>
      <c r="U109" s="68"/>
      <c r="V109" s="68"/>
      <c r="W109" s="68"/>
      <c r="X109" s="68"/>
      <c r="Y109" s="68"/>
      <c r="Z109" s="68"/>
      <c r="AA109" s="68"/>
      <c r="AB109" s="68"/>
      <c r="AC109" s="68"/>
      <c r="AD109" s="68"/>
      <c r="AE109" s="68"/>
      <c r="AF109" s="68"/>
      <c r="AG109" s="68"/>
      <c r="AH109" s="68"/>
      <c r="AI109" s="68"/>
      <c r="AJ109" s="68"/>
      <c r="AK109" s="68"/>
      <c r="AL109" s="68"/>
      <c r="AM109" s="68"/>
      <c r="AN109" s="68"/>
      <c r="AO109" s="68"/>
      <c r="AP109" s="68"/>
      <c r="AQ109" s="69"/>
      <c r="AR109" s="39"/>
      <c r="AS109" s="39"/>
      <c r="AT109" s="39"/>
      <c r="AU109" s="39"/>
      <c r="AV109" s="39"/>
      <c r="AW109" s="39"/>
      <c r="AX109" s="39"/>
      <c r="AY109" s="39"/>
      <c r="AZ109" s="39"/>
      <c r="BA109" s="39"/>
      <c r="BB109" s="39"/>
      <c r="BC109" s="39"/>
      <c r="BD109" s="39"/>
      <c r="BE109" s="39"/>
      <c r="BF109" s="39"/>
      <c r="BG109" s="39"/>
      <c r="BH109" s="39"/>
      <c r="BI109" s="40"/>
      <c r="BK109" s="334"/>
      <c r="BL109" s="334"/>
      <c r="BM109" s="334"/>
      <c r="BN109" s="334"/>
      <c r="BO109" s="334"/>
      <c r="BP109" s="334"/>
      <c r="BQ109" s="429"/>
      <c r="BR109" s="429"/>
      <c r="BS109" s="429"/>
      <c r="BT109" s="429"/>
      <c r="BU109" s="429"/>
      <c r="BV109" s="429"/>
      <c r="BW109" s="429"/>
      <c r="BX109" s="429"/>
      <c r="BY109" s="429"/>
      <c r="BZ109" s="429"/>
      <c r="CA109" s="429"/>
      <c r="CB109" s="429"/>
      <c r="CC109" s="334"/>
      <c r="CD109" s="334"/>
      <c r="CE109" s="334"/>
      <c r="CF109" s="334"/>
      <c r="CG109" s="334"/>
      <c r="CH109" s="334"/>
      <c r="CI109" s="333"/>
      <c r="CJ109" s="333"/>
      <c r="CK109" s="333"/>
      <c r="CL109" s="333"/>
      <c r="CM109" s="333"/>
      <c r="CN109" s="333"/>
      <c r="CO109" s="334"/>
      <c r="CP109" s="334"/>
      <c r="CQ109" s="334"/>
      <c r="CR109" s="334"/>
      <c r="CS109" s="334"/>
      <c r="CT109" s="334"/>
    </row>
    <row r="110" spans="1:98" ht="7.4" customHeight="1" x14ac:dyDescent="0.5">
      <c r="A110" s="42"/>
      <c r="S110" s="70"/>
      <c r="T110" s="509" t="str">
        <f>"Roof Top Tilted Railless ("&amp;$AO$35&amp;")"</f>
        <v>Roof Top Tilted Railless (IBR)</v>
      </c>
      <c r="U110" s="509"/>
      <c r="V110" s="509"/>
      <c r="W110" s="509"/>
      <c r="X110" s="509"/>
      <c r="Y110" s="509"/>
      <c r="Z110" s="509"/>
      <c r="AA110" s="509"/>
      <c r="AB110" s="509"/>
      <c r="AC110" s="509"/>
      <c r="AD110" s="509"/>
      <c r="AE110" s="509"/>
      <c r="AF110" s="509"/>
      <c r="AG110" s="509"/>
      <c r="AH110" s="509"/>
      <c r="AI110" s="509"/>
      <c r="AJ110" s="509"/>
      <c r="AK110" s="509"/>
      <c r="AL110" s="509"/>
      <c r="AM110" s="509"/>
      <c r="AN110" s="509"/>
      <c r="AO110" s="509"/>
      <c r="AP110" s="509"/>
      <c r="AQ110" s="71"/>
      <c r="BI110" s="41"/>
      <c r="BK110" s="334"/>
      <c r="BL110" s="334"/>
      <c r="BM110" s="334"/>
      <c r="BN110" s="334"/>
      <c r="BO110" s="334"/>
      <c r="BP110" s="334"/>
      <c r="BQ110" s="429"/>
      <c r="BR110" s="429"/>
      <c r="BS110" s="429"/>
      <c r="BT110" s="429"/>
      <c r="BU110" s="429"/>
      <c r="BV110" s="429"/>
      <c r="BW110" s="429"/>
      <c r="BX110" s="429"/>
      <c r="BY110" s="429"/>
      <c r="BZ110" s="429"/>
      <c r="CA110" s="429"/>
      <c r="CB110" s="429"/>
      <c r="CC110" s="334"/>
      <c r="CD110" s="334"/>
      <c r="CE110" s="334"/>
      <c r="CF110" s="334"/>
      <c r="CG110" s="334"/>
      <c r="CH110" s="334"/>
      <c r="CI110" s="333"/>
      <c r="CJ110" s="333"/>
      <c r="CK110" s="333"/>
      <c r="CL110" s="333"/>
      <c r="CM110" s="333"/>
      <c r="CN110" s="333"/>
      <c r="CO110" s="334"/>
      <c r="CP110" s="334"/>
      <c r="CQ110" s="334"/>
      <c r="CR110" s="334"/>
      <c r="CS110" s="334"/>
      <c r="CT110" s="334"/>
    </row>
    <row r="111" spans="1:98" ht="7.4" customHeight="1" x14ac:dyDescent="0.5">
      <c r="A111" s="42"/>
      <c r="S111" s="70"/>
      <c r="T111" s="509"/>
      <c r="U111" s="509"/>
      <c r="V111" s="509"/>
      <c r="W111" s="509"/>
      <c r="X111" s="509"/>
      <c r="Y111" s="509"/>
      <c r="Z111" s="509"/>
      <c r="AA111" s="509"/>
      <c r="AB111" s="509"/>
      <c r="AC111" s="509"/>
      <c r="AD111" s="509"/>
      <c r="AE111" s="509"/>
      <c r="AF111" s="509"/>
      <c r="AG111" s="509"/>
      <c r="AH111" s="509"/>
      <c r="AI111" s="509"/>
      <c r="AJ111" s="509"/>
      <c r="AK111" s="509"/>
      <c r="AL111" s="509"/>
      <c r="AM111" s="509"/>
      <c r="AN111" s="509"/>
      <c r="AO111" s="509"/>
      <c r="AP111" s="509"/>
      <c r="AQ111" s="71"/>
      <c r="BI111" s="41"/>
      <c r="BK111" s="427"/>
      <c r="BL111" s="427"/>
      <c r="BM111" s="427"/>
      <c r="BN111" s="427"/>
      <c r="BO111" s="427"/>
      <c r="BP111" s="427"/>
      <c r="BQ111" s="510"/>
      <c r="BR111" s="510"/>
      <c r="BS111" s="510"/>
      <c r="BT111" s="510"/>
      <c r="BU111" s="510"/>
      <c r="BV111" s="510"/>
      <c r="BW111" s="510"/>
      <c r="BX111" s="510"/>
      <c r="BY111" s="510"/>
      <c r="BZ111" s="510"/>
      <c r="CA111" s="510"/>
      <c r="CB111" s="510"/>
      <c r="CC111" s="339"/>
      <c r="CD111" s="339"/>
      <c r="CE111" s="339"/>
      <c r="CF111" s="339"/>
      <c r="CG111" s="339"/>
      <c r="CH111" s="339"/>
      <c r="CI111" s="336"/>
      <c r="CJ111" s="336"/>
      <c r="CK111" s="336"/>
      <c r="CL111" s="336"/>
      <c r="CM111" s="336"/>
      <c r="CN111" s="336"/>
      <c r="CO111" s="336"/>
      <c r="CP111" s="336"/>
      <c r="CQ111" s="336"/>
      <c r="CR111" s="336"/>
      <c r="CS111" s="336"/>
      <c r="CT111" s="336"/>
    </row>
    <row r="112" spans="1:98" ht="7.4" customHeight="1" x14ac:dyDescent="0.5">
      <c r="A112" s="42"/>
      <c r="S112" s="72"/>
      <c r="T112" s="73"/>
      <c r="U112" s="73"/>
      <c r="V112" s="73"/>
      <c r="W112" s="73"/>
      <c r="X112" s="73"/>
      <c r="Y112" s="73"/>
      <c r="Z112" s="73"/>
      <c r="AA112" s="73"/>
      <c r="AB112" s="73"/>
      <c r="AC112" s="73"/>
      <c r="AD112" s="73"/>
      <c r="AE112" s="73"/>
      <c r="AF112" s="73"/>
      <c r="AG112" s="73"/>
      <c r="AH112" s="73"/>
      <c r="AI112" s="73"/>
      <c r="AJ112" s="73"/>
      <c r="AK112" s="73"/>
      <c r="AL112" s="73"/>
      <c r="AM112" s="73"/>
      <c r="AN112" s="73"/>
      <c r="AO112" s="73"/>
      <c r="AP112" s="73"/>
      <c r="AQ112" s="74"/>
      <c r="BI112" s="41"/>
      <c r="BK112" s="427"/>
      <c r="BL112" s="427"/>
      <c r="BM112" s="427"/>
      <c r="BN112" s="427"/>
      <c r="BO112" s="427"/>
      <c r="BP112" s="427"/>
      <c r="BQ112" s="510"/>
      <c r="BR112" s="510"/>
      <c r="BS112" s="510"/>
      <c r="BT112" s="510"/>
      <c r="BU112" s="510"/>
      <c r="BV112" s="510"/>
      <c r="BW112" s="510"/>
      <c r="BX112" s="510"/>
      <c r="BY112" s="510"/>
      <c r="BZ112" s="510"/>
      <c r="CA112" s="510"/>
      <c r="CB112" s="510"/>
      <c r="CC112" s="339"/>
      <c r="CD112" s="339"/>
      <c r="CE112" s="339"/>
      <c r="CF112" s="339"/>
      <c r="CG112" s="339"/>
      <c r="CH112" s="339"/>
      <c r="CI112" s="336"/>
      <c r="CJ112" s="336"/>
      <c r="CK112" s="336"/>
      <c r="CL112" s="336"/>
      <c r="CM112" s="336"/>
      <c r="CN112" s="336"/>
      <c r="CO112" s="336"/>
      <c r="CP112" s="336"/>
      <c r="CQ112" s="336"/>
      <c r="CR112" s="336"/>
      <c r="CS112" s="336"/>
      <c r="CT112" s="336"/>
    </row>
    <row r="113" spans="1:124" ht="7.4" customHeight="1" x14ac:dyDescent="0.5">
      <c r="A113" s="42"/>
      <c r="BI113" s="41"/>
      <c r="CO113" s="298"/>
      <c r="CP113" s="298"/>
      <c r="CQ113" s="298"/>
      <c r="CR113" s="298"/>
      <c r="CS113" s="298"/>
      <c r="CT113" s="298"/>
    </row>
    <row r="114" spans="1:124" ht="7.4" customHeight="1" x14ac:dyDescent="0.5">
      <c r="A114" s="42"/>
      <c r="B114" s="29"/>
      <c r="C114" s="422" t="s">
        <v>49</v>
      </c>
      <c r="D114" s="422"/>
      <c r="E114" s="423"/>
      <c r="F114" s="29"/>
      <c r="G114" s="422" t="s">
        <v>50</v>
      </c>
      <c r="H114" s="422"/>
      <c r="I114" s="422"/>
      <c r="J114" s="422"/>
      <c r="K114" s="422"/>
      <c r="L114" s="422"/>
      <c r="M114" s="422"/>
      <c r="N114" s="422"/>
      <c r="O114" s="422"/>
      <c r="P114" s="422"/>
      <c r="Q114" s="422"/>
      <c r="R114" s="423"/>
      <c r="S114" s="29"/>
      <c r="T114" s="422" t="s">
        <v>51</v>
      </c>
      <c r="U114" s="422"/>
      <c r="V114" s="422"/>
      <c r="W114" s="422"/>
      <c r="X114" s="422"/>
      <c r="Y114" s="422"/>
      <c r="Z114" s="422"/>
      <c r="AA114" s="422"/>
      <c r="AB114" s="422"/>
      <c r="AC114" s="422"/>
      <c r="AD114" s="422"/>
      <c r="AE114" s="422"/>
      <c r="AF114" s="422"/>
      <c r="AG114" s="422"/>
      <c r="AH114" s="422"/>
      <c r="AI114" s="422"/>
      <c r="AJ114" s="423"/>
      <c r="AK114" s="29"/>
      <c r="AL114" s="422" t="s">
        <v>106</v>
      </c>
      <c r="AM114" s="422"/>
      <c r="AN114" s="422"/>
      <c r="AO114" s="422"/>
      <c r="AP114" s="423"/>
      <c r="AQ114" s="299" t="s">
        <v>53</v>
      </c>
      <c r="AR114" s="363"/>
      <c r="AS114" s="363"/>
      <c r="AT114" s="363"/>
      <c r="AU114" s="363"/>
      <c r="AV114" s="363"/>
      <c r="AW114" s="363"/>
      <c r="AX114" s="363"/>
      <c r="AY114" s="363"/>
      <c r="AZ114" s="363"/>
      <c r="BA114" s="363"/>
      <c r="BB114" s="363"/>
      <c r="BC114" s="363"/>
      <c r="BD114" s="363"/>
      <c r="BE114" s="363"/>
      <c r="BF114" s="363"/>
      <c r="BG114" s="363"/>
      <c r="BH114" s="364"/>
      <c r="BI114" s="41"/>
      <c r="BK114" s="81"/>
      <c r="BL114" s="77"/>
      <c r="BM114" s="40"/>
      <c r="BN114" s="77"/>
      <c r="BO114" s="77"/>
      <c r="BP114" s="40"/>
      <c r="BQ114" s="81"/>
      <c r="BR114" s="77"/>
      <c r="BS114" s="40"/>
      <c r="BT114" s="81"/>
      <c r="BU114" s="77"/>
      <c r="BV114" s="40"/>
      <c r="BW114" s="81"/>
      <c r="BX114" s="77"/>
      <c r="BY114" s="40"/>
      <c r="BZ114" s="81"/>
      <c r="CA114" s="77"/>
      <c r="CB114" s="40"/>
      <c r="CC114" s="81"/>
      <c r="CD114" s="77"/>
      <c r="CE114" s="40"/>
      <c r="CF114" s="81"/>
      <c r="CG114" s="77"/>
      <c r="CH114" s="40"/>
      <c r="CI114" s="81"/>
      <c r="CJ114" s="77"/>
      <c r="CK114" s="40"/>
      <c r="CL114" s="81"/>
      <c r="CM114" s="77"/>
      <c r="CN114" s="40"/>
      <c r="CO114" s="81"/>
      <c r="CP114" s="77"/>
      <c r="CQ114" s="40"/>
      <c r="CR114" s="81"/>
      <c r="CS114" s="77"/>
      <c r="CT114" s="40"/>
      <c r="CU114" s="81"/>
      <c r="CV114" s="77"/>
      <c r="CW114" s="40"/>
      <c r="CX114" s="81"/>
      <c r="CY114" s="77"/>
      <c r="CZ114" s="40"/>
      <c r="DA114" s="81"/>
      <c r="DB114" s="77"/>
      <c r="DC114" s="40"/>
      <c r="DD114" s="81"/>
      <c r="DE114" s="77"/>
      <c r="DF114" s="40"/>
    </row>
    <row r="115" spans="1:124" ht="7.4" customHeight="1" x14ac:dyDescent="0.5">
      <c r="A115" s="42"/>
      <c r="B115" s="32"/>
      <c r="C115" s="408"/>
      <c r="D115" s="408"/>
      <c r="E115" s="424"/>
      <c r="F115" s="32"/>
      <c r="G115" s="408"/>
      <c r="H115" s="408"/>
      <c r="I115" s="408"/>
      <c r="J115" s="408"/>
      <c r="K115" s="408"/>
      <c r="L115" s="408"/>
      <c r="M115" s="408"/>
      <c r="N115" s="408"/>
      <c r="O115" s="408"/>
      <c r="P115" s="408"/>
      <c r="Q115" s="408"/>
      <c r="R115" s="424"/>
      <c r="S115" s="32"/>
      <c r="T115" s="408"/>
      <c r="U115" s="408"/>
      <c r="V115" s="408"/>
      <c r="W115" s="408"/>
      <c r="X115" s="408"/>
      <c r="Y115" s="408"/>
      <c r="Z115" s="408"/>
      <c r="AA115" s="408"/>
      <c r="AB115" s="408"/>
      <c r="AC115" s="408"/>
      <c r="AD115" s="408"/>
      <c r="AE115" s="408"/>
      <c r="AF115" s="408"/>
      <c r="AG115" s="408"/>
      <c r="AH115" s="408"/>
      <c r="AI115" s="408"/>
      <c r="AJ115" s="424"/>
      <c r="AK115" s="32"/>
      <c r="AL115" s="408"/>
      <c r="AM115" s="408"/>
      <c r="AN115" s="408"/>
      <c r="AO115" s="408"/>
      <c r="AP115" s="424"/>
      <c r="AQ115" s="365"/>
      <c r="AR115" s="366"/>
      <c r="AS115" s="366"/>
      <c r="AT115" s="366"/>
      <c r="AU115" s="366"/>
      <c r="AV115" s="366"/>
      <c r="AW115" s="366"/>
      <c r="AX115" s="366"/>
      <c r="AY115" s="366"/>
      <c r="AZ115" s="366"/>
      <c r="BA115" s="366"/>
      <c r="BB115" s="366"/>
      <c r="BC115" s="366"/>
      <c r="BD115" s="366"/>
      <c r="BE115" s="366"/>
      <c r="BF115" s="366"/>
      <c r="BG115" s="366"/>
      <c r="BH115" s="367"/>
      <c r="BI115" s="41"/>
      <c r="BK115" s="310">
        <v>1</v>
      </c>
      <c r="BL115" s="311"/>
      <c r="BM115" s="312"/>
      <c r="BN115" s="310">
        <v>2</v>
      </c>
      <c r="BO115" s="311"/>
      <c r="BP115" s="312"/>
      <c r="BQ115" s="310">
        <v>3</v>
      </c>
      <c r="BR115" s="311"/>
      <c r="BS115" s="312"/>
      <c r="BT115" s="310">
        <v>4</v>
      </c>
      <c r="BU115" s="311"/>
      <c r="BV115" s="312"/>
      <c r="BW115" s="310">
        <v>5</v>
      </c>
      <c r="BX115" s="311"/>
      <c r="BY115" s="312"/>
      <c r="BZ115" s="310">
        <v>6</v>
      </c>
      <c r="CA115" s="311"/>
      <c r="CB115" s="312"/>
      <c r="CC115" s="310">
        <v>7</v>
      </c>
      <c r="CD115" s="311"/>
      <c r="CE115" s="312"/>
      <c r="CF115" s="310">
        <v>8</v>
      </c>
      <c r="CG115" s="311"/>
      <c r="CH115" s="312"/>
      <c r="CI115" s="310">
        <v>9</v>
      </c>
      <c r="CJ115" s="311"/>
      <c r="CK115" s="312"/>
      <c r="CL115" s="310">
        <v>10</v>
      </c>
      <c r="CM115" s="311"/>
      <c r="CN115" s="312"/>
      <c r="CO115" s="310">
        <v>11</v>
      </c>
      <c r="CP115" s="311"/>
      <c r="CQ115" s="312"/>
      <c r="CR115" s="310">
        <v>12</v>
      </c>
      <c r="CS115" s="311"/>
      <c r="CT115" s="312"/>
      <c r="CU115" s="310">
        <v>13</v>
      </c>
      <c r="CV115" s="311"/>
      <c r="CW115" s="312"/>
      <c r="CX115" s="310">
        <v>14</v>
      </c>
      <c r="CY115" s="311"/>
      <c r="CZ115" s="312"/>
      <c r="DA115" s="310">
        <v>15</v>
      </c>
      <c r="DB115" s="311"/>
      <c r="DC115" s="312"/>
      <c r="DD115" s="310">
        <v>16</v>
      </c>
      <c r="DE115" s="311"/>
      <c r="DF115" s="312"/>
      <c r="DH115" s="331"/>
      <c r="DI115" s="331"/>
      <c r="DJ115" s="331"/>
      <c r="DK115" s="331"/>
      <c r="DL115" s="311"/>
      <c r="DM115" s="311"/>
      <c r="DN115" s="311"/>
      <c r="DO115" s="311"/>
      <c r="DP115" s="311"/>
      <c r="DQ115" s="311"/>
      <c r="DR115" s="311"/>
      <c r="DS115" s="311"/>
      <c r="DT115" s="311"/>
    </row>
    <row r="116" spans="1:124" ht="7.4" customHeight="1" x14ac:dyDescent="0.5">
      <c r="A116" s="42"/>
      <c r="B116" s="32"/>
      <c r="C116" s="408"/>
      <c r="D116" s="408"/>
      <c r="E116" s="424"/>
      <c r="F116" s="32"/>
      <c r="G116" s="408"/>
      <c r="H116" s="408"/>
      <c r="I116" s="408"/>
      <c r="J116" s="408"/>
      <c r="K116" s="408"/>
      <c r="L116" s="408"/>
      <c r="M116" s="408"/>
      <c r="N116" s="408"/>
      <c r="O116" s="408"/>
      <c r="P116" s="408"/>
      <c r="Q116" s="408"/>
      <c r="R116" s="424"/>
      <c r="S116" s="32"/>
      <c r="T116" s="408"/>
      <c r="U116" s="408"/>
      <c r="V116" s="408"/>
      <c r="W116" s="408"/>
      <c r="X116" s="408"/>
      <c r="Y116" s="408"/>
      <c r="Z116" s="408"/>
      <c r="AA116" s="408"/>
      <c r="AB116" s="408"/>
      <c r="AC116" s="408"/>
      <c r="AD116" s="408"/>
      <c r="AE116" s="408"/>
      <c r="AF116" s="408"/>
      <c r="AG116" s="408"/>
      <c r="AH116" s="408"/>
      <c r="AI116" s="408"/>
      <c r="AJ116" s="424"/>
      <c r="AK116" s="32"/>
      <c r="AL116" s="408"/>
      <c r="AM116" s="408"/>
      <c r="AN116" s="408"/>
      <c r="AO116" s="408"/>
      <c r="AP116" s="424"/>
      <c r="AQ116" s="365"/>
      <c r="AR116" s="366"/>
      <c r="AS116" s="366"/>
      <c r="AT116" s="366"/>
      <c r="AU116" s="366"/>
      <c r="AV116" s="366"/>
      <c r="AW116" s="366"/>
      <c r="AX116" s="366"/>
      <c r="AY116" s="366"/>
      <c r="AZ116" s="366"/>
      <c r="BA116" s="366"/>
      <c r="BB116" s="366"/>
      <c r="BC116" s="366"/>
      <c r="BD116" s="366"/>
      <c r="BE116" s="366"/>
      <c r="BF116" s="366"/>
      <c r="BG116" s="366"/>
      <c r="BH116" s="367"/>
      <c r="BI116" s="41"/>
      <c r="BK116" s="310"/>
      <c r="BL116" s="311"/>
      <c r="BM116" s="312"/>
      <c r="BN116" s="310"/>
      <c r="BO116" s="311"/>
      <c r="BP116" s="312"/>
      <c r="BQ116" s="310"/>
      <c r="BR116" s="311"/>
      <c r="BS116" s="312"/>
      <c r="BT116" s="310"/>
      <c r="BU116" s="311"/>
      <c r="BV116" s="312"/>
      <c r="BW116" s="310"/>
      <c r="BX116" s="311"/>
      <c r="BY116" s="312"/>
      <c r="BZ116" s="310"/>
      <c r="CA116" s="311"/>
      <c r="CB116" s="312"/>
      <c r="CC116" s="310"/>
      <c r="CD116" s="311"/>
      <c r="CE116" s="312"/>
      <c r="CF116" s="310"/>
      <c r="CG116" s="311"/>
      <c r="CH116" s="312"/>
      <c r="CI116" s="310"/>
      <c r="CJ116" s="311"/>
      <c r="CK116" s="312"/>
      <c r="CL116" s="310"/>
      <c r="CM116" s="311"/>
      <c r="CN116" s="312"/>
      <c r="CO116" s="310"/>
      <c r="CP116" s="311"/>
      <c r="CQ116" s="312"/>
      <c r="CR116" s="310"/>
      <c r="CS116" s="311"/>
      <c r="CT116" s="312"/>
      <c r="CU116" s="310"/>
      <c r="CV116" s="311"/>
      <c r="CW116" s="312"/>
      <c r="CX116" s="310"/>
      <c r="CY116" s="311"/>
      <c r="CZ116" s="312"/>
      <c r="DA116" s="310"/>
      <c r="DB116" s="311"/>
      <c r="DC116" s="312"/>
      <c r="DD116" s="310"/>
      <c r="DE116" s="311"/>
      <c r="DF116" s="312"/>
      <c r="DH116" s="331"/>
      <c r="DI116" s="331"/>
      <c r="DJ116" s="331"/>
      <c r="DK116" s="331"/>
      <c r="DL116" s="311"/>
      <c r="DM116" s="311"/>
      <c r="DN116" s="311"/>
      <c r="DO116" s="311"/>
      <c r="DP116" s="311"/>
      <c r="DQ116" s="311"/>
      <c r="DR116" s="311"/>
      <c r="DS116" s="311"/>
      <c r="DT116" s="311"/>
    </row>
    <row r="117" spans="1:124" ht="7.4" customHeight="1" x14ac:dyDescent="0.5">
      <c r="A117" s="42"/>
      <c r="B117" s="35"/>
      <c r="C117" s="425"/>
      <c r="D117" s="425"/>
      <c r="E117" s="426"/>
      <c r="F117" s="35"/>
      <c r="G117" s="425"/>
      <c r="H117" s="425"/>
      <c r="I117" s="425"/>
      <c r="J117" s="425"/>
      <c r="K117" s="425"/>
      <c r="L117" s="425"/>
      <c r="M117" s="425"/>
      <c r="N117" s="425"/>
      <c r="O117" s="425"/>
      <c r="P117" s="425"/>
      <c r="Q117" s="425"/>
      <c r="R117" s="426"/>
      <c r="S117" s="35"/>
      <c r="T117" s="425"/>
      <c r="U117" s="425"/>
      <c r="V117" s="425"/>
      <c r="W117" s="425"/>
      <c r="X117" s="425"/>
      <c r="Y117" s="425"/>
      <c r="Z117" s="425"/>
      <c r="AA117" s="425"/>
      <c r="AB117" s="425"/>
      <c r="AC117" s="425"/>
      <c r="AD117" s="425"/>
      <c r="AE117" s="425"/>
      <c r="AF117" s="425"/>
      <c r="AG117" s="425"/>
      <c r="AH117" s="425"/>
      <c r="AI117" s="425"/>
      <c r="AJ117" s="426"/>
      <c r="AK117" s="35"/>
      <c r="AL117" s="425"/>
      <c r="AM117" s="425"/>
      <c r="AN117" s="425"/>
      <c r="AO117" s="425"/>
      <c r="AP117" s="426"/>
      <c r="AQ117" s="368"/>
      <c r="AR117" s="369"/>
      <c r="AS117" s="369"/>
      <c r="AT117" s="369"/>
      <c r="AU117" s="369"/>
      <c r="AV117" s="369"/>
      <c r="AW117" s="369"/>
      <c r="AX117" s="369"/>
      <c r="AY117" s="369"/>
      <c r="AZ117" s="369"/>
      <c r="BA117" s="369"/>
      <c r="BB117" s="369"/>
      <c r="BC117" s="369"/>
      <c r="BD117" s="369"/>
      <c r="BE117" s="369"/>
      <c r="BF117" s="369"/>
      <c r="BG117" s="369"/>
      <c r="BH117" s="370"/>
      <c r="BI117" s="41"/>
      <c r="BK117" s="220"/>
      <c r="BL117" s="134"/>
      <c r="BM117" s="85"/>
      <c r="BN117" s="134"/>
      <c r="BO117" s="134"/>
      <c r="BP117" s="85"/>
      <c r="BQ117" s="220"/>
      <c r="BR117" s="134"/>
      <c r="BS117" s="85"/>
      <c r="BT117" s="220"/>
      <c r="BU117" s="134"/>
      <c r="BV117" s="85"/>
      <c r="BW117" s="220"/>
      <c r="BX117" s="134"/>
      <c r="BY117" s="85"/>
      <c r="BZ117" s="220"/>
      <c r="CA117" s="134"/>
      <c r="CB117" s="85"/>
      <c r="CC117" s="220"/>
      <c r="CD117" s="134"/>
      <c r="CE117" s="85"/>
      <c r="CF117" s="220"/>
      <c r="CG117" s="134"/>
      <c r="CH117" s="85"/>
      <c r="CI117" s="220"/>
      <c r="CJ117" s="134"/>
      <c r="CK117" s="85"/>
      <c r="CL117" s="220"/>
      <c r="CM117" s="134"/>
      <c r="CN117" s="85"/>
      <c r="CO117" s="220"/>
      <c r="CP117" s="134"/>
      <c r="CQ117" s="85"/>
      <c r="CR117" s="220"/>
      <c r="CS117" s="134"/>
      <c r="CT117" s="85"/>
      <c r="CU117" s="220"/>
      <c r="CV117" s="134"/>
      <c r="CW117" s="85"/>
      <c r="CX117" s="220"/>
      <c r="CY117" s="134"/>
      <c r="CZ117" s="85"/>
      <c r="DA117" s="220"/>
      <c r="DB117" s="134"/>
      <c r="DC117" s="85"/>
      <c r="DD117" s="220"/>
      <c r="DE117" s="134"/>
      <c r="DF117" s="85"/>
    </row>
    <row r="118" spans="1:124" ht="7.4" customHeight="1" x14ac:dyDescent="0.5">
      <c r="A118" s="42"/>
      <c r="B118" s="42"/>
      <c r="C118" s="55"/>
      <c r="D118" s="55"/>
      <c r="E118" s="41"/>
      <c r="F118" s="42"/>
      <c r="G118" s="56"/>
      <c r="H118" s="56"/>
      <c r="I118" s="56"/>
      <c r="J118" s="56"/>
      <c r="K118" s="56"/>
      <c r="L118" s="56"/>
      <c r="M118" s="56"/>
      <c r="N118" s="56"/>
      <c r="O118" s="56"/>
      <c r="P118" s="56"/>
      <c r="Q118" s="56"/>
      <c r="R118" s="126"/>
      <c r="S118" s="42"/>
      <c r="AJ118" s="41"/>
      <c r="AK118" s="42"/>
      <c r="AL118" s="311"/>
      <c r="AM118" s="311"/>
      <c r="AN118" s="311"/>
      <c r="AO118" s="311"/>
      <c r="AP118" s="43"/>
      <c r="AQ118" s="38"/>
      <c r="AR118" s="77"/>
      <c r="AS118" s="77"/>
      <c r="AT118" s="77"/>
      <c r="AU118" s="77"/>
      <c r="AV118" s="77"/>
      <c r="AW118" s="77"/>
      <c r="AX118" s="227"/>
      <c r="AY118" s="245"/>
      <c r="AZ118" s="77"/>
      <c r="BA118" s="77"/>
      <c r="BB118" s="77"/>
      <c r="BC118" s="77"/>
      <c r="BD118" s="77"/>
      <c r="BE118" s="77"/>
      <c r="BF118" s="77"/>
      <c r="BG118" s="77"/>
      <c r="BH118" s="138"/>
      <c r="BI118" s="41"/>
      <c r="BK118" s="194"/>
      <c r="BL118" s="123"/>
      <c r="BM118" s="195"/>
      <c r="BN118" s="196"/>
      <c r="BO118" s="153"/>
      <c r="BP118" s="197"/>
      <c r="BQ118" s="196"/>
      <c r="BR118" s="153"/>
      <c r="BS118" s="197"/>
      <c r="BT118" s="196"/>
      <c r="BU118" s="153"/>
      <c r="BV118" s="197"/>
      <c r="BW118" s="196"/>
      <c r="BX118" s="153"/>
      <c r="BY118" s="197"/>
      <c r="BZ118" s="196"/>
      <c r="CA118" s="153"/>
      <c r="CB118" s="197"/>
      <c r="CC118" s="196"/>
      <c r="CD118" s="153"/>
      <c r="CE118" s="197"/>
      <c r="CF118" s="196"/>
      <c r="CG118" s="153"/>
      <c r="CH118" s="197"/>
      <c r="CI118" s="196"/>
      <c r="CJ118" s="153"/>
      <c r="CK118" s="197"/>
      <c r="CL118" s="196"/>
      <c r="CM118" s="153"/>
      <c r="CN118" s="197"/>
      <c r="CO118" s="196"/>
      <c r="CP118" s="153"/>
      <c r="CQ118" s="197"/>
      <c r="CR118" s="196"/>
      <c r="CS118" s="153"/>
      <c r="CT118" s="197"/>
      <c r="CU118" s="196"/>
      <c r="CV118" s="153"/>
      <c r="CW118" s="197"/>
      <c r="CX118" s="196"/>
      <c r="CY118" s="153"/>
      <c r="CZ118" s="197"/>
      <c r="DA118" s="196"/>
      <c r="DB118" s="153"/>
      <c r="DC118" s="197"/>
      <c r="DD118" s="196"/>
      <c r="DE118" s="153"/>
      <c r="DF118" s="197"/>
      <c r="DL118" s="105"/>
      <c r="DM118" s="105"/>
      <c r="DN118" s="105"/>
      <c r="DO118" s="105"/>
      <c r="DP118" s="105"/>
      <c r="DQ118" s="105"/>
      <c r="DR118" s="105"/>
      <c r="DS118" s="105"/>
    </row>
    <row r="119" spans="1:124" ht="7.4" customHeight="1" x14ac:dyDescent="0.5">
      <c r="A119" s="42"/>
      <c r="B119" s="42"/>
      <c r="C119" s="419">
        <v>1</v>
      </c>
      <c r="D119" s="419"/>
      <c r="E119" s="41"/>
      <c r="F119" s="42"/>
      <c r="G119" s="319" t="str">
        <f>"AXE_F_TL_RL_"&amp;$AO$31&amp;"_AL"</f>
        <v>AXE_F_TL_RL_10_AL</v>
      </c>
      <c r="H119" s="319"/>
      <c r="I119" s="319"/>
      <c r="J119" s="319"/>
      <c r="K119" s="319"/>
      <c r="L119" s="319"/>
      <c r="M119" s="319"/>
      <c r="N119" s="319"/>
      <c r="O119" s="319"/>
      <c r="P119" s="319"/>
      <c r="Q119" s="319"/>
      <c r="R119" s="320"/>
      <c r="S119" s="42"/>
      <c r="T119" s="405" t="str">
        <f>VLOOKUP(G119,PL!$B$9:$BH$1265,14,FALSE)</f>
        <v>Tilted Frame</v>
      </c>
      <c r="U119" s="405"/>
      <c r="V119" s="405"/>
      <c r="W119" s="405"/>
      <c r="X119" s="405"/>
      <c r="Y119" s="405"/>
      <c r="Z119" s="405"/>
      <c r="AA119" s="405"/>
      <c r="AB119" s="405"/>
      <c r="AC119" s="405"/>
      <c r="AD119" s="405"/>
      <c r="AE119" s="405"/>
      <c r="AF119" s="405"/>
      <c r="AG119" s="405"/>
      <c r="AH119" s="405"/>
      <c r="AI119" s="405"/>
      <c r="AJ119" s="411"/>
      <c r="AK119" s="42"/>
      <c r="AL119" s="311">
        <f>SUM(BK119:DF120)</f>
        <v>200</v>
      </c>
      <c r="AM119" s="311"/>
      <c r="AN119" s="311"/>
      <c r="AO119" s="311"/>
      <c r="AP119" s="43"/>
      <c r="AQ119" s="111"/>
      <c r="AR119" s="308">
        <f>VLOOKUP(G119,PL!$B$9:$BH$818,52,FALSE)</f>
        <v>0</v>
      </c>
      <c r="AS119" s="309"/>
      <c r="AT119" s="309"/>
      <c r="AU119" s="309"/>
      <c r="AV119" s="309"/>
      <c r="AW119" s="309"/>
      <c r="AX119" s="309"/>
      <c r="AY119" s="309"/>
      <c r="AZ119" s="309"/>
      <c r="BA119" s="309"/>
      <c r="BB119" s="309"/>
      <c r="BC119" s="309"/>
      <c r="BD119" s="309"/>
      <c r="BE119" s="309"/>
      <c r="BF119" s="309"/>
      <c r="BG119" s="309"/>
      <c r="BH119" s="124"/>
      <c r="BI119" s="41"/>
      <c r="BK119" s="412">
        <f>M58*2*M54</f>
        <v>200</v>
      </c>
      <c r="BL119" s="413"/>
      <c r="BM119" s="414"/>
      <c r="BN119" s="412">
        <f>P58*2*P54</f>
        <v>0</v>
      </c>
      <c r="BO119" s="413"/>
      <c r="BP119" s="414"/>
      <c r="BQ119" s="412">
        <f>S58*2*S54</f>
        <v>0</v>
      </c>
      <c r="BR119" s="413"/>
      <c r="BS119" s="414"/>
      <c r="BT119" s="412">
        <f>V58*2*V54</f>
        <v>0</v>
      </c>
      <c r="BU119" s="413"/>
      <c r="BV119" s="414"/>
      <c r="BW119" s="412">
        <f>Y58*2*Y54</f>
        <v>0</v>
      </c>
      <c r="BX119" s="413"/>
      <c r="BY119" s="414"/>
      <c r="BZ119" s="412">
        <f>AB58*2*AB54</f>
        <v>0</v>
      </c>
      <c r="CA119" s="413"/>
      <c r="CB119" s="414"/>
      <c r="CC119" s="412">
        <f>AE58*2*AE54</f>
        <v>0</v>
      </c>
      <c r="CD119" s="413"/>
      <c r="CE119" s="414"/>
      <c r="CF119" s="412">
        <f>AH58*2*AH54</f>
        <v>0</v>
      </c>
      <c r="CG119" s="413"/>
      <c r="CH119" s="414"/>
      <c r="CI119" s="412">
        <f>AK58*2*AK54</f>
        <v>0</v>
      </c>
      <c r="CJ119" s="413"/>
      <c r="CK119" s="414"/>
      <c r="CL119" s="412">
        <f>AN58*2*AN54</f>
        <v>0</v>
      </c>
      <c r="CM119" s="413"/>
      <c r="CN119" s="414"/>
      <c r="CO119" s="412">
        <f>AQ58*2*AQ54</f>
        <v>0</v>
      </c>
      <c r="CP119" s="413"/>
      <c r="CQ119" s="414"/>
      <c r="CR119" s="412">
        <f>AT58*2*AT54</f>
        <v>0</v>
      </c>
      <c r="CS119" s="413"/>
      <c r="CT119" s="414"/>
      <c r="CU119" s="412">
        <f>AW58*2*AW54</f>
        <v>0</v>
      </c>
      <c r="CV119" s="413"/>
      <c r="CW119" s="414"/>
      <c r="CX119" s="412">
        <f>AZ58*2*AZ54</f>
        <v>0</v>
      </c>
      <c r="CY119" s="413"/>
      <c r="CZ119" s="414"/>
      <c r="DA119" s="412">
        <f>BC58*2*BC54</f>
        <v>0</v>
      </c>
      <c r="DB119" s="413"/>
      <c r="DC119" s="414"/>
      <c r="DD119" s="412">
        <f>BF58*2*BF54</f>
        <v>0</v>
      </c>
      <c r="DE119" s="413"/>
      <c r="DF119" s="414"/>
      <c r="DH119" s="311"/>
      <c r="DI119" s="311"/>
      <c r="DJ119" s="311"/>
      <c r="DK119" s="311"/>
      <c r="DL119" s="321"/>
      <c r="DM119" s="321"/>
      <c r="DN119" s="321"/>
      <c r="DO119" s="321"/>
      <c r="DP119" s="321"/>
      <c r="DQ119" s="321"/>
      <c r="DR119" s="321"/>
      <c r="DS119" s="321"/>
    </row>
    <row r="120" spans="1:124" ht="7.4" customHeight="1" x14ac:dyDescent="0.5">
      <c r="A120" s="42"/>
      <c r="B120" s="42"/>
      <c r="C120" s="419"/>
      <c r="D120" s="419"/>
      <c r="E120" s="41"/>
      <c r="F120" s="42"/>
      <c r="G120" s="319"/>
      <c r="H120" s="319"/>
      <c r="I120" s="319"/>
      <c r="J120" s="319"/>
      <c r="K120" s="319"/>
      <c r="L120" s="319"/>
      <c r="M120" s="319"/>
      <c r="N120" s="319"/>
      <c r="O120" s="319"/>
      <c r="P120" s="319"/>
      <c r="Q120" s="319"/>
      <c r="R120" s="320"/>
      <c r="S120" s="42"/>
      <c r="T120" s="405"/>
      <c r="U120" s="405"/>
      <c r="V120" s="405"/>
      <c r="W120" s="405"/>
      <c r="X120" s="405"/>
      <c r="Y120" s="405"/>
      <c r="Z120" s="405"/>
      <c r="AA120" s="405"/>
      <c r="AB120" s="405"/>
      <c r="AC120" s="405"/>
      <c r="AD120" s="405"/>
      <c r="AE120" s="405"/>
      <c r="AF120" s="405"/>
      <c r="AG120" s="405"/>
      <c r="AH120" s="405"/>
      <c r="AI120" s="405"/>
      <c r="AJ120" s="411"/>
      <c r="AK120" s="42"/>
      <c r="AL120" s="311"/>
      <c r="AM120" s="311"/>
      <c r="AN120" s="311"/>
      <c r="AO120" s="311"/>
      <c r="AP120" s="43"/>
      <c r="AQ120" s="111"/>
      <c r="AR120" s="309"/>
      <c r="AS120" s="309"/>
      <c r="AT120" s="309"/>
      <c r="AU120" s="309"/>
      <c r="AV120" s="309"/>
      <c r="AW120" s="309"/>
      <c r="AX120" s="309"/>
      <c r="AY120" s="309"/>
      <c r="AZ120" s="309"/>
      <c r="BA120" s="309"/>
      <c r="BB120" s="309"/>
      <c r="BC120" s="309"/>
      <c r="BD120" s="309"/>
      <c r="BE120" s="309"/>
      <c r="BF120" s="309"/>
      <c r="BG120" s="309"/>
      <c r="BH120" s="124"/>
      <c r="BI120" s="41"/>
      <c r="BK120" s="412"/>
      <c r="BL120" s="413"/>
      <c r="BM120" s="414"/>
      <c r="BN120" s="412"/>
      <c r="BO120" s="413"/>
      <c r="BP120" s="414"/>
      <c r="BQ120" s="412"/>
      <c r="BR120" s="413"/>
      <c r="BS120" s="414"/>
      <c r="BT120" s="412"/>
      <c r="BU120" s="413"/>
      <c r="BV120" s="414"/>
      <c r="BW120" s="412"/>
      <c r="BX120" s="413"/>
      <c r="BY120" s="414"/>
      <c r="BZ120" s="412"/>
      <c r="CA120" s="413"/>
      <c r="CB120" s="414"/>
      <c r="CC120" s="412"/>
      <c r="CD120" s="413"/>
      <c r="CE120" s="414"/>
      <c r="CF120" s="412"/>
      <c r="CG120" s="413"/>
      <c r="CH120" s="414"/>
      <c r="CI120" s="412"/>
      <c r="CJ120" s="413"/>
      <c r="CK120" s="414"/>
      <c r="CL120" s="412"/>
      <c r="CM120" s="413"/>
      <c r="CN120" s="414"/>
      <c r="CO120" s="412"/>
      <c r="CP120" s="413"/>
      <c r="CQ120" s="414"/>
      <c r="CR120" s="412"/>
      <c r="CS120" s="413"/>
      <c r="CT120" s="414"/>
      <c r="CU120" s="412"/>
      <c r="CV120" s="413"/>
      <c r="CW120" s="414"/>
      <c r="CX120" s="412"/>
      <c r="CY120" s="413"/>
      <c r="CZ120" s="414"/>
      <c r="DA120" s="412"/>
      <c r="DB120" s="413"/>
      <c r="DC120" s="414"/>
      <c r="DD120" s="412"/>
      <c r="DE120" s="413"/>
      <c r="DF120" s="414"/>
      <c r="DH120" s="311"/>
      <c r="DI120" s="311"/>
      <c r="DJ120" s="311"/>
      <c r="DK120" s="311"/>
      <c r="DL120" s="321"/>
      <c r="DM120" s="321"/>
      <c r="DN120" s="321"/>
      <c r="DO120" s="321"/>
      <c r="DP120" s="321"/>
      <c r="DQ120" s="321"/>
      <c r="DR120" s="321"/>
      <c r="DS120" s="321"/>
    </row>
    <row r="121" spans="1:124" ht="7.4" customHeight="1" x14ac:dyDescent="0.5">
      <c r="A121" s="42"/>
      <c r="B121" s="42"/>
      <c r="C121" s="333"/>
      <c r="D121" s="333"/>
      <c r="E121" s="41"/>
      <c r="F121" s="42"/>
      <c r="G121" s="56"/>
      <c r="H121" s="56"/>
      <c r="I121" s="56"/>
      <c r="J121" s="56"/>
      <c r="K121" s="56"/>
      <c r="L121" s="56"/>
      <c r="M121" s="56"/>
      <c r="N121" s="56"/>
      <c r="O121" s="56"/>
      <c r="P121" s="56"/>
      <c r="Q121" s="56"/>
      <c r="R121" s="126"/>
      <c r="S121" s="42"/>
      <c r="T121" s="116" t="str">
        <f>VLOOKUP(G119,PL!$B$9:$BH$1265,33,FALSE)</f>
        <v>Aluminium, Railless, 10deg</v>
      </c>
      <c r="AJ121" s="41"/>
      <c r="AK121" s="42"/>
      <c r="AL121" s="311"/>
      <c r="AM121" s="311"/>
      <c r="AN121" s="311"/>
      <c r="AO121" s="311"/>
      <c r="AP121" s="43"/>
      <c r="AQ121" s="42"/>
      <c r="AR121" s="46"/>
      <c r="AS121" s="46"/>
      <c r="AT121" s="46"/>
      <c r="AU121" s="46"/>
      <c r="AV121" s="46"/>
      <c r="AW121" s="46"/>
      <c r="AX121" s="105"/>
      <c r="AY121" s="79"/>
      <c r="AZ121" s="119"/>
      <c r="BA121" s="119"/>
      <c r="BB121" s="119"/>
      <c r="BC121" s="119"/>
      <c r="BD121" s="119"/>
      <c r="BE121" s="119"/>
      <c r="BF121" s="119"/>
      <c r="BG121" s="119"/>
      <c r="BH121" s="124"/>
      <c r="BI121" s="41"/>
      <c r="BK121" s="194"/>
      <c r="BL121" s="123"/>
      <c r="BM121" s="195"/>
      <c r="BN121" s="194"/>
      <c r="BO121" s="123"/>
      <c r="BP121" s="195"/>
      <c r="BQ121" s="194"/>
      <c r="BR121" s="123"/>
      <c r="BS121" s="195"/>
      <c r="BT121" s="194"/>
      <c r="BU121" s="123"/>
      <c r="BV121" s="195"/>
      <c r="BW121" s="194"/>
      <c r="BX121" s="123"/>
      <c r="BY121" s="195"/>
      <c r="BZ121" s="194"/>
      <c r="CA121" s="123"/>
      <c r="CB121" s="195"/>
      <c r="CC121" s="194"/>
      <c r="CD121" s="123"/>
      <c r="CE121" s="195"/>
      <c r="CF121" s="194"/>
      <c r="CG121" s="123"/>
      <c r="CH121" s="195"/>
      <c r="CI121" s="194"/>
      <c r="CJ121" s="123"/>
      <c r="CK121" s="195"/>
      <c r="CL121" s="194"/>
      <c r="CM121" s="123"/>
      <c r="CN121" s="195"/>
      <c r="CO121" s="194"/>
      <c r="CP121" s="123"/>
      <c r="CQ121" s="195"/>
      <c r="CR121" s="194"/>
      <c r="CS121" s="123"/>
      <c r="CT121" s="195"/>
      <c r="CU121" s="194"/>
      <c r="CV121" s="123"/>
      <c r="CW121" s="195"/>
      <c r="CX121" s="194"/>
      <c r="CY121" s="123"/>
      <c r="CZ121" s="195"/>
      <c r="DA121" s="194"/>
      <c r="DB121" s="123"/>
      <c r="DC121" s="195"/>
      <c r="DD121" s="194"/>
      <c r="DE121" s="123"/>
      <c r="DF121" s="195"/>
      <c r="DH121" s="311"/>
      <c r="DI121" s="311"/>
      <c r="DJ121" s="311"/>
      <c r="DK121" s="311"/>
      <c r="DL121" s="321"/>
      <c r="DM121" s="321"/>
      <c r="DN121" s="321"/>
      <c r="DO121" s="321"/>
      <c r="DP121" s="321"/>
      <c r="DQ121" s="321"/>
      <c r="DR121" s="321"/>
      <c r="DS121" s="321"/>
    </row>
    <row r="122" spans="1:124" ht="7.4" customHeight="1" x14ac:dyDescent="0.5">
      <c r="A122" s="42"/>
      <c r="B122" s="42"/>
      <c r="C122" s="55"/>
      <c r="D122" s="55"/>
      <c r="E122" s="41"/>
      <c r="F122" s="42"/>
      <c r="G122" s="56"/>
      <c r="H122" s="56"/>
      <c r="I122" s="56"/>
      <c r="J122" s="56"/>
      <c r="K122" s="56"/>
      <c r="L122" s="56"/>
      <c r="M122" s="56"/>
      <c r="N122" s="56"/>
      <c r="O122" s="56"/>
      <c r="P122" s="56"/>
      <c r="Q122" s="56"/>
      <c r="R122" s="126"/>
      <c r="S122" s="42"/>
      <c r="AJ122" s="41"/>
      <c r="AK122" s="42"/>
      <c r="AL122" s="311"/>
      <c r="AM122" s="311"/>
      <c r="AN122" s="311"/>
      <c r="AO122" s="311"/>
      <c r="AP122" s="43"/>
      <c r="AQ122" s="42"/>
      <c r="AR122" s="46"/>
      <c r="AS122" s="46"/>
      <c r="AT122" s="46"/>
      <c r="AU122" s="46"/>
      <c r="AV122" s="46"/>
      <c r="AW122" s="46"/>
      <c r="AX122" s="105"/>
      <c r="AY122" s="79"/>
      <c r="AZ122" s="119"/>
      <c r="BA122" s="119"/>
      <c r="BB122" s="119"/>
      <c r="BC122" s="119"/>
      <c r="BD122" s="119"/>
      <c r="BE122" s="119"/>
      <c r="BF122" s="119"/>
      <c r="BG122" s="119"/>
      <c r="BH122" s="124"/>
      <c r="BI122" s="41"/>
      <c r="BK122" s="194"/>
      <c r="BL122" s="123"/>
      <c r="BM122" s="195"/>
      <c r="BN122" s="194"/>
      <c r="BO122" s="123"/>
      <c r="BP122" s="195"/>
      <c r="BQ122" s="194"/>
      <c r="BR122" s="123"/>
      <c r="BS122" s="195"/>
      <c r="BT122" s="194"/>
      <c r="BU122" s="123"/>
      <c r="BV122" s="195"/>
      <c r="BW122" s="194"/>
      <c r="BX122" s="123"/>
      <c r="BY122" s="195"/>
      <c r="BZ122" s="194"/>
      <c r="CA122" s="123"/>
      <c r="CB122" s="195"/>
      <c r="CC122" s="194"/>
      <c r="CD122" s="123"/>
      <c r="CE122" s="195"/>
      <c r="CF122" s="194"/>
      <c r="CG122" s="123"/>
      <c r="CH122" s="195"/>
      <c r="CI122" s="194"/>
      <c r="CJ122" s="123"/>
      <c r="CK122" s="195"/>
      <c r="CL122" s="194"/>
      <c r="CM122" s="123"/>
      <c r="CN122" s="195"/>
      <c r="CO122" s="194"/>
      <c r="CP122" s="123"/>
      <c r="CQ122" s="195"/>
      <c r="CR122" s="194"/>
      <c r="CS122" s="123"/>
      <c r="CT122" s="195"/>
      <c r="CU122" s="194"/>
      <c r="CV122" s="123"/>
      <c r="CW122" s="195"/>
      <c r="CX122" s="198"/>
      <c r="CY122" s="123"/>
      <c r="CZ122" s="195"/>
      <c r="DA122" s="194"/>
      <c r="DB122" s="123"/>
      <c r="DC122" s="195"/>
      <c r="DD122" s="194"/>
      <c r="DE122" s="123"/>
      <c r="DF122" s="195"/>
      <c r="DL122" s="105"/>
      <c r="DM122" s="105"/>
      <c r="DN122" s="105"/>
      <c r="DO122" s="105"/>
      <c r="DP122" s="105"/>
      <c r="DQ122" s="105"/>
      <c r="DR122" s="105"/>
      <c r="DS122" s="105"/>
    </row>
    <row r="123" spans="1:124" ht="7.4" customHeight="1" x14ac:dyDescent="0.5">
      <c r="A123" s="42"/>
      <c r="B123" s="42"/>
      <c r="C123" s="311">
        <f>C119+1</f>
        <v>2</v>
      </c>
      <c r="D123" s="311"/>
      <c r="E123" s="41"/>
      <c r="F123" s="42"/>
      <c r="G123" s="319" t="str">
        <f>IF(AL123=0,"N/A","AXE_BR_SW_RL"&amp;"_AL")</f>
        <v>AXE_BR_SW_RL_AL</v>
      </c>
      <c r="H123" s="319"/>
      <c r="I123" s="319"/>
      <c r="J123" s="319"/>
      <c r="K123" s="319"/>
      <c r="L123" s="319"/>
      <c r="M123" s="319"/>
      <c r="N123" s="319"/>
      <c r="O123" s="319"/>
      <c r="P123" s="319"/>
      <c r="Q123" s="319"/>
      <c r="R123" s="320"/>
      <c r="S123" s="42"/>
      <c r="T123" s="405" t="str">
        <f>VLOOKUP(G123,PL!$B$9:$BH$1265,14,FALSE)</f>
        <v xml:space="preserve">Swivel Bracket </v>
      </c>
      <c r="U123" s="405"/>
      <c r="V123" s="405"/>
      <c r="W123" s="405"/>
      <c r="X123" s="405"/>
      <c r="Y123" s="405"/>
      <c r="Z123" s="405"/>
      <c r="AA123" s="405"/>
      <c r="AB123" s="405"/>
      <c r="AC123" s="405"/>
      <c r="AD123" s="405"/>
      <c r="AE123" s="405"/>
      <c r="AF123" s="405"/>
      <c r="AG123" s="405"/>
      <c r="AH123" s="405"/>
      <c r="AI123" s="405"/>
      <c r="AJ123" s="411"/>
      <c r="AK123" s="42"/>
      <c r="AL123" s="311">
        <f>ROUND(SUM(BK123:DF123)*(1+$BF$66),0)</f>
        <v>204</v>
      </c>
      <c r="AM123" s="311"/>
      <c r="AN123" s="311"/>
      <c r="AO123" s="311"/>
      <c r="AP123" s="43"/>
      <c r="AQ123" s="111"/>
      <c r="AR123" s="308" t="str">
        <f>VLOOKUP(G123,PL!$B$9:$BH$818,52,FALSE)</f>
        <v>SOL-580703</v>
      </c>
      <c r="AS123" s="309"/>
      <c r="AT123" s="309"/>
      <c r="AU123" s="309"/>
      <c r="AV123" s="309"/>
      <c r="AW123" s="309"/>
      <c r="AX123" s="309"/>
      <c r="AY123" s="309"/>
      <c r="AZ123" s="309"/>
      <c r="BA123" s="309"/>
      <c r="BB123" s="309"/>
      <c r="BC123" s="309"/>
      <c r="BD123" s="309"/>
      <c r="BE123" s="309"/>
      <c r="BF123" s="309"/>
      <c r="BG123" s="309"/>
      <c r="BH123" s="124"/>
      <c r="BI123" s="41"/>
      <c r="BK123" s="412">
        <f>BK119</f>
        <v>200</v>
      </c>
      <c r="BL123" s="413"/>
      <c r="BM123" s="414"/>
      <c r="BN123" s="412">
        <f t="shared" ref="BN123" si="0">BN119</f>
        <v>0</v>
      </c>
      <c r="BO123" s="413"/>
      <c r="BP123" s="414"/>
      <c r="BQ123" s="412">
        <f t="shared" ref="BQ123" si="1">BQ119</f>
        <v>0</v>
      </c>
      <c r="BR123" s="413"/>
      <c r="BS123" s="414"/>
      <c r="BT123" s="412">
        <f t="shared" ref="BT123" si="2">BT119</f>
        <v>0</v>
      </c>
      <c r="BU123" s="413"/>
      <c r="BV123" s="414"/>
      <c r="BW123" s="412">
        <f t="shared" ref="BW123" si="3">BW119</f>
        <v>0</v>
      </c>
      <c r="BX123" s="413"/>
      <c r="BY123" s="414"/>
      <c r="BZ123" s="412">
        <f t="shared" ref="BZ123" si="4">BZ119</f>
        <v>0</v>
      </c>
      <c r="CA123" s="413"/>
      <c r="CB123" s="414"/>
      <c r="CC123" s="412">
        <f t="shared" ref="CC123" si="5">CC119</f>
        <v>0</v>
      </c>
      <c r="CD123" s="413"/>
      <c r="CE123" s="414"/>
      <c r="CF123" s="412">
        <f t="shared" ref="CF123" si="6">CF119</f>
        <v>0</v>
      </c>
      <c r="CG123" s="413"/>
      <c r="CH123" s="414"/>
      <c r="CI123" s="412">
        <f t="shared" ref="CI123" si="7">CI119</f>
        <v>0</v>
      </c>
      <c r="CJ123" s="413"/>
      <c r="CK123" s="414"/>
      <c r="CL123" s="412">
        <f t="shared" ref="CL123" si="8">CL119</f>
        <v>0</v>
      </c>
      <c r="CM123" s="413"/>
      <c r="CN123" s="414"/>
      <c r="CO123" s="412">
        <f t="shared" ref="CO123" si="9">CO119</f>
        <v>0</v>
      </c>
      <c r="CP123" s="413"/>
      <c r="CQ123" s="414"/>
      <c r="CR123" s="412">
        <f t="shared" ref="CR123" si="10">CR119</f>
        <v>0</v>
      </c>
      <c r="CS123" s="413"/>
      <c r="CT123" s="414"/>
      <c r="CU123" s="412">
        <f t="shared" ref="CU123" si="11">CU119</f>
        <v>0</v>
      </c>
      <c r="CV123" s="413"/>
      <c r="CW123" s="414"/>
      <c r="CX123" s="412">
        <f t="shared" ref="CX123" si="12">CX119</f>
        <v>0</v>
      </c>
      <c r="CY123" s="413"/>
      <c r="CZ123" s="414"/>
      <c r="DA123" s="412">
        <f t="shared" ref="DA123" si="13">DA119</f>
        <v>0</v>
      </c>
      <c r="DB123" s="413"/>
      <c r="DC123" s="414"/>
      <c r="DD123" s="412">
        <f t="shared" ref="DD123" si="14">DD119</f>
        <v>0</v>
      </c>
      <c r="DE123" s="413"/>
      <c r="DF123" s="414"/>
      <c r="DH123" s="311"/>
      <c r="DI123" s="311"/>
      <c r="DJ123" s="311"/>
      <c r="DK123" s="311"/>
      <c r="DL123" s="321"/>
      <c r="DM123" s="321"/>
      <c r="DN123" s="321"/>
      <c r="DO123" s="321"/>
      <c r="DP123" s="321"/>
      <c r="DQ123" s="321"/>
      <c r="DR123" s="321"/>
      <c r="DS123" s="321"/>
    </row>
    <row r="124" spans="1:124" ht="7.4" customHeight="1" x14ac:dyDescent="0.5">
      <c r="A124" s="42"/>
      <c r="B124" s="42"/>
      <c r="C124" s="311"/>
      <c r="D124" s="311"/>
      <c r="E124" s="41"/>
      <c r="F124" s="42"/>
      <c r="G124" s="319"/>
      <c r="H124" s="319"/>
      <c r="I124" s="319"/>
      <c r="J124" s="319"/>
      <c r="K124" s="319"/>
      <c r="L124" s="319"/>
      <c r="M124" s="319"/>
      <c r="N124" s="319"/>
      <c r="O124" s="319"/>
      <c r="P124" s="319"/>
      <c r="Q124" s="319"/>
      <c r="R124" s="320"/>
      <c r="S124" s="42"/>
      <c r="T124" s="405"/>
      <c r="U124" s="405"/>
      <c r="V124" s="405"/>
      <c r="W124" s="405"/>
      <c r="X124" s="405"/>
      <c r="Y124" s="405"/>
      <c r="Z124" s="405"/>
      <c r="AA124" s="405"/>
      <c r="AB124" s="405"/>
      <c r="AC124" s="405"/>
      <c r="AD124" s="405"/>
      <c r="AE124" s="405"/>
      <c r="AF124" s="405"/>
      <c r="AG124" s="405"/>
      <c r="AH124" s="405"/>
      <c r="AI124" s="405"/>
      <c r="AJ124" s="411"/>
      <c r="AK124" s="42"/>
      <c r="AL124" s="311"/>
      <c r="AM124" s="311"/>
      <c r="AN124" s="311"/>
      <c r="AO124" s="311"/>
      <c r="AP124" s="43"/>
      <c r="AQ124" s="111"/>
      <c r="AR124" s="309"/>
      <c r="AS124" s="309"/>
      <c r="AT124" s="309"/>
      <c r="AU124" s="309"/>
      <c r="AV124" s="309"/>
      <c r="AW124" s="309"/>
      <c r="AX124" s="309"/>
      <c r="AY124" s="309"/>
      <c r="AZ124" s="309"/>
      <c r="BA124" s="309"/>
      <c r="BB124" s="309"/>
      <c r="BC124" s="309"/>
      <c r="BD124" s="309"/>
      <c r="BE124" s="309"/>
      <c r="BF124" s="309"/>
      <c r="BG124" s="309"/>
      <c r="BH124" s="124"/>
      <c r="BI124" s="41"/>
      <c r="BK124" s="412"/>
      <c r="BL124" s="413"/>
      <c r="BM124" s="414"/>
      <c r="BN124" s="412"/>
      <c r="BO124" s="413"/>
      <c r="BP124" s="414"/>
      <c r="BQ124" s="412"/>
      <c r="BR124" s="413"/>
      <c r="BS124" s="414"/>
      <c r="BT124" s="412"/>
      <c r="BU124" s="413"/>
      <c r="BV124" s="414"/>
      <c r="BW124" s="412"/>
      <c r="BX124" s="413"/>
      <c r="BY124" s="414"/>
      <c r="BZ124" s="412"/>
      <c r="CA124" s="413"/>
      <c r="CB124" s="414"/>
      <c r="CC124" s="412"/>
      <c r="CD124" s="413"/>
      <c r="CE124" s="414"/>
      <c r="CF124" s="412"/>
      <c r="CG124" s="413"/>
      <c r="CH124" s="414"/>
      <c r="CI124" s="412"/>
      <c r="CJ124" s="413"/>
      <c r="CK124" s="414"/>
      <c r="CL124" s="412"/>
      <c r="CM124" s="413"/>
      <c r="CN124" s="414"/>
      <c r="CO124" s="412"/>
      <c r="CP124" s="413"/>
      <c r="CQ124" s="414"/>
      <c r="CR124" s="412"/>
      <c r="CS124" s="413"/>
      <c r="CT124" s="414"/>
      <c r="CU124" s="412"/>
      <c r="CV124" s="413"/>
      <c r="CW124" s="414"/>
      <c r="CX124" s="412"/>
      <c r="CY124" s="413"/>
      <c r="CZ124" s="414"/>
      <c r="DA124" s="412"/>
      <c r="DB124" s="413"/>
      <c r="DC124" s="414"/>
      <c r="DD124" s="412"/>
      <c r="DE124" s="413"/>
      <c r="DF124" s="414"/>
      <c r="DH124" s="311"/>
      <c r="DI124" s="311"/>
      <c r="DJ124" s="311"/>
      <c r="DK124" s="311"/>
      <c r="DL124" s="321"/>
      <c r="DM124" s="321"/>
      <c r="DN124" s="321"/>
      <c r="DO124" s="321"/>
      <c r="DP124" s="321"/>
      <c r="DQ124" s="321"/>
      <c r="DR124" s="321"/>
      <c r="DS124" s="321"/>
    </row>
    <row r="125" spans="1:124" ht="7.4" customHeight="1" x14ac:dyDescent="0.5">
      <c r="A125" s="42"/>
      <c r="B125" s="42"/>
      <c r="C125" s="55"/>
      <c r="D125" s="55"/>
      <c r="E125" s="41"/>
      <c r="F125" s="42"/>
      <c r="G125" s="56"/>
      <c r="H125" s="56"/>
      <c r="I125" s="56"/>
      <c r="J125" s="56"/>
      <c r="K125" s="56"/>
      <c r="L125" s="56"/>
      <c r="M125" s="56"/>
      <c r="N125" s="56"/>
      <c r="O125" s="56"/>
      <c r="P125" s="56"/>
      <c r="Q125" s="56"/>
      <c r="R125" s="126"/>
      <c r="S125" s="42"/>
      <c r="T125" s="116" t="str">
        <f>VLOOKUP(G123,PL!$B$9:$BH$1265,33,FALSE)</f>
        <v>Aluminium, Railless</v>
      </c>
      <c r="AJ125" s="41"/>
      <c r="AK125" s="42"/>
      <c r="AL125" s="311"/>
      <c r="AM125" s="311"/>
      <c r="AN125" s="311"/>
      <c r="AO125" s="311"/>
      <c r="AP125" s="43"/>
      <c r="AQ125" s="42"/>
      <c r="AR125" s="46"/>
      <c r="AS125" s="46"/>
      <c r="AT125" s="46"/>
      <c r="AU125" s="46"/>
      <c r="AV125" s="46"/>
      <c r="AW125" s="46"/>
      <c r="AX125" s="105"/>
      <c r="AY125" s="79"/>
      <c r="AZ125" s="119"/>
      <c r="BA125" s="119"/>
      <c r="BB125" s="119"/>
      <c r="BC125" s="119"/>
      <c r="BD125" s="119"/>
      <c r="BE125" s="119"/>
      <c r="BF125" s="119"/>
      <c r="BG125" s="119"/>
      <c r="BH125" s="124"/>
      <c r="BI125" s="41"/>
      <c r="BK125" s="194"/>
      <c r="BL125" s="123"/>
      <c r="BM125" s="195"/>
      <c r="BN125" s="194"/>
      <c r="BO125" s="123"/>
      <c r="BP125" s="195"/>
      <c r="BQ125" s="194"/>
      <c r="BR125" s="123"/>
      <c r="BS125" s="195"/>
      <c r="BT125" s="194"/>
      <c r="BU125" s="123"/>
      <c r="BV125" s="195"/>
      <c r="BW125" s="194"/>
      <c r="BX125" s="123"/>
      <c r="BY125" s="195"/>
      <c r="BZ125" s="194"/>
      <c r="CA125" s="123"/>
      <c r="CB125" s="195"/>
      <c r="CC125" s="194"/>
      <c r="CD125" s="123"/>
      <c r="CE125" s="195"/>
      <c r="CF125" s="194"/>
      <c r="CG125" s="123"/>
      <c r="CH125" s="195"/>
      <c r="CI125" s="194"/>
      <c r="CJ125" s="123"/>
      <c r="CK125" s="195"/>
      <c r="CL125" s="194"/>
      <c r="CM125" s="123"/>
      <c r="CN125" s="195"/>
      <c r="CO125" s="194"/>
      <c r="CP125" s="123"/>
      <c r="CQ125" s="195"/>
      <c r="CR125" s="194"/>
      <c r="CS125" s="123"/>
      <c r="CT125" s="195"/>
      <c r="CU125" s="194"/>
      <c r="CV125" s="123"/>
      <c r="CW125" s="195"/>
      <c r="CX125" s="246"/>
      <c r="CY125" s="122"/>
      <c r="CZ125" s="247"/>
      <c r="DA125" s="194"/>
      <c r="DB125" s="123"/>
      <c r="DC125" s="195"/>
      <c r="DD125" s="194"/>
      <c r="DE125" s="123"/>
      <c r="DF125" s="195"/>
      <c r="DH125" s="311"/>
      <c r="DI125" s="311"/>
      <c r="DJ125" s="311"/>
      <c r="DK125" s="311"/>
      <c r="DL125" s="321"/>
      <c r="DM125" s="321"/>
      <c r="DN125" s="321"/>
      <c r="DO125" s="321"/>
      <c r="DP125" s="321"/>
      <c r="DQ125" s="321"/>
      <c r="DR125" s="321"/>
      <c r="DS125" s="321"/>
    </row>
    <row r="126" spans="1:124" ht="7.4" customHeight="1" x14ac:dyDescent="0.5">
      <c r="A126" s="42"/>
      <c r="B126" s="42"/>
      <c r="C126" s="55"/>
      <c r="D126" s="55"/>
      <c r="E126" s="41"/>
      <c r="F126" s="42"/>
      <c r="G126" s="56"/>
      <c r="H126" s="56"/>
      <c r="I126" s="56"/>
      <c r="J126" s="56"/>
      <c r="K126" s="56"/>
      <c r="L126" s="56"/>
      <c r="M126" s="56"/>
      <c r="N126" s="56"/>
      <c r="O126" s="56"/>
      <c r="P126" s="56"/>
      <c r="Q126" s="56"/>
      <c r="R126" s="126"/>
      <c r="S126" s="42"/>
      <c r="AJ126" s="41"/>
      <c r="AK126" s="42"/>
      <c r="AL126" s="311"/>
      <c r="AM126" s="311"/>
      <c r="AN126" s="311"/>
      <c r="AO126" s="311"/>
      <c r="AP126" s="43"/>
      <c r="AQ126" s="42"/>
      <c r="AR126" s="46"/>
      <c r="AS126" s="46"/>
      <c r="AT126" s="46"/>
      <c r="AU126" s="46"/>
      <c r="AV126" s="46"/>
      <c r="AW126" s="46"/>
      <c r="AX126" s="105"/>
      <c r="AY126" s="79"/>
      <c r="AZ126" s="119"/>
      <c r="BA126" s="119"/>
      <c r="BB126" s="119"/>
      <c r="BC126" s="119"/>
      <c r="BD126" s="119"/>
      <c r="BE126" s="119"/>
      <c r="BF126" s="119"/>
      <c r="BG126" s="119"/>
      <c r="BH126" s="124"/>
      <c r="BI126" s="41"/>
      <c r="BK126" s="194"/>
      <c r="BL126" s="123"/>
      <c r="BM126" s="195"/>
      <c r="BN126" s="194"/>
      <c r="BO126" s="123"/>
      <c r="BP126" s="195"/>
      <c r="BQ126" s="194"/>
      <c r="BR126" s="123"/>
      <c r="BS126" s="195"/>
      <c r="BT126" s="194"/>
      <c r="BU126" s="123"/>
      <c r="BV126" s="195"/>
      <c r="BW126" s="194"/>
      <c r="BX126" s="123"/>
      <c r="BY126" s="195"/>
      <c r="BZ126" s="194"/>
      <c r="CA126" s="123"/>
      <c r="CB126" s="195"/>
      <c r="CC126" s="194"/>
      <c r="CD126" s="123"/>
      <c r="CE126" s="195"/>
      <c r="CF126" s="194"/>
      <c r="CG126" s="123"/>
      <c r="CH126" s="195"/>
      <c r="CI126" s="194"/>
      <c r="CJ126" s="123"/>
      <c r="CK126" s="195"/>
      <c r="CL126" s="194"/>
      <c r="CM126" s="123"/>
      <c r="CN126" s="195"/>
      <c r="CO126" s="194"/>
      <c r="CP126" s="123"/>
      <c r="CQ126" s="195"/>
      <c r="CR126" s="194"/>
      <c r="CS126" s="123"/>
      <c r="CT126" s="195"/>
      <c r="CU126" s="194"/>
      <c r="CV126" s="123"/>
      <c r="CW126" s="195"/>
      <c r="CX126" s="194"/>
      <c r="CY126" s="123"/>
      <c r="CZ126" s="195"/>
      <c r="DA126" s="194"/>
      <c r="DB126" s="123"/>
      <c r="DC126" s="195"/>
      <c r="DD126" s="194"/>
      <c r="DE126" s="123"/>
      <c r="DF126" s="195"/>
      <c r="DL126" s="105"/>
      <c r="DM126" s="105"/>
      <c r="DN126" s="105"/>
      <c r="DO126" s="105"/>
      <c r="DP126" s="105"/>
      <c r="DQ126" s="105"/>
      <c r="DR126" s="105"/>
      <c r="DS126" s="105"/>
    </row>
    <row r="127" spans="1:124" ht="7.4" customHeight="1" x14ac:dyDescent="0.5">
      <c r="A127" s="42"/>
      <c r="B127" s="42"/>
      <c r="C127" s="311">
        <f>C123+1</f>
        <v>3</v>
      </c>
      <c r="D127" s="311"/>
      <c r="E127" s="41"/>
      <c r="F127" s="42"/>
      <c r="G127" s="319" t="str">
        <f>IF(AL127=0,"N/A","AXE_CE_AP_"&amp;$AM$45&amp;"_AL")</f>
        <v>AXE_CE_AP_30_AL</v>
      </c>
      <c r="H127" s="319"/>
      <c r="I127" s="319"/>
      <c r="J127" s="319"/>
      <c r="K127" s="319"/>
      <c r="L127" s="319"/>
      <c r="M127" s="319"/>
      <c r="N127" s="319"/>
      <c r="O127" s="319"/>
      <c r="P127" s="319"/>
      <c r="Q127" s="319"/>
      <c r="R127" s="320"/>
      <c r="S127" s="42"/>
      <c r="T127" s="405" t="str">
        <f>VLOOKUP(G127,PL!$B$9:$BH$1265,14,FALSE)</f>
        <v>End Clamp</v>
      </c>
      <c r="U127" s="405"/>
      <c r="V127" s="405"/>
      <c r="W127" s="405"/>
      <c r="X127" s="405"/>
      <c r="Y127" s="405"/>
      <c r="Z127" s="405"/>
      <c r="AA127" s="405"/>
      <c r="AB127" s="405"/>
      <c r="AC127" s="405"/>
      <c r="AD127" s="405"/>
      <c r="AE127" s="405"/>
      <c r="AF127" s="405"/>
      <c r="AG127" s="405"/>
      <c r="AH127" s="405"/>
      <c r="AI127" s="405"/>
      <c r="AJ127" s="411"/>
      <c r="AK127" s="42"/>
      <c r="AL127" s="311">
        <f>ROUND(SUM(BK127:DF127)*(1+$BF$76),0)</f>
        <v>412</v>
      </c>
      <c r="AM127" s="311"/>
      <c r="AN127" s="311"/>
      <c r="AO127" s="311"/>
      <c r="AP127" s="43"/>
      <c r="AQ127" s="111"/>
      <c r="AR127" s="308" t="str">
        <f>VLOOKUP(G127,PL!$B$9:$BH$818,52,FALSE)</f>
        <v>SOL-58011</v>
      </c>
      <c r="AS127" s="309"/>
      <c r="AT127" s="309"/>
      <c r="AU127" s="309"/>
      <c r="AV127" s="309"/>
      <c r="AW127" s="309"/>
      <c r="AX127" s="309"/>
      <c r="AY127" s="309"/>
      <c r="AZ127" s="309"/>
      <c r="BA127" s="309"/>
      <c r="BB127" s="309"/>
      <c r="BC127" s="309"/>
      <c r="BD127" s="309"/>
      <c r="BE127" s="309"/>
      <c r="BF127" s="309"/>
      <c r="BG127" s="309"/>
      <c r="BH127" s="124"/>
      <c r="BI127" s="41"/>
      <c r="BK127" s="412">
        <f>M58*4*M54</f>
        <v>400</v>
      </c>
      <c r="BL127" s="413"/>
      <c r="BM127" s="414"/>
      <c r="BN127" s="412">
        <f t="shared" ref="BN127" si="15">P58*4*P54</f>
        <v>0</v>
      </c>
      <c r="BO127" s="413"/>
      <c r="BP127" s="414"/>
      <c r="BQ127" s="412">
        <f t="shared" ref="BQ127" si="16">S58*4*S54</f>
        <v>0</v>
      </c>
      <c r="BR127" s="413"/>
      <c r="BS127" s="414"/>
      <c r="BT127" s="412">
        <f t="shared" ref="BT127" si="17">V58*4*V54</f>
        <v>0</v>
      </c>
      <c r="BU127" s="413"/>
      <c r="BV127" s="414"/>
      <c r="BW127" s="412">
        <f t="shared" ref="BW127" si="18">Y58*4*Y54</f>
        <v>0</v>
      </c>
      <c r="BX127" s="413"/>
      <c r="BY127" s="414"/>
      <c r="BZ127" s="412">
        <f t="shared" ref="BZ127" si="19">AB58*4*AB54</f>
        <v>0</v>
      </c>
      <c r="CA127" s="413"/>
      <c r="CB127" s="414"/>
      <c r="CC127" s="412">
        <f t="shared" ref="CC127" si="20">AE58*4*AE54</f>
        <v>0</v>
      </c>
      <c r="CD127" s="413"/>
      <c r="CE127" s="414"/>
      <c r="CF127" s="412">
        <f t="shared" ref="CF127" si="21">AH58*4*AH54</f>
        <v>0</v>
      </c>
      <c r="CG127" s="413"/>
      <c r="CH127" s="414"/>
      <c r="CI127" s="412">
        <f t="shared" ref="CI127" si="22">AK58*4*AK54</f>
        <v>0</v>
      </c>
      <c r="CJ127" s="413"/>
      <c r="CK127" s="414"/>
      <c r="CL127" s="412">
        <f t="shared" ref="CL127" si="23">AN58*4*AN54</f>
        <v>0</v>
      </c>
      <c r="CM127" s="413"/>
      <c r="CN127" s="414"/>
      <c r="CO127" s="412">
        <f t="shared" ref="CO127" si="24">AQ58*4*AQ54</f>
        <v>0</v>
      </c>
      <c r="CP127" s="413"/>
      <c r="CQ127" s="414"/>
      <c r="CR127" s="412">
        <f t="shared" ref="CR127" si="25">AT58*4*AT54</f>
        <v>0</v>
      </c>
      <c r="CS127" s="413"/>
      <c r="CT127" s="414"/>
      <c r="CU127" s="412">
        <f t="shared" ref="CU127" si="26">AW58*4*AW54</f>
        <v>0</v>
      </c>
      <c r="CV127" s="413"/>
      <c r="CW127" s="414"/>
      <c r="CX127" s="412">
        <f t="shared" ref="CX127" si="27">AZ58*4*AZ54</f>
        <v>0</v>
      </c>
      <c r="CY127" s="413"/>
      <c r="CZ127" s="414"/>
      <c r="DA127" s="412">
        <f t="shared" ref="DA127" si="28">BC58*4*BC54</f>
        <v>0</v>
      </c>
      <c r="DB127" s="413"/>
      <c r="DC127" s="414"/>
      <c r="DD127" s="412">
        <f t="shared" ref="DD127" si="29">BF58*4*BF54</f>
        <v>0</v>
      </c>
      <c r="DE127" s="413"/>
      <c r="DF127" s="414"/>
      <c r="DH127" s="311"/>
      <c r="DI127" s="311"/>
      <c r="DJ127" s="311"/>
      <c r="DK127" s="311"/>
      <c r="DL127" s="321"/>
      <c r="DM127" s="321"/>
      <c r="DN127" s="321"/>
      <c r="DO127" s="321"/>
      <c r="DP127" s="321"/>
      <c r="DQ127" s="321"/>
      <c r="DR127" s="321"/>
      <c r="DS127" s="321"/>
    </row>
    <row r="128" spans="1:124" ht="7.4" customHeight="1" x14ac:dyDescent="0.5">
      <c r="A128" s="42"/>
      <c r="B128" s="42"/>
      <c r="C128" s="311"/>
      <c r="D128" s="311"/>
      <c r="E128" s="41"/>
      <c r="F128" s="42"/>
      <c r="G128" s="319"/>
      <c r="H128" s="319"/>
      <c r="I128" s="319"/>
      <c r="J128" s="319"/>
      <c r="K128" s="319"/>
      <c r="L128" s="319"/>
      <c r="M128" s="319"/>
      <c r="N128" s="319"/>
      <c r="O128" s="319"/>
      <c r="P128" s="319"/>
      <c r="Q128" s="319"/>
      <c r="R128" s="320"/>
      <c r="S128" s="42"/>
      <c r="T128" s="405"/>
      <c r="U128" s="405"/>
      <c r="V128" s="405"/>
      <c r="W128" s="405"/>
      <c r="X128" s="405"/>
      <c r="Y128" s="405"/>
      <c r="Z128" s="405"/>
      <c r="AA128" s="405"/>
      <c r="AB128" s="405"/>
      <c r="AC128" s="405"/>
      <c r="AD128" s="405"/>
      <c r="AE128" s="405"/>
      <c r="AF128" s="405"/>
      <c r="AG128" s="405"/>
      <c r="AH128" s="405"/>
      <c r="AI128" s="405"/>
      <c r="AJ128" s="411"/>
      <c r="AK128" s="42"/>
      <c r="AL128" s="311"/>
      <c r="AM128" s="311"/>
      <c r="AN128" s="311"/>
      <c r="AO128" s="311"/>
      <c r="AP128" s="43"/>
      <c r="AQ128" s="111"/>
      <c r="AR128" s="309"/>
      <c r="AS128" s="309"/>
      <c r="AT128" s="309"/>
      <c r="AU128" s="309"/>
      <c r="AV128" s="309"/>
      <c r="AW128" s="309"/>
      <c r="AX128" s="309"/>
      <c r="AY128" s="309"/>
      <c r="AZ128" s="309"/>
      <c r="BA128" s="309"/>
      <c r="BB128" s="309"/>
      <c r="BC128" s="309"/>
      <c r="BD128" s="309"/>
      <c r="BE128" s="309"/>
      <c r="BF128" s="309"/>
      <c r="BG128" s="309"/>
      <c r="BH128" s="124"/>
      <c r="BI128" s="41"/>
      <c r="BK128" s="412"/>
      <c r="BL128" s="413"/>
      <c r="BM128" s="414"/>
      <c r="BN128" s="412"/>
      <c r="BO128" s="413"/>
      <c r="BP128" s="414"/>
      <c r="BQ128" s="412"/>
      <c r="BR128" s="413"/>
      <c r="BS128" s="414"/>
      <c r="BT128" s="412"/>
      <c r="BU128" s="413"/>
      <c r="BV128" s="414"/>
      <c r="BW128" s="412"/>
      <c r="BX128" s="413"/>
      <c r="BY128" s="414"/>
      <c r="BZ128" s="412"/>
      <c r="CA128" s="413"/>
      <c r="CB128" s="414"/>
      <c r="CC128" s="412"/>
      <c r="CD128" s="413"/>
      <c r="CE128" s="414"/>
      <c r="CF128" s="412"/>
      <c r="CG128" s="413"/>
      <c r="CH128" s="414"/>
      <c r="CI128" s="412"/>
      <c r="CJ128" s="413"/>
      <c r="CK128" s="414"/>
      <c r="CL128" s="412"/>
      <c r="CM128" s="413"/>
      <c r="CN128" s="414"/>
      <c r="CO128" s="412"/>
      <c r="CP128" s="413"/>
      <c r="CQ128" s="414"/>
      <c r="CR128" s="412"/>
      <c r="CS128" s="413"/>
      <c r="CT128" s="414"/>
      <c r="CU128" s="412"/>
      <c r="CV128" s="413"/>
      <c r="CW128" s="414"/>
      <c r="CX128" s="412"/>
      <c r="CY128" s="413"/>
      <c r="CZ128" s="414"/>
      <c r="DA128" s="412"/>
      <c r="DB128" s="413"/>
      <c r="DC128" s="414"/>
      <c r="DD128" s="412"/>
      <c r="DE128" s="413"/>
      <c r="DF128" s="414"/>
      <c r="DH128" s="311"/>
      <c r="DI128" s="311"/>
      <c r="DJ128" s="311"/>
      <c r="DK128" s="311"/>
      <c r="DL128" s="321"/>
      <c r="DM128" s="321"/>
      <c r="DN128" s="321"/>
      <c r="DO128" s="321"/>
      <c r="DP128" s="321"/>
      <c r="DQ128" s="321"/>
      <c r="DR128" s="321"/>
      <c r="DS128" s="321"/>
    </row>
    <row r="129" spans="1:123" ht="7.4" customHeight="1" x14ac:dyDescent="0.5">
      <c r="A129" s="42"/>
      <c r="B129" s="42"/>
      <c r="C129" s="55"/>
      <c r="D129" s="55"/>
      <c r="E129" s="41"/>
      <c r="F129" s="42"/>
      <c r="G129" s="56"/>
      <c r="H129" s="56"/>
      <c r="I129" s="56"/>
      <c r="J129" s="56"/>
      <c r="K129" s="56"/>
      <c r="L129" s="56"/>
      <c r="M129" s="56"/>
      <c r="N129" s="56"/>
      <c r="O129" s="56"/>
      <c r="P129" s="56"/>
      <c r="Q129" s="56"/>
      <c r="R129" s="126"/>
      <c r="S129" s="42"/>
      <c r="T129" s="116" t="str">
        <f>VLOOKUP(G127,PL!$B$9:$BH$1265,33,FALSE)</f>
        <v>Aluminium, All purpose, 30mm high</v>
      </c>
      <c r="AJ129" s="41"/>
      <c r="AK129" s="42"/>
      <c r="AL129" s="311"/>
      <c r="AM129" s="311"/>
      <c r="AN129" s="311"/>
      <c r="AO129" s="311"/>
      <c r="AP129" s="43"/>
      <c r="AQ129" s="42"/>
      <c r="AR129" s="46"/>
      <c r="AS129" s="46"/>
      <c r="AT129" s="46"/>
      <c r="AU129" s="46"/>
      <c r="AV129" s="46"/>
      <c r="AW129" s="46"/>
      <c r="AX129" s="105"/>
      <c r="AY129" s="79"/>
      <c r="AZ129" s="119"/>
      <c r="BA129" s="119"/>
      <c r="BB129" s="119"/>
      <c r="BC129" s="119"/>
      <c r="BD129" s="119"/>
      <c r="BE129" s="119"/>
      <c r="BF129" s="119"/>
      <c r="BG129" s="119"/>
      <c r="BH129" s="124"/>
      <c r="BI129" s="41"/>
      <c r="BK129" s="194"/>
      <c r="BL129" s="123"/>
      <c r="BM129" s="195"/>
      <c r="BN129" s="194"/>
      <c r="BO129" s="123"/>
      <c r="BP129" s="195"/>
      <c r="BQ129" s="194"/>
      <c r="BR129" s="123"/>
      <c r="BS129" s="195"/>
      <c r="BT129" s="194"/>
      <c r="BU129" s="123"/>
      <c r="BV129" s="195"/>
      <c r="BW129" s="194"/>
      <c r="BX129" s="123"/>
      <c r="BY129" s="195"/>
      <c r="BZ129" s="194"/>
      <c r="CA129" s="123"/>
      <c r="CB129" s="195"/>
      <c r="CC129" s="194"/>
      <c r="CD129" s="123"/>
      <c r="CE129" s="195"/>
      <c r="CF129" s="194"/>
      <c r="CG129" s="123"/>
      <c r="CH129" s="195"/>
      <c r="CI129" s="194"/>
      <c r="CJ129" s="123"/>
      <c r="CK129" s="195"/>
      <c r="CL129" s="194"/>
      <c r="CM129" s="123"/>
      <c r="CN129" s="195"/>
      <c r="CO129" s="194"/>
      <c r="CP129" s="123"/>
      <c r="CQ129" s="195"/>
      <c r="CR129" s="194"/>
      <c r="CS129" s="123"/>
      <c r="CT129" s="195"/>
      <c r="CU129" s="194"/>
      <c r="CV129" s="123"/>
      <c r="CW129" s="195"/>
      <c r="CX129" s="246"/>
      <c r="CY129" s="122"/>
      <c r="CZ129" s="247"/>
      <c r="DA129" s="194"/>
      <c r="DB129" s="123"/>
      <c r="DC129" s="195"/>
      <c r="DD129" s="194"/>
      <c r="DE129" s="123"/>
      <c r="DF129" s="195"/>
      <c r="DH129" s="311"/>
      <c r="DI129" s="311"/>
      <c r="DJ129" s="311"/>
      <c r="DK129" s="311"/>
      <c r="DL129" s="321"/>
      <c r="DM129" s="321"/>
      <c r="DN129" s="321"/>
      <c r="DO129" s="321"/>
      <c r="DP129" s="321"/>
      <c r="DQ129" s="321"/>
      <c r="DR129" s="321"/>
      <c r="DS129" s="321"/>
    </row>
    <row r="130" spans="1:123" ht="7.4" customHeight="1" x14ac:dyDescent="0.5">
      <c r="A130" s="42"/>
      <c r="B130" s="42"/>
      <c r="C130" s="55"/>
      <c r="D130" s="55"/>
      <c r="E130" s="41"/>
      <c r="F130" s="42"/>
      <c r="G130" s="56"/>
      <c r="H130" s="56"/>
      <c r="I130" s="56"/>
      <c r="J130" s="56"/>
      <c r="K130" s="56"/>
      <c r="L130" s="56"/>
      <c r="M130" s="56"/>
      <c r="N130" s="56"/>
      <c r="O130" s="56"/>
      <c r="P130" s="56"/>
      <c r="Q130" s="56"/>
      <c r="R130" s="126"/>
      <c r="S130" s="42"/>
      <c r="AJ130" s="41"/>
      <c r="AK130" s="42"/>
      <c r="AL130" s="311"/>
      <c r="AM130" s="311"/>
      <c r="AN130" s="311"/>
      <c r="AO130" s="311"/>
      <c r="AP130" s="43"/>
      <c r="AQ130" s="42"/>
      <c r="AR130" s="46"/>
      <c r="AS130" s="46"/>
      <c r="AT130" s="46"/>
      <c r="AU130" s="46"/>
      <c r="AV130" s="46"/>
      <c r="AW130" s="46"/>
      <c r="AX130" s="105"/>
      <c r="AY130" s="79"/>
      <c r="AZ130" s="119"/>
      <c r="BA130" s="119"/>
      <c r="BB130" s="119"/>
      <c r="BC130" s="119"/>
      <c r="BD130" s="119"/>
      <c r="BE130" s="119"/>
      <c r="BF130" s="119"/>
      <c r="BG130" s="119"/>
      <c r="BH130" s="124"/>
      <c r="BI130" s="41"/>
      <c r="BK130" s="194"/>
      <c r="BL130" s="123"/>
      <c r="BM130" s="195"/>
      <c r="BN130" s="194"/>
      <c r="BO130" s="123"/>
      <c r="BP130" s="195"/>
      <c r="BQ130" s="194"/>
      <c r="BR130" s="123"/>
      <c r="BS130" s="195"/>
      <c r="BT130" s="194"/>
      <c r="BU130" s="123"/>
      <c r="BV130" s="195"/>
      <c r="BW130" s="194"/>
      <c r="BX130" s="123"/>
      <c r="BY130" s="195"/>
      <c r="BZ130" s="194"/>
      <c r="CA130" s="123"/>
      <c r="CB130" s="195"/>
      <c r="CC130" s="194"/>
      <c r="CD130" s="123"/>
      <c r="CE130" s="195"/>
      <c r="CF130" s="194"/>
      <c r="CG130" s="123"/>
      <c r="CH130" s="195"/>
      <c r="CI130" s="194"/>
      <c r="CJ130" s="123"/>
      <c r="CK130" s="195"/>
      <c r="CL130" s="194"/>
      <c r="CM130" s="123"/>
      <c r="CN130" s="195"/>
      <c r="CO130" s="194"/>
      <c r="CP130" s="123"/>
      <c r="CQ130" s="195"/>
      <c r="CR130" s="194"/>
      <c r="CS130" s="123"/>
      <c r="CT130" s="195"/>
      <c r="CU130" s="194"/>
      <c r="CV130" s="123"/>
      <c r="CW130" s="195"/>
      <c r="CX130" s="194"/>
      <c r="CY130" s="123"/>
      <c r="CZ130" s="195"/>
      <c r="DA130" s="194"/>
      <c r="DB130" s="123"/>
      <c r="DC130" s="195"/>
      <c r="DD130" s="194"/>
      <c r="DE130" s="123"/>
      <c r="DF130" s="195"/>
      <c r="DL130" s="105"/>
      <c r="DM130" s="105"/>
      <c r="DN130" s="105"/>
      <c r="DO130" s="105"/>
      <c r="DP130" s="105"/>
      <c r="DQ130" s="105"/>
      <c r="DR130" s="105"/>
      <c r="DS130" s="105"/>
    </row>
    <row r="131" spans="1:123" ht="7.4" customHeight="1" x14ac:dyDescent="0.5">
      <c r="A131" s="42"/>
      <c r="B131" s="42"/>
      <c r="C131" s="311">
        <f>C127+1</f>
        <v>4</v>
      </c>
      <c r="D131" s="311"/>
      <c r="E131" s="41"/>
      <c r="F131" s="42"/>
      <c r="G131" s="319" t="str">
        <f>"AXE_BR_"&amp;IF($AO$35="Corrugated","COR_H",
IF(OR($AO$35="Corrugated (L-bracket)",$AO$35="IBR (L-bracket)"),"L_R",
IF(OR($AO$35="Corrugated (Rib Surface)",$AO$35="IBR (Rib Surface)"),"RS_H",
IF(OR($AO$35="Corrugated (Ridge)",$AO$35="IBR (Ridge)"),"RF_H",
IF($AO$35="IBR","IBR_H",
IF($AO$35="Craft-Lock","CL_H",
IF(OR($AO$35="Klip-Lok",$AO$35="ProLok",$AO$35="Saflok"),"FL_H",
IF($AO$35="Springlok","SL_H",
IF($AO$35="Novotexi","NT_H",
IF(OR($AO$35="Brownbuilt",$AO$35="Dimondek"),"GL_H",
IF(OR($AO$35="Brownbuilt (Pinch)",$AO$35="Dimondek (Pinch)"),"PF_H",
IF(OR($AO$35="Dimondek (Stand Rib)",$AO$35="Zip-Tek"),"SR_H","L_S"))))))))))))&amp;"_AL"</f>
        <v>AXE_BR_IBR_H_AL</v>
      </c>
      <c r="H131" s="319"/>
      <c r="I131" s="319"/>
      <c r="J131" s="319"/>
      <c r="K131" s="319"/>
      <c r="L131" s="319"/>
      <c r="M131" s="319"/>
      <c r="N131" s="319"/>
      <c r="O131" s="319"/>
      <c r="P131" s="319"/>
      <c r="Q131" s="319"/>
      <c r="R131" s="320"/>
      <c r="S131" s="42"/>
      <c r="T131" s="405" t="str">
        <f>VLOOKUP(G131,PL!$B$9:$BH$1265,14,FALSE)</f>
        <v xml:space="preserve">IBR Bracket </v>
      </c>
      <c r="U131" s="405"/>
      <c r="V131" s="405"/>
      <c r="W131" s="405"/>
      <c r="X131" s="405"/>
      <c r="Y131" s="405"/>
      <c r="Z131" s="405"/>
      <c r="AA131" s="405"/>
      <c r="AB131" s="405"/>
      <c r="AC131" s="405"/>
      <c r="AD131" s="405"/>
      <c r="AE131" s="405"/>
      <c r="AF131" s="405"/>
      <c r="AG131" s="405"/>
      <c r="AH131" s="405"/>
      <c r="AI131" s="405"/>
      <c r="AJ131" s="411"/>
      <c r="AK131" s="42"/>
      <c r="AL131" s="311">
        <f>ROUND(SUM(BK131:DF131)*(1+$BF$66),0)</f>
        <v>408</v>
      </c>
      <c r="AM131" s="311"/>
      <c r="AN131" s="311"/>
      <c r="AO131" s="311"/>
      <c r="AP131" s="43"/>
      <c r="AQ131" s="111"/>
      <c r="AR131" s="308" t="str">
        <f>VLOOKUP(G131,PL!$B$9:$BH$818,52,FALSE)</f>
        <v>SOL-59020</v>
      </c>
      <c r="AS131" s="309"/>
      <c r="AT131" s="309"/>
      <c r="AU131" s="309"/>
      <c r="AV131" s="309"/>
      <c r="AW131" s="309"/>
      <c r="AX131" s="309"/>
      <c r="AY131" s="309"/>
      <c r="AZ131" s="309"/>
      <c r="BA131" s="309"/>
      <c r="BB131" s="309"/>
      <c r="BC131" s="309"/>
      <c r="BD131" s="309"/>
      <c r="BE131" s="309"/>
      <c r="BF131" s="309"/>
      <c r="BG131" s="309"/>
      <c r="BH131" s="124"/>
      <c r="BI131" s="41"/>
      <c r="BK131" s="412">
        <f>IF($AO$35="Flat Surface",0,M58*4*M54)</f>
        <v>400</v>
      </c>
      <c r="BL131" s="413"/>
      <c r="BM131" s="414"/>
      <c r="BN131" s="412">
        <f t="shared" ref="BN131" si="30">IF($AO$35="Flat Surface",0,P58*4*P54)</f>
        <v>0</v>
      </c>
      <c r="BO131" s="413"/>
      <c r="BP131" s="414"/>
      <c r="BQ131" s="412">
        <f t="shared" ref="BQ131" si="31">IF($AO$35="Flat Surface",0,S58*4*S54)</f>
        <v>0</v>
      </c>
      <c r="BR131" s="413"/>
      <c r="BS131" s="414"/>
      <c r="BT131" s="412">
        <f t="shared" ref="BT131" si="32">IF($AO$35="Flat Surface",0,V58*4*V54)</f>
        <v>0</v>
      </c>
      <c r="BU131" s="413"/>
      <c r="BV131" s="414"/>
      <c r="BW131" s="412">
        <f t="shared" ref="BW131" si="33">IF($AO$35="Flat Surface",0,Y58*4*Y54)</f>
        <v>0</v>
      </c>
      <c r="BX131" s="413"/>
      <c r="BY131" s="414"/>
      <c r="BZ131" s="412">
        <f t="shared" ref="BZ131" si="34">IF($AO$35="Flat Surface",0,AB58*4*AB54)</f>
        <v>0</v>
      </c>
      <c r="CA131" s="413"/>
      <c r="CB131" s="414"/>
      <c r="CC131" s="412">
        <f t="shared" ref="CC131" si="35">IF($AO$35="Flat Surface",0,AE58*4*AE54)</f>
        <v>0</v>
      </c>
      <c r="CD131" s="413"/>
      <c r="CE131" s="414"/>
      <c r="CF131" s="412">
        <f t="shared" ref="CF131" si="36">IF($AO$35="Flat Surface",0,AH58*4*AH54)</f>
        <v>0</v>
      </c>
      <c r="CG131" s="413"/>
      <c r="CH131" s="414"/>
      <c r="CI131" s="412">
        <f t="shared" ref="CI131" si="37">IF($AO$35="Flat Surface",0,AK58*4*AK54)</f>
        <v>0</v>
      </c>
      <c r="CJ131" s="413"/>
      <c r="CK131" s="414"/>
      <c r="CL131" s="412">
        <f t="shared" ref="CL131" si="38">IF($AO$35="Flat Surface",0,AN58*4*AN54)</f>
        <v>0</v>
      </c>
      <c r="CM131" s="413"/>
      <c r="CN131" s="414"/>
      <c r="CO131" s="412">
        <f t="shared" ref="CO131" si="39">IF($AO$35="Flat Surface",0,AQ58*4*AQ54)</f>
        <v>0</v>
      </c>
      <c r="CP131" s="413"/>
      <c r="CQ131" s="414"/>
      <c r="CR131" s="412">
        <f t="shared" ref="CR131" si="40">IF($AO$35="Flat Surface",0,AT58*4*AT54)</f>
        <v>0</v>
      </c>
      <c r="CS131" s="413"/>
      <c r="CT131" s="414"/>
      <c r="CU131" s="412">
        <f t="shared" ref="CU131" si="41">IF($AO$35="Flat Surface",0,AW58*4*AW54)</f>
        <v>0</v>
      </c>
      <c r="CV131" s="413"/>
      <c r="CW131" s="414"/>
      <c r="CX131" s="412">
        <f t="shared" ref="CX131" si="42">IF($AO$35="Flat Surface",0,AZ58*4*AZ54)</f>
        <v>0</v>
      </c>
      <c r="CY131" s="413"/>
      <c r="CZ131" s="414"/>
      <c r="DA131" s="412">
        <f t="shared" ref="DA131" si="43">IF($AO$35="Flat Surface",0,BC58*4*BC54)</f>
        <v>0</v>
      </c>
      <c r="DB131" s="413"/>
      <c r="DC131" s="414"/>
      <c r="DD131" s="412">
        <f t="shared" ref="DD131" si="44">IF($AO$35="Flat Surface",0,BF58*4*BF54)</f>
        <v>0</v>
      </c>
      <c r="DE131" s="413"/>
      <c r="DF131" s="414"/>
      <c r="DH131" s="311"/>
      <c r="DI131" s="311"/>
      <c r="DJ131" s="311"/>
      <c r="DK131" s="311"/>
      <c r="DL131" s="321"/>
      <c r="DM131" s="321"/>
      <c r="DN131" s="321"/>
      <c r="DO131" s="321"/>
      <c r="DP131" s="321"/>
      <c r="DQ131" s="321"/>
      <c r="DR131" s="321"/>
      <c r="DS131" s="321"/>
    </row>
    <row r="132" spans="1:123" ht="7.4" customHeight="1" x14ac:dyDescent="0.5">
      <c r="A132" s="42"/>
      <c r="B132" s="42"/>
      <c r="C132" s="311"/>
      <c r="D132" s="311"/>
      <c r="E132" s="41"/>
      <c r="F132" s="42"/>
      <c r="G132" s="319"/>
      <c r="H132" s="319"/>
      <c r="I132" s="319"/>
      <c r="J132" s="319"/>
      <c r="K132" s="319"/>
      <c r="L132" s="319"/>
      <c r="M132" s="319"/>
      <c r="N132" s="319"/>
      <c r="O132" s="319"/>
      <c r="P132" s="319"/>
      <c r="Q132" s="319"/>
      <c r="R132" s="320"/>
      <c r="S132" s="42"/>
      <c r="T132" s="405"/>
      <c r="U132" s="405"/>
      <c r="V132" s="405"/>
      <c r="W132" s="405"/>
      <c r="X132" s="405"/>
      <c r="Y132" s="405"/>
      <c r="Z132" s="405"/>
      <c r="AA132" s="405"/>
      <c r="AB132" s="405"/>
      <c r="AC132" s="405"/>
      <c r="AD132" s="405"/>
      <c r="AE132" s="405"/>
      <c r="AF132" s="405"/>
      <c r="AG132" s="405"/>
      <c r="AH132" s="405"/>
      <c r="AI132" s="405"/>
      <c r="AJ132" s="411"/>
      <c r="AK132" s="42"/>
      <c r="AL132" s="311"/>
      <c r="AM132" s="311"/>
      <c r="AN132" s="311"/>
      <c r="AO132" s="311"/>
      <c r="AP132" s="43"/>
      <c r="AQ132" s="111"/>
      <c r="AR132" s="309"/>
      <c r="AS132" s="309"/>
      <c r="AT132" s="309"/>
      <c r="AU132" s="309"/>
      <c r="AV132" s="309"/>
      <c r="AW132" s="309"/>
      <c r="AX132" s="309"/>
      <c r="AY132" s="309"/>
      <c r="AZ132" s="309"/>
      <c r="BA132" s="309"/>
      <c r="BB132" s="309"/>
      <c r="BC132" s="309"/>
      <c r="BD132" s="309"/>
      <c r="BE132" s="309"/>
      <c r="BF132" s="309"/>
      <c r="BG132" s="309"/>
      <c r="BH132" s="124"/>
      <c r="BI132" s="41"/>
      <c r="BK132" s="412"/>
      <c r="BL132" s="413"/>
      <c r="BM132" s="414"/>
      <c r="BN132" s="412"/>
      <c r="BO132" s="413"/>
      <c r="BP132" s="414"/>
      <c r="BQ132" s="412"/>
      <c r="BR132" s="413"/>
      <c r="BS132" s="414"/>
      <c r="BT132" s="412"/>
      <c r="BU132" s="413"/>
      <c r="BV132" s="414"/>
      <c r="BW132" s="412"/>
      <c r="BX132" s="413"/>
      <c r="BY132" s="414"/>
      <c r="BZ132" s="412"/>
      <c r="CA132" s="413"/>
      <c r="CB132" s="414"/>
      <c r="CC132" s="412"/>
      <c r="CD132" s="413"/>
      <c r="CE132" s="414"/>
      <c r="CF132" s="412"/>
      <c r="CG132" s="413"/>
      <c r="CH132" s="414"/>
      <c r="CI132" s="412"/>
      <c r="CJ132" s="413"/>
      <c r="CK132" s="414"/>
      <c r="CL132" s="412"/>
      <c r="CM132" s="413"/>
      <c r="CN132" s="414"/>
      <c r="CO132" s="412"/>
      <c r="CP132" s="413"/>
      <c r="CQ132" s="414"/>
      <c r="CR132" s="412"/>
      <c r="CS132" s="413"/>
      <c r="CT132" s="414"/>
      <c r="CU132" s="412"/>
      <c r="CV132" s="413"/>
      <c r="CW132" s="414"/>
      <c r="CX132" s="412"/>
      <c r="CY132" s="413"/>
      <c r="CZ132" s="414"/>
      <c r="DA132" s="412"/>
      <c r="DB132" s="413"/>
      <c r="DC132" s="414"/>
      <c r="DD132" s="412"/>
      <c r="DE132" s="413"/>
      <c r="DF132" s="414"/>
      <c r="DH132" s="311"/>
      <c r="DI132" s="311"/>
      <c r="DJ132" s="311"/>
      <c r="DK132" s="311"/>
      <c r="DL132" s="321"/>
      <c r="DM132" s="321"/>
      <c r="DN132" s="321"/>
      <c r="DO132" s="321"/>
      <c r="DP132" s="321"/>
      <c r="DQ132" s="321"/>
      <c r="DR132" s="321"/>
      <c r="DS132" s="321"/>
    </row>
    <row r="133" spans="1:123" ht="7.4" customHeight="1" x14ac:dyDescent="0.5">
      <c r="A133" s="42"/>
      <c r="B133" s="42"/>
      <c r="C133" s="333"/>
      <c r="D133" s="333"/>
      <c r="E133" s="41"/>
      <c r="F133" s="42"/>
      <c r="G133" s="56"/>
      <c r="H133" s="56"/>
      <c r="I133" s="56"/>
      <c r="J133" s="56"/>
      <c r="K133" s="56"/>
      <c r="L133" s="56"/>
      <c r="M133" s="56"/>
      <c r="N133" s="56"/>
      <c r="O133" s="56"/>
      <c r="P133" s="56"/>
      <c r="Q133" s="56"/>
      <c r="R133" s="126"/>
      <c r="S133" s="42"/>
      <c r="T133" s="116" t="str">
        <f>VLOOKUP(G131,PL!$B$9:$BH$1265,33,FALSE)</f>
        <v>Aluminium, Horizontal</v>
      </c>
      <c r="AJ133" s="41"/>
      <c r="AK133" s="42"/>
      <c r="AL133" s="311"/>
      <c r="AM133" s="311"/>
      <c r="AN133" s="311"/>
      <c r="AO133" s="311"/>
      <c r="AP133" s="43"/>
      <c r="AQ133" s="42"/>
      <c r="AR133" s="46"/>
      <c r="AS133" s="46"/>
      <c r="AT133" s="46"/>
      <c r="AU133" s="46"/>
      <c r="AV133" s="46"/>
      <c r="AW133" s="46"/>
      <c r="AX133" s="105"/>
      <c r="AY133" s="79"/>
      <c r="AZ133" s="119"/>
      <c r="BA133" s="119"/>
      <c r="BB133" s="119"/>
      <c r="BC133" s="119"/>
      <c r="BD133" s="119"/>
      <c r="BE133" s="119"/>
      <c r="BF133" s="119"/>
      <c r="BG133" s="119"/>
      <c r="BH133" s="124"/>
      <c r="BI133" s="41"/>
      <c r="BK133" s="194"/>
      <c r="BL133" s="123"/>
      <c r="BM133" s="195"/>
      <c r="BN133" s="194"/>
      <c r="BO133" s="123"/>
      <c r="BP133" s="195"/>
      <c r="BQ133" s="194"/>
      <c r="BR133" s="123"/>
      <c r="BS133" s="195"/>
      <c r="BT133" s="194"/>
      <c r="BU133" s="123"/>
      <c r="BV133" s="195"/>
      <c r="BW133" s="194"/>
      <c r="BX133" s="123"/>
      <c r="BY133" s="195"/>
      <c r="BZ133" s="194"/>
      <c r="CA133" s="123"/>
      <c r="CB133" s="195"/>
      <c r="CC133" s="194"/>
      <c r="CD133" s="123"/>
      <c r="CE133" s="195"/>
      <c r="CF133" s="194"/>
      <c r="CG133" s="123"/>
      <c r="CH133" s="195"/>
      <c r="CI133" s="194"/>
      <c r="CJ133" s="123"/>
      <c r="CK133" s="195"/>
      <c r="CL133" s="194"/>
      <c r="CM133" s="123"/>
      <c r="CN133" s="195"/>
      <c r="CO133" s="194"/>
      <c r="CP133" s="123"/>
      <c r="CQ133" s="195"/>
      <c r="CR133" s="194"/>
      <c r="CS133" s="123"/>
      <c r="CT133" s="195"/>
      <c r="CU133" s="194"/>
      <c r="CV133" s="123"/>
      <c r="CW133" s="195"/>
      <c r="CX133" s="194"/>
      <c r="CY133" s="123"/>
      <c r="CZ133" s="195"/>
      <c r="DA133" s="194"/>
      <c r="DB133" s="123"/>
      <c r="DC133" s="195"/>
      <c r="DD133" s="194"/>
      <c r="DE133" s="123"/>
      <c r="DF133" s="195"/>
      <c r="DH133" s="311"/>
      <c r="DI133" s="311"/>
      <c r="DJ133" s="311"/>
      <c r="DK133" s="311"/>
      <c r="DL133" s="321"/>
      <c r="DM133" s="321"/>
      <c r="DN133" s="321"/>
      <c r="DO133" s="321"/>
      <c r="DP133" s="321"/>
      <c r="DQ133" s="321"/>
      <c r="DR133" s="321"/>
      <c r="DS133" s="321"/>
    </row>
    <row r="134" spans="1:123" ht="7.4" customHeight="1" x14ac:dyDescent="0.5">
      <c r="A134" s="42"/>
      <c r="B134" s="42"/>
      <c r="C134" s="55"/>
      <c r="D134" s="55"/>
      <c r="E134" s="41"/>
      <c r="F134" s="42"/>
      <c r="G134" s="56"/>
      <c r="H134" s="56"/>
      <c r="I134" s="56"/>
      <c r="J134" s="56"/>
      <c r="K134" s="56"/>
      <c r="L134" s="56"/>
      <c r="M134" s="56"/>
      <c r="N134" s="56"/>
      <c r="O134" s="56"/>
      <c r="P134" s="56"/>
      <c r="Q134" s="56"/>
      <c r="R134" s="126"/>
      <c r="S134" s="42"/>
      <c r="AJ134" s="41"/>
      <c r="AK134" s="42"/>
      <c r="AL134" s="311"/>
      <c r="AM134" s="311"/>
      <c r="AN134" s="311"/>
      <c r="AO134" s="311"/>
      <c r="AP134" s="43"/>
      <c r="AQ134" s="42"/>
      <c r="AR134" s="46"/>
      <c r="AS134" s="46"/>
      <c r="AT134" s="46"/>
      <c r="AU134" s="46"/>
      <c r="AV134" s="46"/>
      <c r="AW134" s="46"/>
      <c r="AX134" s="105"/>
      <c r="AY134" s="79"/>
      <c r="AZ134" s="119"/>
      <c r="BA134" s="119"/>
      <c r="BB134" s="119"/>
      <c r="BC134" s="119"/>
      <c r="BD134" s="119"/>
      <c r="BE134" s="119"/>
      <c r="BF134" s="119"/>
      <c r="BG134" s="119"/>
      <c r="BH134" s="124"/>
      <c r="BI134" s="41"/>
      <c r="BK134" s="194"/>
      <c r="BL134" s="123"/>
      <c r="BM134" s="195"/>
      <c r="BN134" s="194"/>
      <c r="BO134" s="123"/>
      <c r="BP134" s="195"/>
      <c r="BQ134" s="194"/>
      <c r="BR134" s="123"/>
      <c r="BS134" s="195"/>
      <c r="BT134" s="194"/>
      <c r="BU134" s="123"/>
      <c r="BV134" s="195"/>
      <c r="BW134" s="194"/>
      <c r="BX134" s="123"/>
      <c r="BY134" s="195"/>
      <c r="BZ134" s="194"/>
      <c r="CA134" s="123"/>
      <c r="CB134" s="195"/>
      <c r="CC134" s="194"/>
      <c r="CD134" s="123"/>
      <c r="CE134" s="195"/>
      <c r="CF134" s="194"/>
      <c r="CG134" s="123"/>
      <c r="CH134" s="195"/>
      <c r="CI134" s="194"/>
      <c r="CJ134" s="123"/>
      <c r="CK134" s="195"/>
      <c r="CL134" s="194"/>
      <c r="CM134" s="123"/>
      <c r="CN134" s="195"/>
      <c r="CO134" s="194"/>
      <c r="CP134" s="123"/>
      <c r="CQ134" s="195"/>
      <c r="CR134" s="194"/>
      <c r="CS134" s="123"/>
      <c r="CT134" s="195"/>
      <c r="CU134" s="194"/>
      <c r="CV134" s="123"/>
      <c r="CW134" s="195"/>
      <c r="CX134" s="194"/>
      <c r="CY134" s="123"/>
      <c r="CZ134" s="195"/>
      <c r="DA134" s="194"/>
      <c r="DB134" s="123"/>
      <c r="DC134" s="195"/>
      <c r="DD134" s="194"/>
      <c r="DE134" s="123"/>
      <c r="DF134" s="195"/>
      <c r="DL134" s="105"/>
      <c r="DM134" s="105"/>
      <c r="DN134" s="105"/>
      <c r="DO134" s="105"/>
      <c r="DP134" s="105"/>
      <c r="DQ134" s="105"/>
      <c r="DR134" s="105"/>
      <c r="DS134" s="105"/>
    </row>
    <row r="135" spans="1:123" ht="7.4" customHeight="1" x14ac:dyDescent="0.5">
      <c r="A135" s="42"/>
      <c r="B135" s="42"/>
      <c r="C135" s="311">
        <f>C131+1</f>
        <v>5</v>
      </c>
      <c r="D135" s="311"/>
      <c r="E135" s="41"/>
      <c r="F135" s="42"/>
      <c r="G135" s="319" t="str">
        <f>IF(AL135=0,"N/A","AXE_CC_SS")</f>
        <v>N/A</v>
      </c>
      <c r="H135" s="319"/>
      <c r="I135" s="319"/>
      <c r="J135" s="319"/>
      <c r="K135" s="319"/>
      <c r="L135" s="319"/>
      <c r="M135" s="319"/>
      <c r="N135" s="319"/>
      <c r="O135" s="319"/>
      <c r="P135" s="319"/>
      <c r="Q135" s="319"/>
      <c r="R135" s="320"/>
      <c r="S135" s="42"/>
      <c r="T135" s="405" t="str">
        <f>VLOOKUP(G135,PL!$B$9:$BH$1265,14,FALSE)</f>
        <v>No Item</v>
      </c>
      <c r="U135" s="405"/>
      <c r="V135" s="405"/>
      <c r="W135" s="405"/>
      <c r="X135" s="405"/>
      <c r="Y135" s="405"/>
      <c r="Z135" s="405"/>
      <c r="AA135" s="405"/>
      <c r="AB135" s="405"/>
      <c r="AC135" s="405"/>
      <c r="AD135" s="405"/>
      <c r="AE135" s="405"/>
      <c r="AF135" s="405"/>
      <c r="AG135" s="405"/>
      <c r="AH135" s="405"/>
      <c r="AI135" s="405"/>
      <c r="AJ135" s="411"/>
      <c r="AK135" s="42"/>
      <c r="AL135" s="311">
        <f>ROUND(SUM(BK135:DF135)*(1+$BF$66),0)</f>
        <v>0</v>
      </c>
      <c r="AM135" s="311"/>
      <c r="AN135" s="311"/>
      <c r="AO135" s="311"/>
      <c r="AP135" s="43"/>
      <c r="AQ135" s="111"/>
      <c r="AR135" s="308" t="str">
        <f>VLOOKUP(G135,PL!$B$9:$BH$818,52,FALSE)</f>
        <v>-</v>
      </c>
      <c r="AS135" s="309"/>
      <c r="AT135" s="309"/>
      <c r="AU135" s="309"/>
      <c r="AV135" s="309"/>
      <c r="AW135" s="309"/>
      <c r="AX135" s="309"/>
      <c r="AY135" s="309"/>
      <c r="AZ135" s="309"/>
      <c r="BA135" s="309"/>
      <c r="BB135" s="309"/>
      <c r="BC135" s="309"/>
      <c r="BD135" s="309"/>
      <c r="BE135" s="309"/>
      <c r="BF135" s="309"/>
      <c r="BG135" s="309"/>
      <c r="BH135" s="124"/>
      <c r="BI135" s="41"/>
      <c r="BK135" s="412">
        <f>IF($N$66="Included",1,0)*M58*M54</f>
        <v>0</v>
      </c>
      <c r="BL135" s="413"/>
      <c r="BM135" s="414"/>
      <c r="BN135" s="412">
        <f>IF($N$66="Included",1,0)*P58*P54</f>
        <v>0</v>
      </c>
      <c r="BO135" s="413"/>
      <c r="BP135" s="414"/>
      <c r="BQ135" s="412">
        <f>IF($N$66="Included",1,0)*S58*S54</f>
        <v>0</v>
      </c>
      <c r="BR135" s="413"/>
      <c r="BS135" s="414"/>
      <c r="BT135" s="412">
        <f>IF($N$66="Included",1,0)*V58*V54</f>
        <v>0</v>
      </c>
      <c r="BU135" s="413"/>
      <c r="BV135" s="414"/>
      <c r="BW135" s="412">
        <f>IF($N$66="Included",1,0)*Y58*Y54</f>
        <v>0</v>
      </c>
      <c r="BX135" s="413"/>
      <c r="BY135" s="414"/>
      <c r="BZ135" s="412">
        <f>IF($N$66="Included",1,0)*AB58*AB54</f>
        <v>0</v>
      </c>
      <c r="CA135" s="413"/>
      <c r="CB135" s="414"/>
      <c r="CC135" s="412">
        <f>IF($N$66="Included",1,0)*AE58*AE54</f>
        <v>0</v>
      </c>
      <c r="CD135" s="413"/>
      <c r="CE135" s="414"/>
      <c r="CF135" s="412">
        <f>IF($N$66="Included",1,0)*AH58*AH54</f>
        <v>0</v>
      </c>
      <c r="CG135" s="413"/>
      <c r="CH135" s="414"/>
      <c r="CI135" s="412">
        <f>IF($N$66="Included",1,0)*AK58*AK54</f>
        <v>0</v>
      </c>
      <c r="CJ135" s="413"/>
      <c r="CK135" s="414"/>
      <c r="CL135" s="412">
        <f>IF($N$66="Included",1,0)*AN58*AN54</f>
        <v>0</v>
      </c>
      <c r="CM135" s="413"/>
      <c r="CN135" s="414"/>
      <c r="CO135" s="412">
        <f>IF($N$66="Included",1,0)*AQ58*AQ54</f>
        <v>0</v>
      </c>
      <c r="CP135" s="413"/>
      <c r="CQ135" s="414"/>
      <c r="CR135" s="412">
        <f>IF($N$66="Included",1,0)*AT58*AT54</f>
        <v>0</v>
      </c>
      <c r="CS135" s="413"/>
      <c r="CT135" s="414"/>
      <c r="CU135" s="412">
        <f>IF($N$66="Included",1,0)*AW58*AW54</f>
        <v>0</v>
      </c>
      <c r="CV135" s="413"/>
      <c r="CW135" s="414"/>
      <c r="CX135" s="412">
        <f>IF($N$66="Included",1,0)*AZ58*AZ54</f>
        <v>0</v>
      </c>
      <c r="CY135" s="413"/>
      <c r="CZ135" s="414"/>
      <c r="DA135" s="412">
        <f>IF($N$66="Included",1,0)*BC58*BC54</f>
        <v>0</v>
      </c>
      <c r="DB135" s="413"/>
      <c r="DC135" s="414"/>
      <c r="DD135" s="412">
        <f>IF($N$66="Included",1,0)*BF58*BF54</f>
        <v>0</v>
      </c>
      <c r="DE135" s="413"/>
      <c r="DF135" s="414"/>
      <c r="DH135" s="311"/>
      <c r="DI135" s="311"/>
      <c r="DJ135" s="311"/>
      <c r="DK135" s="311"/>
      <c r="DL135" s="321"/>
      <c r="DM135" s="321"/>
      <c r="DN135" s="321"/>
      <c r="DO135" s="321"/>
      <c r="DP135" s="321"/>
      <c r="DQ135" s="321"/>
      <c r="DR135" s="321"/>
      <c r="DS135" s="321"/>
    </row>
    <row r="136" spans="1:123" ht="7.4" customHeight="1" x14ac:dyDescent="0.5">
      <c r="A136" s="42"/>
      <c r="B136" s="42"/>
      <c r="C136" s="311"/>
      <c r="D136" s="311"/>
      <c r="E136" s="41"/>
      <c r="F136" s="42"/>
      <c r="G136" s="319"/>
      <c r="H136" s="319"/>
      <c r="I136" s="319"/>
      <c r="J136" s="319"/>
      <c r="K136" s="319"/>
      <c r="L136" s="319"/>
      <c r="M136" s="319"/>
      <c r="N136" s="319"/>
      <c r="O136" s="319"/>
      <c r="P136" s="319"/>
      <c r="Q136" s="319"/>
      <c r="R136" s="320"/>
      <c r="S136" s="42"/>
      <c r="T136" s="405"/>
      <c r="U136" s="405"/>
      <c r="V136" s="405"/>
      <c r="W136" s="405"/>
      <c r="X136" s="405"/>
      <c r="Y136" s="405"/>
      <c r="Z136" s="405"/>
      <c r="AA136" s="405"/>
      <c r="AB136" s="405"/>
      <c r="AC136" s="405"/>
      <c r="AD136" s="405"/>
      <c r="AE136" s="405"/>
      <c r="AF136" s="405"/>
      <c r="AG136" s="405"/>
      <c r="AH136" s="405"/>
      <c r="AI136" s="405"/>
      <c r="AJ136" s="411"/>
      <c r="AK136" s="42"/>
      <c r="AL136" s="311"/>
      <c r="AM136" s="311"/>
      <c r="AN136" s="311"/>
      <c r="AO136" s="311"/>
      <c r="AP136" s="43"/>
      <c r="AQ136" s="111"/>
      <c r="AR136" s="309"/>
      <c r="AS136" s="309"/>
      <c r="AT136" s="309"/>
      <c r="AU136" s="309"/>
      <c r="AV136" s="309"/>
      <c r="AW136" s="309"/>
      <c r="AX136" s="309"/>
      <c r="AY136" s="309"/>
      <c r="AZ136" s="309"/>
      <c r="BA136" s="309"/>
      <c r="BB136" s="309"/>
      <c r="BC136" s="309"/>
      <c r="BD136" s="309"/>
      <c r="BE136" s="309"/>
      <c r="BF136" s="309"/>
      <c r="BG136" s="309"/>
      <c r="BH136" s="124"/>
      <c r="BI136" s="41"/>
      <c r="BK136" s="412"/>
      <c r="BL136" s="413"/>
      <c r="BM136" s="414"/>
      <c r="BN136" s="412"/>
      <c r="BO136" s="413"/>
      <c r="BP136" s="414"/>
      <c r="BQ136" s="412"/>
      <c r="BR136" s="413"/>
      <c r="BS136" s="414"/>
      <c r="BT136" s="412"/>
      <c r="BU136" s="413"/>
      <c r="BV136" s="414"/>
      <c r="BW136" s="412"/>
      <c r="BX136" s="413"/>
      <c r="BY136" s="414"/>
      <c r="BZ136" s="412"/>
      <c r="CA136" s="413"/>
      <c r="CB136" s="414"/>
      <c r="CC136" s="412"/>
      <c r="CD136" s="413"/>
      <c r="CE136" s="414"/>
      <c r="CF136" s="412"/>
      <c r="CG136" s="413"/>
      <c r="CH136" s="414"/>
      <c r="CI136" s="412"/>
      <c r="CJ136" s="413"/>
      <c r="CK136" s="414"/>
      <c r="CL136" s="412"/>
      <c r="CM136" s="413"/>
      <c r="CN136" s="414"/>
      <c r="CO136" s="412"/>
      <c r="CP136" s="413"/>
      <c r="CQ136" s="414"/>
      <c r="CR136" s="412"/>
      <c r="CS136" s="413"/>
      <c r="CT136" s="414"/>
      <c r="CU136" s="412"/>
      <c r="CV136" s="413"/>
      <c r="CW136" s="414"/>
      <c r="CX136" s="412"/>
      <c r="CY136" s="413"/>
      <c r="CZ136" s="414"/>
      <c r="DA136" s="412"/>
      <c r="DB136" s="413"/>
      <c r="DC136" s="414"/>
      <c r="DD136" s="412"/>
      <c r="DE136" s="413"/>
      <c r="DF136" s="414"/>
      <c r="DH136" s="311"/>
      <c r="DI136" s="311"/>
      <c r="DJ136" s="311"/>
      <c r="DK136" s="311"/>
      <c r="DL136" s="321"/>
      <c r="DM136" s="321"/>
      <c r="DN136" s="321"/>
      <c r="DO136" s="321"/>
      <c r="DP136" s="321"/>
      <c r="DQ136" s="321"/>
      <c r="DR136" s="321"/>
      <c r="DS136" s="321"/>
    </row>
    <row r="137" spans="1:123" ht="7.4" customHeight="1" x14ac:dyDescent="0.5">
      <c r="A137" s="42"/>
      <c r="B137" s="42"/>
      <c r="C137" s="75"/>
      <c r="D137" s="75"/>
      <c r="E137" s="41"/>
      <c r="F137" s="42"/>
      <c r="G137" s="120"/>
      <c r="H137" s="120"/>
      <c r="I137" s="120"/>
      <c r="J137" s="120"/>
      <c r="K137" s="120"/>
      <c r="L137" s="120"/>
      <c r="M137" s="120"/>
      <c r="N137" s="120"/>
      <c r="O137" s="120"/>
      <c r="P137" s="120"/>
      <c r="Q137" s="120"/>
      <c r="R137" s="121"/>
      <c r="S137" s="42"/>
      <c r="T137" s="116" t="str">
        <f>VLOOKUP(G135,PL!$B$9:$BH$1265,33,FALSE)</f>
        <v>.</v>
      </c>
      <c r="AJ137" s="41"/>
      <c r="AK137" s="42"/>
      <c r="AL137" s="75"/>
      <c r="AM137" s="75"/>
      <c r="AN137" s="75"/>
      <c r="AO137" s="75"/>
      <c r="AP137" s="43"/>
      <c r="AQ137" s="42"/>
      <c r="AR137" s="272"/>
      <c r="AS137" s="272"/>
      <c r="AT137" s="272"/>
      <c r="AU137" s="272"/>
      <c r="AV137" s="272"/>
      <c r="AW137" s="272"/>
      <c r="AX137" s="105"/>
      <c r="AY137" s="79"/>
      <c r="AZ137" s="131"/>
      <c r="BA137" s="131"/>
      <c r="BB137" s="131"/>
      <c r="BC137" s="131"/>
      <c r="BD137" s="131"/>
      <c r="BE137" s="131"/>
      <c r="BF137" s="131"/>
      <c r="BG137" s="131"/>
      <c r="BH137" s="124"/>
      <c r="BI137" s="41"/>
      <c r="BK137" s="194"/>
      <c r="BL137" s="123"/>
      <c r="BM137" s="195"/>
      <c r="BN137" s="194"/>
      <c r="BO137" s="123"/>
      <c r="BP137" s="195"/>
      <c r="BQ137" s="194"/>
      <c r="BR137" s="123"/>
      <c r="BS137" s="195"/>
      <c r="BT137" s="194"/>
      <c r="BU137" s="123"/>
      <c r="BV137" s="195"/>
      <c r="BW137" s="194"/>
      <c r="BX137" s="123"/>
      <c r="BY137" s="195"/>
      <c r="BZ137" s="194"/>
      <c r="CA137" s="123"/>
      <c r="CB137" s="195"/>
      <c r="CC137" s="194"/>
      <c r="CD137" s="123"/>
      <c r="CE137" s="195"/>
      <c r="CF137" s="194"/>
      <c r="CG137" s="123"/>
      <c r="CH137" s="195"/>
      <c r="CI137" s="194"/>
      <c r="CJ137" s="123"/>
      <c r="CK137" s="195"/>
      <c r="CL137" s="194"/>
      <c r="CM137" s="123"/>
      <c r="CN137" s="195"/>
      <c r="CO137" s="194"/>
      <c r="CP137" s="123"/>
      <c r="CQ137" s="195"/>
      <c r="CR137" s="194"/>
      <c r="CS137" s="123"/>
      <c r="CT137" s="195"/>
      <c r="CU137" s="194"/>
      <c r="CV137" s="123"/>
      <c r="CW137" s="195"/>
      <c r="CX137" s="194"/>
      <c r="CY137" s="123"/>
      <c r="CZ137" s="195"/>
      <c r="DA137" s="194"/>
      <c r="DB137" s="123"/>
      <c r="DC137" s="195"/>
      <c r="DD137" s="194"/>
      <c r="DE137" s="123"/>
      <c r="DF137" s="195"/>
      <c r="DL137" s="105"/>
      <c r="DM137" s="105"/>
      <c r="DN137" s="105"/>
      <c r="DO137" s="105"/>
      <c r="DP137" s="105"/>
      <c r="DQ137" s="105"/>
      <c r="DR137" s="105"/>
      <c r="DS137" s="105"/>
    </row>
    <row r="138" spans="1:123" ht="7.4" customHeight="1" x14ac:dyDescent="0.5">
      <c r="A138" s="42"/>
      <c r="B138" s="42"/>
      <c r="C138" s="55"/>
      <c r="D138" s="55"/>
      <c r="E138" s="41"/>
      <c r="F138" s="42"/>
      <c r="G138" s="56"/>
      <c r="H138" s="56"/>
      <c r="I138" s="56"/>
      <c r="J138" s="56"/>
      <c r="K138" s="56"/>
      <c r="L138" s="56"/>
      <c r="M138" s="56"/>
      <c r="N138" s="56"/>
      <c r="O138" s="56"/>
      <c r="P138" s="56"/>
      <c r="Q138" s="56"/>
      <c r="R138" s="126"/>
      <c r="S138" s="42"/>
      <c r="AJ138" s="41"/>
      <c r="AK138" s="42"/>
      <c r="AL138" s="311"/>
      <c r="AM138" s="311"/>
      <c r="AN138" s="311"/>
      <c r="AO138" s="311"/>
      <c r="AP138" s="43"/>
      <c r="AQ138" s="42"/>
      <c r="AR138" s="46"/>
      <c r="AS138" s="46"/>
      <c r="AT138" s="46"/>
      <c r="AU138" s="46"/>
      <c r="AV138" s="46"/>
      <c r="AW138" s="46"/>
      <c r="AX138" s="105"/>
      <c r="AY138" s="79"/>
      <c r="AZ138" s="119"/>
      <c r="BA138" s="119"/>
      <c r="BB138" s="119"/>
      <c r="BC138" s="119"/>
      <c r="BD138" s="119"/>
      <c r="BE138" s="119"/>
      <c r="BF138" s="119"/>
      <c r="BG138" s="119"/>
      <c r="BH138" s="124"/>
      <c r="BI138" s="41"/>
      <c r="BK138" s="194"/>
      <c r="BL138" s="123"/>
      <c r="BM138" s="195"/>
      <c r="BN138" s="194"/>
      <c r="BO138" s="123"/>
      <c r="BP138" s="195"/>
      <c r="BQ138" s="194"/>
      <c r="BR138" s="123"/>
      <c r="BS138" s="195"/>
      <c r="BT138" s="194"/>
      <c r="BU138" s="123"/>
      <c r="BV138" s="195"/>
      <c r="BW138" s="194"/>
      <c r="BX138" s="123"/>
      <c r="BY138" s="195"/>
      <c r="BZ138" s="194"/>
      <c r="CA138" s="123"/>
      <c r="CB138" s="195"/>
      <c r="CC138" s="194"/>
      <c r="CD138" s="123"/>
      <c r="CE138" s="195"/>
      <c r="CF138" s="194"/>
      <c r="CG138" s="123"/>
      <c r="CH138" s="195"/>
      <c r="CI138" s="194"/>
      <c r="CJ138" s="123"/>
      <c r="CK138" s="195"/>
      <c r="CL138" s="194"/>
      <c r="CM138" s="123"/>
      <c r="CN138" s="195"/>
      <c r="CO138" s="194"/>
      <c r="CP138" s="123"/>
      <c r="CQ138" s="195"/>
      <c r="CR138" s="194"/>
      <c r="CS138" s="123"/>
      <c r="CT138" s="195"/>
      <c r="CU138" s="194"/>
      <c r="CV138" s="123"/>
      <c r="CW138" s="195"/>
      <c r="CX138" s="194"/>
      <c r="CY138" s="123"/>
      <c r="CZ138" s="195"/>
      <c r="DA138" s="194"/>
      <c r="DB138" s="123"/>
      <c r="DC138" s="195"/>
      <c r="DD138" s="194"/>
      <c r="DE138" s="123"/>
      <c r="DF138" s="195"/>
      <c r="DL138" s="105"/>
      <c r="DM138" s="105"/>
      <c r="DN138" s="105"/>
      <c r="DO138" s="105"/>
      <c r="DP138" s="105"/>
      <c r="DQ138" s="105"/>
      <c r="DR138" s="105"/>
      <c r="DS138" s="105"/>
    </row>
    <row r="139" spans="1:123" ht="7.4" customHeight="1" x14ac:dyDescent="0.5">
      <c r="A139" s="42"/>
      <c r="B139" s="42"/>
      <c r="C139" s="311">
        <f>C135+1</f>
        <v>6</v>
      </c>
      <c r="D139" s="311"/>
      <c r="E139" s="41"/>
      <c r="F139" s="42"/>
      <c r="G139" s="319" t="str">
        <f>IF(AL139=0,"N/A","AXE_CS_8_20"&amp;"_SS")</f>
        <v>N/A</v>
      </c>
      <c r="H139" s="319"/>
      <c r="I139" s="319"/>
      <c r="J139" s="319"/>
      <c r="K139" s="319"/>
      <c r="L139" s="319"/>
      <c r="M139" s="319"/>
      <c r="N139" s="319"/>
      <c r="O139" s="319"/>
      <c r="P139" s="319"/>
      <c r="Q139" s="319"/>
      <c r="R139" s="320"/>
      <c r="S139" s="42"/>
      <c r="T139" s="405" t="str">
        <f>VLOOKUP(G139,PL!$B$9:$BH$1265,14,FALSE)</f>
        <v>No Item</v>
      </c>
      <c r="U139" s="405"/>
      <c r="V139" s="405"/>
      <c r="W139" s="405"/>
      <c r="X139" s="405"/>
      <c r="Y139" s="405"/>
      <c r="Z139" s="405"/>
      <c r="AA139" s="405"/>
      <c r="AB139" s="405"/>
      <c r="AC139" s="405"/>
      <c r="AD139" s="405"/>
      <c r="AE139" s="405"/>
      <c r="AF139" s="405"/>
      <c r="AG139" s="405"/>
      <c r="AH139" s="405"/>
      <c r="AI139" s="405"/>
      <c r="AJ139" s="411"/>
      <c r="AK139" s="42"/>
      <c r="AL139" s="311">
        <f>ROUND(SUM(BK139:DF139)*(1+$BF$72),0)</f>
        <v>0</v>
      </c>
      <c r="AM139" s="311"/>
      <c r="AN139" s="311"/>
      <c r="AO139" s="311"/>
      <c r="AP139" s="43"/>
      <c r="AQ139" s="111"/>
      <c r="AR139" s="308" t="str">
        <f>VLOOKUP(G139,PL!$B$9:$BH$818,52,FALSE)</f>
        <v>-</v>
      </c>
      <c r="AS139" s="309"/>
      <c r="AT139" s="309"/>
      <c r="AU139" s="309"/>
      <c r="AV139" s="309"/>
      <c r="AW139" s="309"/>
      <c r="AX139" s="309"/>
      <c r="AY139" s="309"/>
      <c r="AZ139" s="309"/>
      <c r="BA139" s="309"/>
      <c r="BB139" s="309"/>
      <c r="BC139" s="309"/>
      <c r="BD139" s="309"/>
      <c r="BE139" s="309"/>
      <c r="BF139" s="309"/>
      <c r="BG139" s="309"/>
      <c r="BH139" s="124"/>
      <c r="BI139" s="41"/>
      <c r="BK139" s="412">
        <f>IF(OR(MID($G$131,8,2)="PF",MID($G$131,8,2)="RS",MID($G$131,8,2)="RF"),BK131,0)</f>
        <v>0</v>
      </c>
      <c r="BL139" s="413"/>
      <c r="BM139" s="414"/>
      <c r="BN139" s="412">
        <f t="shared" ref="BN139" si="45">IF(OR(MID($G$131,8,2)="PF",MID($G$131,8,2)="RS",MID($G$131,8,2)="RF"),BN131,0)</f>
        <v>0</v>
      </c>
      <c r="BO139" s="413"/>
      <c r="BP139" s="414"/>
      <c r="BQ139" s="412">
        <f t="shared" ref="BQ139" si="46">IF(OR(MID($G$131,8,2)="PF",MID($G$131,8,2)="RS",MID($G$131,8,2)="RF"),BQ131,0)</f>
        <v>0</v>
      </c>
      <c r="BR139" s="413"/>
      <c r="BS139" s="414"/>
      <c r="BT139" s="412">
        <f t="shared" ref="BT139" si="47">IF(OR(MID($G$131,8,2)="PF",MID($G$131,8,2)="RS",MID($G$131,8,2)="RF"),BT131,0)</f>
        <v>0</v>
      </c>
      <c r="BU139" s="413"/>
      <c r="BV139" s="414"/>
      <c r="BW139" s="412">
        <f t="shared" ref="BW139" si="48">IF(OR(MID($G$131,8,2)="PF",MID($G$131,8,2)="RS",MID($G$131,8,2)="RF"),BW131,0)</f>
        <v>0</v>
      </c>
      <c r="BX139" s="413"/>
      <c r="BY139" s="414"/>
      <c r="BZ139" s="412">
        <f t="shared" ref="BZ139" si="49">IF(OR(MID($G$131,8,2)="PF",MID($G$131,8,2)="RS",MID($G$131,8,2)="RF"),BZ131,0)</f>
        <v>0</v>
      </c>
      <c r="CA139" s="413"/>
      <c r="CB139" s="414"/>
      <c r="CC139" s="412">
        <f t="shared" ref="CC139" si="50">IF(OR(MID($G$131,8,2)="PF",MID($G$131,8,2)="RS",MID($G$131,8,2)="RF"),CC131,0)</f>
        <v>0</v>
      </c>
      <c r="CD139" s="413"/>
      <c r="CE139" s="414"/>
      <c r="CF139" s="412">
        <f t="shared" ref="CF139" si="51">IF(OR(MID($G$131,8,2)="PF",MID($G$131,8,2)="RS",MID($G$131,8,2)="RF"),CF131,0)</f>
        <v>0</v>
      </c>
      <c r="CG139" s="413"/>
      <c r="CH139" s="414"/>
      <c r="CI139" s="412">
        <f t="shared" ref="CI139" si="52">IF(OR(MID($G$131,8,2)="PF",MID($G$131,8,2)="RS",MID($G$131,8,2)="RF"),CI131,0)</f>
        <v>0</v>
      </c>
      <c r="CJ139" s="413"/>
      <c r="CK139" s="414"/>
      <c r="CL139" s="412">
        <f t="shared" ref="CL139" si="53">IF(OR(MID($G$131,8,2)="PF",MID($G$131,8,2)="RS",MID($G$131,8,2)="RF"),CL131,0)</f>
        <v>0</v>
      </c>
      <c r="CM139" s="413"/>
      <c r="CN139" s="414"/>
      <c r="CO139" s="412">
        <f t="shared" ref="CO139" si="54">IF(OR(MID($G$131,8,2)="PF",MID($G$131,8,2)="RS",MID($G$131,8,2)="RF"),CO131,0)</f>
        <v>0</v>
      </c>
      <c r="CP139" s="413"/>
      <c r="CQ139" s="414"/>
      <c r="CR139" s="412">
        <f t="shared" ref="CR139" si="55">IF(OR(MID($G$131,8,2)="PF",MID($G$131,8,2)="RS",MID($G$131,8,2)="RF"),CR131,0)</f>
        <v>0</v>
      </c>
      <c r="CS139" s="413"/>
      <c r="CT139" s="414"/>
      <c r="CU139" s="412">
        <f t="shared" ref="CU139" si="56">IF(OR(MID($G$131,8,2)="PF",MID($G$131,8,2)="RS",MID($G$131,8,2)="RF"),CU131,0)</f>
        <v>0</v>
      </c>
      <c r="CV139" s="413"/>
      <c r="CW139" s="414"/>
      <c r="CX139" s="412">
        <f t="shared" ref="CX139" si="57">IF(OR(MID($G$131,8,2)="PF",MID($G$131,8,2)="RS",MID($G$131,8,2)="RF"),CX131,0)</f>
        <v>0</v>
      </c>
      <c r="CY139" s="413"/>
      <c r="CZ139" s="414"/>
      <c r="DA139" s="412">
        <f t="shared" ref="DA139" si="58">IF(OR(MID($G$131,8,2)="PF",MID($G$131,8,2)="RS",MID($G$131,8,2)="RF"),DA131,0)</f>
        <v>0</v>
      </c>
      <c r="DB139" s="413"/>
      <c r="DC139" s="414"/>
      <c r="DD139" s="412">
        <f t="shared" ref="DD139" si="59">IF(OR(MID($G$131,8,2)="PF",MID($G$131,8,2)="RS",MID($G$131,8,2)="RF"),DD131,0)</f>
        <v>0</v>
      </c>
      <c r="DE139" s="413"/>
      <c r="DF139" s="414"/>
      <c r="DH139" s="311"/>
      <c r="DI139" s="311"/>
      <c r="DJ139" s="311"/>
      <c r="DK139" s="311"/>
      <c r="DL139" s="321"/>
      <c r="DM139" s="321"/>
      <c r="DN139" s="321"/>
      <c r="DO139" s="321"/>
      <c r="DP139" s="321"/>
      <c r="DQ139" s="321"/>
      <c r="DR139" s="321"/>
      <c r="DS139" s="321"/>
    </row>
    <row r="140" spans="1:123" ht="7.4" customHeight="1" x14ac:dyDescent="0.5">
      <c r="A140" s="42"/>
      <c r="B140" s="42"/>
      <c r="C140" s="311"/>
      <c r="D140" s="311"/>
      <c r="E140" s="41"/>
      <c r="F140" s="42"/>
      <c r="G140" s="319"/>
      <c r="H140" s="319"/>
      <c r="I140" s="319"/>
      <c r="J140" s="319"/>
      <c r="K140" s="319"/>
      <c r="L140" s="319"/>
      <c r="M140" s="319"/>
      <c r="N140" s="319"/>
      <c r="O140" s="319"/>
      <c r="P140" s="319"/>
      <c r="Q140" s="319"/>
      <c r="R140" s="320"/>
      <c r="S140" s="42"/>
      <c r="T140" s="405"/>
      <c r="U140" s="405"/>
      <c r="V140" s="405"/>
      <c r="W140" s="405"/>
      <c r="X140" s="405"/>
      <c r="Y140" s="405"/>
      <c r="Z140" s="405"/>
      <c r="AA140" s="405"/>
      <c r="AB140" s="405"/>
      <c r="AC140" s="405"/>
      <c r="AD140" s="405"/>
      <c r="AE140" s="405"/>
      <c r="AF140" s="405"/>
      <c r="AG140" s="405"/>
      <c r="AH140" s="405"/>
      <c r="AI140" s="405"/>
      <c r="AJ140" s="411"/>
      <c r="AK140" s="42"/>
      <c r="AL140" s="311"/>
      <c r="AM140" s="311"/>
      <c r="AN140" s="311"/>
      <c r="AO140" s="311"/>
      <c r="AP140" s="43"/>
      <c r="AQ140" s="111"/>
      <c r="AR140" s="309"/>
      <c r="AS140" s="309"/>
      <c r="AT140" s="309"/>
      <c r="AU140" s="309"/>
      <c r="AV140" s="309"/>
      <c r="AW140" s="309"/>
      <c r="AX140" s="309"/>
      <c r="AY140" s="309"/>
      <c r="AZ140" s="309"/>
      <c r="BA140" s="309"/>
      <c r="BB140" s="309"/>
      <c r="BC140" s="309"/>
      <c r="BD140" s="309"/>
      <c r="BE140" s="309"/>
      <c r="BF140" s="309"/>
      <c r="BG140" s="309"/>
      <c r="BH140" s="124"/>
      <c r="BI140" s="41"/>
      <c r="BK140" s="412"/>
      <c r="BL140" s="413"/>
      <c r="BM140" s="414"/>
      <c r="BN140" s="412"/>
      <c r="BO140" s="413"/>
      <c r="BP140" s="414"/>
      <c r="BQ140" s="412"/>
      <c r="BR140" s="413"/>
      <c r="BS140" s="414"/>
      <c r="BT140" s="412"/>
      <c r="BU140" s="413"/>
      <c r="BV140" s="414"/>
      <c r="BW140" s="412"/>
      <c r="BX140" s="413"/>
      <c r="BY140" s="414"/>
      <c r="BZ140" s="412"/>
      <c r="CA140" s="413"/>
      <c r="CB140" s="414"/>
      <c r="CC140" s="412"/>
      <c r="CD140" s="413"/>
      <c r="CE140" s="414"/>
      <c r="CF140" s="412"/>
      <c r="CG140" s="413"/>
      <c r="CH140" s="414"/>
      <c r="CI140" s="412"/>
      <c r="CJ140" s="413"/>
      <c r="CK140" s="414"/>
      <c r="CL140" s="412"/>
      <c r="CM140" s="413"/>
      <c r="CN140" s="414"/>
      <c r="CO140" s="412"/>
      <c r="CP140" s="413"/>
      <c r="CQ140" s="414"/>
      <c r="CR140" s="412"/>
      <c r="CS140" s="413"/>
      <c r="CT140" s="414"/>
      <c r="CU140" s="412"/>
      <c r="CV140" s="413"/>
      <c r="CW140" s="414"/>
      <c r="CX140" s="412"/>
      <c r="CY140" s="413"/>
      <c r="CZ140" s="414"/>
      <c r="DA140" s="412"/>
      <c r="DB140" s="413"/>
      <c r="DC140" s="414"/>
      <c r="DD140" s="412"/>
      <c r="DE140" s="413"/>
      <c r="DF140" s="414"/>
      <c r="DH140" s="311"/>
      <c r="DI140" s="311"/>
      <c r="DJ140" s="311"/>
      <c r="DK140" s="311"/>
      <c r="DL140" s="321"/>
      <c r="DM140" s="321"/>
      <c r="DN140" s="321"/>
      <c r="DO140" s="321"/>
      <c r="DP140" s="321"/>
      <c r="DQ140" s="321"/>
      <c r="DR140" s="321"/>
      <c r="DS140" s="321"/>
    </row>
    <row r="141" spans="1:123" ht="7.4" customHeight="1" x14ac:dyDescent="0.5">
      <c r="A141" s="42"/>
      <c r="B141" s="42"/>
      <c r="C141" s="333"/>
      <c r="D141" s="333"/>
      <c r="E141" s="41"/>
      <c r="F141" s="42"/>
      <c r="G141" s="56"/>
      <c r="H141" s="56"/>
      <c r="I141" s="56"/>
      <c r="J141" s="56"/>
      <c r="K141" s="56"/>
      <c r="L141" s="56"/>
      <c r="M141" s="56"/>
      <c r="N141" s="56"/>
      <c r="O141" s="56"/>
      <c r="P141" s="56"/>
      <c r="Q141" s="56"/>
      <c r="R141" s="126"/>
      <c r="S141" s="42"/>
      <c r="T141" s="116" t="str">
        <f>VLOOKUP(G139,PL!$B$9:$BH$1265,33,FALSE)</f>
        <v>.</v>
      </c>
      <c r="AJ141" s="41"/>
      <c r="AK141" s="42"/>
      <c r="AL141" s="311"/>
      <c r="AM141" s="311"/>
      <c r="AN141" s="311"/>
      <c r="AO141" s="311"/>
      <c r="AP141" s="43"/>
      <c r="AQ141" s="42"/>
      <c r="AR141" s="46"/>
      <c r="AS141" s="46"/>
      <c r="AT141" s="46"/>
      <c r="AU141" s="46"/>
      <c r="AV141" s="46"/>
      <c r="AW141" s="46"/>
      <c r="AX141" s="105"/>
      <c r="AY141" s="79"/>
      <c r="AZ141" s="119"/>
      <c r="BA141" s="119"/>
      <c r="BB141" s="119"/>
      <c r="BC141" s="119"/>
      <c r="BD141" s="119"/>
      <c r="BE141" s="119"/>
      <c r="BF141" s="119"/>
      <c r="BG141" s="119"/>
      <c r="BH141" s="124"/>
      <c r="BI141" s="41"/>
      <c r="BK141" s="194"/>
      <c r="BL141" s="123"/>
      <c r="BM141" s="195"/>
      <c r="BN141" s="194"/>
      <c r="BO141" s="123"/>
      <c r="BP141" s="195"/>
      <c r="BQ141" s="194"/>
      <c r="BR141" s="123"/>
      <c r="BS141" s="195"/>
      <c r="BT141" s="194"/>
      <c r="BU141" s="123"/>
      <c r="BV141" s="195"/>
      <c r="BW141" s="194"/>
      <c r="BX141" s="123"/>
      <c r="BY141" s="195"/>
      <c r="BZ141" s="194"/>
      <c r="CA141" s="123"/>
      <c r="CB141" s="195"/>
      <c r="CC141" s="194"/>
      <c r="CD141" s="123"/>
      <c r="CE141" s="195"/>
      <c r="CF141" s="194"/>
      <c r="CG141" s="123"/>
      <c r="CH141" s="195"/>
      <c r="CI141" s="194"/>
      <c r="CJ141" s="123"/>
      <c r="CK141" s="195"/>
      <c r="CL141" s="194"/>
      <c r="CM141" s="123"/>
      <c r="CN141" s="195"/>
      <c r="CO141" s="194"/>
      <c r="CP141" s="123"/>
      <c r="CQ141" s="195"/>
      <c r="CR141" s="194"/>
      <c r="CS141" s="123"/>
      <c r="CT141" s="195"/>
      <c r="CU141" s="194"/>
      <c r="CV141" s="123"/>
      <c r="CW141" s="195"/>
      <c r="CX141" s="194"/>
      <c r="CY141" s="123"/>
      <c r="CZ141" s="195"/>
      <c r="DA141" s="194"/>
      <c r="DB141" s="123"/>
      <c r="DC141" s="195"/>
      <c r="DD141" s="194"/>
      <c r="DE141" s="123"/>
      <c r="DF141" s="195"/>
      <c r="DH141" s="311"/>
      <c r="DI141" s="311"/>
      <c r="DJ141" s="311"/>
      <c r="DK141" s="311"/>
      <c r="DL141" s="321"/>
      <c r="DM141" s="321"/>
      <c r="DN141" s="321"/>
      <c r="DO141" s="321"/>
      <c r="DP141" s="321"/>
      <c r="DQ141" s="321"/>
      <c r="DR141" s="321"/>
      <c r="DS141" s="321"/>
    </row>
    <row r="142" spans="1:123" ht="7.4" customHeight="1" x14ac:dyDescent="0.5">
      <c r="A142" s="42"/>
      <c r="B142" s="42"/>
      <c r="C142" s="333"/>
      <c r="D142" s="333"/>
      <c r="E142" s="41"/>
      <c r="F142" s="42"/>
      <c r="G142" s="56"/>
      <c r="H142" s="56"/>
      <c r="I142" s="56"/>
      <c r="J142" s="56"/>
      <c r="K142" s="56"/>
      <c r="L142" s="56"/>
      <c r="M142" s="56"/>
      <c r="N142" s="56"/>
      <c r="O142" s="56"/>
      <c r="P142" s="56"/>
      <c r="Q142" s="56"/>
      <c r="R142" s="126"/>
      <c r="S142" s="42"/>
      <c r="AJ142" s="41"/>
      <c r="AK142" s="42"/>
      <c r="AL142" s="311"/>
      <c r="AM142" s="311"/>
      <c r="AN142" s="311"/>
      <c r="AO142" s="311"/>
      <c r="AP142" s="43"/>
      <c r="AQ142" s="42"/>
      <c r="AR142" s="46"/>
      <c r="AS142" s="46"/>
      <c r="AT142" s="46"/>
      <c r="AU142" s="46"/>
      <c r="AV142" s="46"/>
      <c r="AW142" s="46"/>
      <c r="AX142" s="105"/>
      <c r="AY142" s="79"/>
      <c r="AZ142" s="119"/>
      <c r="BA142" s="119"/>
      <c r="BB142" s="119"/>
      <c r="BC142" s="119"/>
      <c r="BD142" s="119"/>
      <c r="BE142" s="119"/>
      <c r="BF142" s="119"/>
      <c r="BG142" s="119"/>
      <c r="BH142" s="124"/>
      <c r="BI142" s="41"/>
      <c r="BK142" s="194"/>
      <c r="BL142" s="123"/>
      <c r="BM142" s="195"/>
      <c r="BN142" s="194"/>
      <c r="BO142" s="123"/>
      <c r="BP142" s="195"/>
      <c r="BQ142" s="194"/>
      <c r="BR142" s="123"/>
      <c r="BS142" s="195"/>
      <c r="BT142" s="194"/>
      <c r="BU142" s="123"/>
      <c r="BV142" s="195"/>
      <c r="BW142" s="194"/>
      <c r="BX142" s="123"/>
      <c r="BY142" s="195"/>
      <c r="BZ142" s="194"/>
      <c r="CA142" s="123"/>
      <c r="CB142" s="195"/>
      <c r="CC142" s="194"/>
      <c r="CD142" s="123"/>
      <c r="CE142" s="195"/>
      <c r="CF142" s="194"/>
      <c r="CG142" s="123"/>
      <c r="CH142" s="195"/>
      <c r="CI142" s="194"/>
      <c r="CJ142" s="123"/>
      <c r="CK142" s="195"/>
      <c r="CL142" s="194"/>
      <c r="CM142" s="123"/>
      <c r="CN142" s="195"/>
      <c r="CO142" s="194"/>
      <c r="CP142" s="123"/>
      <c r="CQ142" s="195"/>
      <c r="CR142" s="194"/>
      <c r="CS142" s="123"/>
      <c r="CT142" s="195"/>
      <c r="CU142" s="194"/>
      <c r="CV142" s="123"/>
      <c r="CW142" s="195"/>
      <c r="CX142" s="194"/>
      <c r="CY142" s="123"/>
      <c r="CZ142" s="195"/>
      <c r="DA142" s="194"/>
      <c r="DB142" s="123"/>
      <c r="DC142" s="195"/>
      <c r="DD142" s="194"/>
      <c r="DE142" s="123"/>
      <c r="DF142" s="195"/>
      <c r="DH142" s="311"/>
      <c r="DI142" s="311"/>
      <c r="DJ142" s="311"/>
      <c r="DK142" s="311"/>
      <c r="DL142" s="321"/>
      <c r="DM142" s="321"/>
      <c r="DN142" s="321"/>
      <c r="DO142" s="321"/>
      <c r="DP142" s="321"/>
      <c r="DQ142" s="321"/>
      <c r="DR142" s="321"/>
      <c r="DS142" s="321"/>
    </row>
    <row r="143" spans="1:123" ht="7.4" customHeight="1" x14ac:dyDescent="0.5">
      <c r="A143" s="42"/>
      <c r="B143" s="42"/>
      <c r="C143" s="311">
        <f>C139+1</f>
        <v>7</v>
      </c>
      <c r="D143" s="311"/>
      <c r="E143" s="41"/>
      <c r="F143" s="42"/>
      <c r="G143" s="319" t="str">
        <f>IF(AL143=0,"N/A","AXE_CS_8_"&amp;IF(OR(MID($G$131,8,2)="PF",MID($G$131,8,2)="RS",MID($G$131,8,2)="RF"),20,25)&amp;"_SS")</f>
        <v>AXE_CS_8_25_SS</v>
      </c>
      <c r="H143" s="319"/>
      <c r="I143" s="319"/>
      <c r="J143" s="319"/>
      <c r="K143" s="319"/>
      <c r="L143" s="319"/>
      <c r="M143" s="319"/>
      <c r="N143" s="319"/>
      <c r="O143" s="319"/>
      <c r="P143" s="319"/>
      <c r="Q143" s="319"/>
      <c r="R143" s="320"/>
      <c r="S143" s="42"/>
      <c r="T143" s="405" t="str">
        <f>VLOOKUP(G143,PL!$B$9:$BH$1265,14,FALSE)</f>
        <v>Cap Screws Hexagon</v>
      </c>
      <c r="U143" s="405"/>
      <c r="V143" s="405"/>
      <c r="W143" s="405"/>
      <c r="X143" s="405"/>
      <c r="Y143" s="405"/>
      <c r="Z143" s="405"/>
      <c r="AA143" s="405"/>
      <c r="AB143" s="405"/>
      <c r="AC143" s="405"/>
      <c r="AD143" s="405"/>
      <c r="AE143" s="405"/>
      <c r="AF143" s="405"/>
      <c r="AG143" s="405"/>
      <c r="AH143" s="405"/>
      <c r="AI143" s="405"/>
      <c r="AJ143" s="411"/>
      <c r="AK143" s="42"/>
      <c r="AL143" s="311">
        <f>ROUND(SUM(BK143:DF143)*(1+$BF$72),0)</f>
        <v>416</v>
      </c>
      <c r="AM143" s="311"/>
      <c r="AN143" s="311"/>
      <c r="AO143" s="311"/>
      <c r="AP143" s="43"/>
      <c r="AQ143" s="111"/>
      <c r="AR143" s="308" t="str">
        <f>VLOOKUP(G143,PL!$B$9:$BH$818,52,FALSE)</f>
        <v>SOL-59501</v>
      </c>
      <c r="AS143" s="309"/>
      <c r="AT143" s="309"/>
      <c r="AU143" s="309"/>
      <c r="AV143" s="309"/>
      <c r="AW143" s="309"/>
      <c r="AX143" s="309"/>
      <c r="AY143" s="309"/>
      <c r="AZ143" s="309"/>
      <c r="BA143" s="309"/>
      <c r="BB143" s="309"/>
      <c r="BC143" s="309"/>
      <c r="BD143" s="309"/>
      <c r="BE143" s="309"/>
      <c r="BF143" s="309"/>
      <c r="BG143" s="309"/>
      <c r="BH143" s="124"/>
      <c r="BI143" s="41"/>
      <c r="BK143" s="412">
        <f>IF(OR(MID($G$131,8,2)="PF",MID($G$131,8,2)="RS",MID($G$131,8,2)="RF"),0,BK131)</f>
        <v>400</v>
      </c>
      <c r="BL143" s="413"/>
      <c r="BM143" s="414"/>
      <c r="BN143" s="412">
        <f t="shared" ref="BN143" si="60">IF(OR(MID($G$131,8,2)="PF",MID($G$131,8,2)="RS",MID($G$131,8,2)="RF"),0,BN131)</f>
        <v>0</v>
      </c>
      <c r="BO143" s="413"/>
      <c r="BP143" s="414"/>
      <c r="BQ143" s="412">
        <f t="shared" ref="BQ143" si="61">IF(OR(MID($G$131,8,2)="PF",MID($G$131,8,2)="RS",MID($G$131,8,2)="RF"),0,BQ131)</f>
        <v>0</v>
      </c>
      <c r="BR143" s="413"/>
      <c r="BS143" s="414"/>
      <c r="BT143" s="412">
        <f t="shared" ref="BT143" si="62">IF(OR(MID($G$131,8,2)="PF",MID($G$131,8,2)="RS",MID($G$131,8,2)="RF"),0,BT131)</f>
        <v>0</v>
      </c>
      <c r="BU143" s="413"/>
      <c r="BV143" s="414"/>
      <c r="BW143" s="412">
        <f t="shared" ref="BW143" si="63">IF(OR(MID($G$131,8,2)="PF",MID($G$131,8,2)="RS",MID($G$131,8,2)="RF"),0,BW131)</f>
        <v>0</v>
      </c>
      <c r="BX143" s="413"/>
      <c r="BY143" s="414"/>
      <c r="BZ143" s="412">
        <f t="shared" ref="BZ143" si="64">IF(OR(MID($G$131,8,2)="PF",MID($G$131,8,2)="RS",MID($G$131,8,2)="RF"),0,BZ131)</f>
        <v>0</v>
      </c>
      <c r="CA143" s="413"/>
      <c r="CB143" s="414"/>
      <c r="CC143" s="412">
        <f t="shared" ref="CC143" si="65">IF(OR(MID($G$131,8,2)="PF",MID($G$131,8,2)="RS",MID($G$131,8,2)="RF"),0,CC131)</f>
        <v>0</v>
      </c>
      <c r="CD143" s="413"/>
      <c r="CE143" s="414"/>
      <c r="CF143" s="412">
        <f t="shared" ref="CF143" si="66">IF(OR(MID($G$131,8,2)="PF",MID($G$131,8,2)="RS",MID($G$131,8,2)="RF"),0,CF131)</f>
        <v>0</v>
      </c>
      <c r="CG143" s="413"/>
      <c r="CH143" s="414"/>
      <c r="CI143" s="412">
        <f t="shared" ref="CI143" si="67">IF(OR(MID($G$131,8,2)="PF",MID($G$131,8,2)="RS",MID($G$131,8,2)="RF"),0,CI131)</f>
        <v>0</v>
      </c>
      <c r="CJ143" s="413"/>
      <c r="CK143" s="414"/>
      <c r="CL143" s="412">
        <f t="shared" ref="CL143" si="68">IF(OR(MID($G$131,8,2)="PF",MID($G$131,8,2)="RS",MID($G$131,8,2)="RF"),0,CL131)</f>
        <v>0</v>
      </c>
      <c r="CM143" s="413"/>
      <c r="CN143" s="414"/>
      <c r="CO143" s="412">
        <f t="shared" ref="CO143" si="69">IF(OR(MID($G$131,8,2)="PF",MID($G$131,8,2)="RS",MID($G$131,8,2)="RF"),0,CO131)</f>
        <v>0</v>
      </c>
      <c r="CP143" s="413"/>
      <c r="CQ143" s="414"/>
      <c r="CR143" s="412">
        <f t="shared" ref="CR143" si="70">IF(OR(MID($G$131,8,2)="PF",MID($G$131,8,2)="RS",MID($G$131,8,2)="RF"),0,CR131)</f>
        <v>0</v>
      </c>
      <c r="CS143" s="413"/>
      <c r="CT143" s="414"/>
      <c r="CU143" s="412">
        <f t="shared" ref="CU143" si="71">IF(OR(MID($G$131,8,2)="PF",MID($G$131,8,2)="RS",MID($G$131,8,2)="RF"),0,CU131)</f>
        <v>0</v>
      </c>
      <c r="CV143" s="413"/>
      <c r="CW143" s="414"/>
      <c r="CX143" s="412">
        <f t="shared" ref="CX143" si="72">IF(OR(MID($G$131,8,2)="PF",MID($G$131,8,2)="RS",MID($G$131,8,2)="RF"),0,CX131)</f>
        <v>0</v>
      </c>
      <c r="CY143" s="413"/>
      <c r="CZ143" s="414"/>
      <c r="DA143" s="412">
        <f t="shared" ref="DA143" si="73">IF(OR(MID($G$131,8,2)="PF",MID($G$131,8,2)="RS",MID($G$131,8,2)="RF"),0,DA131)</f>
        <v>0</v>
      </c>
      <c r="DB143" s="413"/>
      <c r="DC143" s="414"/>
      <c r="DD143" s="412">
        <f t="shared" ref="DD143" si="74">IF(OR(MID($G$131,8,2)="PF",MID($G$131,8,2)="RS",MID($G$131,8,2)="RF"),0,DD131)</f>
        <v>0</v>
      </c>
      <c r="DE143" s="413"/>
      <c r="DF143" s="414"/>
      <c r="DH143" s="311"/>
      <c r="DI143" s="311"/>
      <c r="DJ143" s="311"/>
      <c r="DK143" s="311"/>
      <c r="DL143" s="321"/>
      <c r="DM143" s="321"/>
      <c r="DN143" s="321"/>
      <c r="DO143" s="321"/>
      <c r="DP143" s="321"/>
      <c r="DQ143" s="321"/>
      <c r="DR143" s="321"/>
      <c r="DS143" s="321"/>
    </row>
    <row r="144" spans="1:123" ht="7.4" customHeight="1" x14ac:dyDescent="0.5">
      <c r="A144" s="42"/>
      <c r="B144" s="42"/>
      <c r="C144" s="311"/>
      <c r="D144" s="311"/>
      <c r="E144" s="41"/>
      <c r="F144" s="42"/>
      <c r="G144" s="319"/>
      <c r="H144" s="319"/>
      <c r="I144" s="319"/>
      <c r="J144" s="319"/>
      <c r="K144" s="319"/>
      <c r="L144" s="319"/>
      <c r="M144" s="319"/>
      <c r="N144" s="319"/>
      <c r="O144" s="319"/>
      <c r="P144" s="319"/>
      <c r="Q144" s="319"/>
      <c r="R144" s="320"/>
      <c r="S144" s="42"/>
      <c r="T144" s="405"/>
      <c r="U144" s="405"/>
      <c r="V144" s="405"/>
      <c r="W144" s="405"/>
      <c r="X144" s="405"/>
      <c r="Y144" s="405"/>
      <c r="Z144" s="405"/>
      <c r="AA144" s="405"/>
      <c r="AB144" s="405"/>
      <c r="AC144" s="405"/>
      <c r="AD144" s="405"/>
      <c r="AE144" s="405"/>
      <c r="AF144" s="405"/>
      <c r="AG144" s="405"/>
      <c r="AH144" s="405"/>
      <c r="AI144" s="405"/>
      <c r="AJ144" s="411"/>
      <c r="AK144" s="42"/>
      <c r="AL144" s="311"/>
      <c r="AM144" s="311"/>
      <c r="AN144" s="311"/>
      <c r="AO144" s="311"/>
      <c r="AP144" s="43"/>
      <c r="AQ144" s="111"/>
      <c r="AR144" s="309"/>
      <c r="AS144" s="309"/>
      <c r="AT144" s="309"/>
      <c r="AU144" s="309"/>
      <c r="AV144" s="309"/>
      <c r="AW144" s="309"/>
      <c r="AX144" s="309"/>
      <c r="AY144" s="309"/>
      <c r="AZ144" s="309"/>
      <c r="BA144" s="309"/>
      <c r="BB144" s="309"/>
      <c r="BC144" s="309"/>
      <c r="BD144" s="309"/>
      <c r="BE144" s="309"/>
      <c r="BF144" s="309"/>
      <c r="BG144" s="309"/>
      <c r="BH144" s="124"/>
      <c r="BI144" s="41"/>
      <c r="BK144" s="412"/>
      <c r="BL144" s="413"/>
      <c r="BM144" s="414"/>
      <c r="BN144" s="412"/>
      <c r="BO144" s="413"/>
      <c r="BP144" s="414"/>
      <c r="BQ144" s="412"/>
      <c r="BR144" s="413"/>
      <c r="BS144" s="414"/>
      <c r="BT144" s="412"/>
      <c r="BU144" s="413"/>
      <c r="BV144" s="414"/>
      <c r="BW144" s="412"/>
      <c r="BX144" s="413"/>
      <c r="BY144" s="414"/>
      <c r="BZ144" s="412"/>
      <c r="CA144" s="413"/>
      <c r="CB144" s="414"/>
      <c r="CC144" s="412"/>
      <c r="CD144" s="413"/>
      <c r="CE144" s="414"/>
      <c r="CF144" s="412"/>
      <c r="CG144" s="413"/>
      <c r="CH144" s="414"/>
      <c r="CI144" s="412"/>
      <c r="CJ144" s="413"/>
      <c r="CK144" s="414"/>
      <c r="CL144" s="412"/>
      <c r="CM144" s="413"/>
      <c r="CN144" s="414"/>
      <c r="CO144" s="412"/>
      <c r="CP144" s="413"/>
      <c r="CQ144" s="414"/>
      <c r="CR144" s="412"/>
      <c r="CS144" s="413"/>
      <c r="CT144" s="414"/>
      <c r="CU144" s="412"/>
      <c r="CV144" s="413"/>
      <c r="CW144" s="414"/>
      <c r="CX144" s="412"/>
      <c r="CY144" s="413"/>
      <c r="CZ144" s="414"/>
      <c r="DA144" s="412"/>
      <c r="DB144" s="413"/>
      <c r="DC144" s="414"/>
      <c r="DD144" s="412"/>
      <c r="DE144" s="413"/>
      <c r="DF144" s="414"/>
      <c r="DH144" s="311"/>
      <c r="DI144" s="311"/>
      <c r="DJ144" s="311"/>
      <c r="DK144" s="311"/>
      <c r="DL144" s="321"/>
      <c r="DM144" s="321"/>
      <c r="DN144" s="321"/>
      <c r="DO144" s="321"/>
      <c r="DP144" s="321"/>
      <c r="DQ144" s="321"/>
      <c r="DR144" s="321"/>
      <c r="DS144" s="321"/>
    </row>
    <row r="145" spans="1:123" ht="7.4" customHeight="1" x14ac:dyDescent="0.5">
      <c r="A145" s="42"/>
      <c r="B145" s="42"/>
      <c r="C145" s="333"/>
      <c r="D145" s="333"/>
      <c r="E145" s="41"/>
      <c r="F145" s="42"/>
      <c r="G145" s="56"/>
      <c r="H145" s="56"/>
      <c r="I145" s="56"/>
      <c r="J145" s="56"/>
      <c r="K145" s="56"/>
      <c r="L145" s="56"/>
      <c r="M145" s="56"/>
      <c r="N145" s="56"/>
      <c r="O145" s="56"/>
      <c r="P145" s="56"/>
      <c r="Q145" s="56"/>
      <c r="R145" s="126"/>
      <c r="S145" s="42"/>
      <c r="T145" s="116" t="str">
        <f>VLOOKUP(G143,PL!$B$9:$BH$1265,33,FALSE)</f>
        <v>Stainless Steel, M8x25</v>
      </c>
      <c r="AJ145" s="41"/>
      <c r="AK145" s="42"/>
      <c r="AL145" s="311"/>
      <c r="AM145" s="311"/>
      <c r="AN145" s="311"/>
      <c r="AO145" s="311"/>
      <c r="AP145" s="43"/>
      <c r="AQ145" s="42"/>
      <c r="AR145" s="46"/>
      <c r="AS145" s="46"/>
      <c r="AT145" s="46"/>
      <c r="AU145" s="46"/>
      <c r="AV145" s="46"/>
      <c r="AW145" s="46"/>
      <c r="AX145" s="105"/>
      <c r="AY145" s="79"/>
      <c r="AZ145" s="119"/>
      <c r="BA145" s="119"/>
      <c r="BB145" s="119"/>
      <c r="BC145" s="119"/>
      <c r="BD145" s="119"/>
      <c r="BE145" s="119"/>
      <c r="BF145" s="119"/>
      <c r="BG145" s="119"/>
      <c r="BH145" s="124"/>
      <c r="BI145" s="41"/>
      <c r="BK145" s="194"/>
      <c r="BL145" s="123"/>
      <c r="BM145" s="195"/>
      <c r="BN145" s="194"/>
      <c r="BO145" s="123"/>
      <c r="BP145" s="195"/>
      <c r="BQ145" s="194"/>
      <c r="BR145" s="123"/>
      <c r="BS145" s="195"/>
      <c r="BT145" s="194"/>
      <c r="BU145" s="123"/>
      <c r="BV145" s="195"/>
      <c r="BW145" s="194"/>
      <c r="BX145" s="123"/>
      <c r="BY145" s="195"/>
      <c r="BZ145" s="194"/>
      <c r="CA145" s="123"/>
      <c r="CB145" s="195"/>
      <c r="CC145" s="194"/>
      <c r="CD145" s="123"/>
      <c r="CE145" s="195"/>
      <c r="CF145" s="194"/>
      <c r="CG145" s="123"/>
      <c r="CH145" s="195"/>
      <c r="CI145" s="194"/>
      <c r="CJ145" s="123"/>
      <c r="CK145" s="195"/>
      <c r="CL145" s="194"/>
      <c r="CM145" s="123"/>
      <c r="CN145" s="195"/>
      <c r="CO145" s="194"/>
      <c r="CP145" s="123"/>
      <c r="CQ145" s="195"/>
      <c r="CR145" s="194"/>
      <c r="CS145" s="123"/>
      <c r="CT145" s="195"/>
      <c r="CU145" s="194"/>
      <c r="CV145" s="123"/>
      <c r="CW145" s="195"/>
      <c r="CX145" s="194"/>
      <c r="CY145" s="123"/>
      <c r="CZ145" s="195"/>
      <c r="DA145" s="194"/>
      <c r="DB145" s="123"/>
      <c r="DC145" s="195"/>
      <c r="DD145" s="194"/>
      <c r="DE145" s="123"/>
      <c r="DF145" s="195"/>
      <c r="DH145" s="311"/>
      <c r="DI145" s="311"/>
      <c r="DJ145" s="311"/>
      <c r="DK145" s="311"/>
      <c r="DL145" s="321"/>
      <c r="DM145" s="321"/>
      <c r="DN145" s="321"/>
      <c r="DO145" s="321"/>
      <c r="DP145" s="321"/>
      <c r="DQ145" s="321"/>
      <c r="DR145" s="321"/>
      <c r="DS145" s="321"/>
    </row>
    <row r="146" spans="1:123" ht="7.4" customHeight="1" x14ac:dyDescent="0.5">
      <c r="A146" s="42"/>
      <c r="B146" s="42"/>
      <c r="C146" s="333"/>
      <c r="D146" s="333"/>
      <c r="E146" s="41"/>
      <c r="F146" s="42"/>
      <c r="G146" s="56"/>
      <c r="H146" s="56"/>
      <c r="I146" s="56"/>
      <c r="J146" s="56"/>
      <c r="K146" s="56"/>
      <c r="L146" s="56"/>
      <c r="M146" s="56"/>
      <c r="N146" s="56"/>
      <c r="O146" s="56"/>
      <c r="P146" s="56"/>
      <c r="Q146" s="56"/>
      <c r="R146" s="126"/>
      <c r="S146" s="42"/>
      <c r="AJ146" s="41"/>
      <c r="AK146" s="42"/>
      <c r="AL146" s="311"/>
      <c r="AM146" s="311"/>
      <c r="AN146" s="311"/>
      <c r="AO146" s="311"/>
      <c r="AP146" s="43"/>
      <c r="AQ146" s="42"/>
      <c r="AR146" s="46"/>
      <c r="AS146" s="46"/>
      <c r="AT146" s="46"/>
      <c r="AU146" s="46"/>
      <c r="AV146" s="46"/>
      <c r="AW146" s="46"/>
      <c r="AX146" s="105"/>
      <c r="AY146" s="79"/>
      <c r="AZ146" s="119"/>
      <c r="BA146" s="119"/>
      <c r="BB146" s="119"/>
      <c r="BC146" s="119"/>
      <c r="BD146" s="119"/>
      <c r="BE146" s="119"/>
      <c r="BF146" s="119"/>
      <c r="BG146" s="119"/>
      <c r="BH146" s="124"/>
      <c r="BI146" s="41"/>
      <c r="BK146" s="194"/>
      <c r="BL146" s="123"/>
      <c r="BM146" s="195"/>
      <c r="BN146" s="194"/>
      <c r="BO146" s="123"/>
      <c r="BP146" s="195"/>
      <c r="BQ146" s="194"/>
      <c r="BR146" s="123"/>
      <c r="BS146" s="195"/>
      <c r="BT146" s="194"/>
      <c r="BU146" s="123"/>
      <c r="BV146" s="195"/>
      <c r="BW146" s="194"/>
      <c r="BX146" s="123"/>
      <c r="BY146" s="195"/>
      <c r="BZ146" s="194"/>
      <c r="CA146" s="123"/>
      <c r="CB146" s="195"/>
      <c r="CC146" s="194"/>
      <c r="CD146" s="123"/>
      <c r="CE146" s="195"/>
      <c r="CF146" s="194"/>
      <c r="CG146" s="123"/>
      <c r="CH146" s="195"/>
      <c r="CI146" s="194"/>
      <c r="CJ146" s="123"/>
      <c r="CK146" s="195"/>
      <c r="CL146" s="194"/>
      <c r="CM146" s="123"/>
      <c r="CN146" s="195"/>
      <c r="CO146" s="194"/>
      <c r="CP146" s="123"/>
      <c r="CQ146" s="195"/>
      <c r="CR146" s="194"/>
      <c r="CS146" s="123"/>
      <c r="CT146" s="195"/>
      <c r="CU146" s="194"/>
      <c r="CV146" s="123"/>
      <c r="CW146" s="195"/>
      <c r="CX146" s="194"/>
      <c r="CY146" s="123"/>
      <c r="CZ146" s="195"/>
      <c r="DA146" s="194"/>
      <c r="DB146" s="123"/>
      <c r="DC146" s="195"/>
      <c r="DD146" s="194"/>
      <c r="DE146" s="123"/>
      <c r="DF146" s="195"/>
      <c r="DH146" s="311"/>
      <c r="DI146" s="311"/>
      <c r="DJ146" s="311"/>
      <c r="DK146" s="311"/>
      <c r="DL146" s="321"/>
      <c r="DM146" s="321"/>
      <c r="DN146" s="321"/>
      <c r="DO146" s="321"/>
      <c r="DP146" s="321"/>
      <c r="DQ146" s="321"/>
      <c r="DR146" s="321"/>
      <c r="DS146" s="321"/>
    </row>
    <row r="147" spans="1:123" ht="7.4" customHeight="1" x14ac:dyDescent="0.5">
      <c r="A147" s="42"/>
      <c r="B147" s="42"/>
      <c r="C147" s="311">
        <f>C143+1</f>
        <v>8</v>
      </c>
      <c r="D147" s="311"/>
      <c r="E147" s="41"/>
      <c r="F147" s="42"/>
      <c r="G147" s="319" t="str">
        <f>IF(AL147=0,"N/A","AXE_CS_8_"&amp;$AM$45&amp;"_SS")</f>
        <v>AXE_CS_8_30_SS</v>
      </c>
      <c r="H147" s="319"/>
      <c r="I147" s="319"/>
      <c r="J147" s="319"/>
      <c r="K147" s="319"/>
      <c r="L147" s="319"/>
      <c r="M147" s="319"/>
      <c r="N147" s="319"/>
      <c r="O147" s="319"/>
      <c r="P147" s="319"/>
      <c r="Q147" s="319"/>
      <c r="R147" s="320"/>
      <c r="S147" s="42"/>
      <c r="T147" s="405" t="str">
        <f>VLOOKUP(G147,PL!$B$9:$BH$1265,14,FALSE)</f>
        <v>Cap Screws Hexagon</v>
      </c>
      <c r="U147" s="405"/>
      <c r="V147" s="405"/>
      <c r="W147" s="405"/>
      <c r="X147" s="405"/>
      <c r="Y147" s="405"/>
      <c r="Z147" s="405"/>
      <c r="AA147" s="405"/>
      <c r="AB147" s="405"/>
      <c r="AC147" s="405"/>
      <c r="AD147" s="405"/>
      <c r="AE147" s="405"/>
      <c r="AF147" s="405"/>
      <c r="AG147" s="405"/>
      <c r="AH147" s="405"/>
      <c r="AI147" s="405"/>
      <c r="AJ147" s="411"/>
      <c r="AK147" s="42"/>
      <c r="AL147" s="311">
        <f>ROUND(SUM(BK147:DF147)*(1+$BF$72),0)</f>
        <v>416</v>
      </c>
      <c r="AM147" s="311"/>
      <c r="AN147" s="311"/>
      <c r="AO147" s="311"/>
      <c r="AP147" s="43"/>
      <c r="AQ147" s="111"/>
      <c r="AR147" s="308" t="str">
        <f>VLOOKUP(G147,PL!$B$9:$BH$818,52,FALSE)</f>
        <v>SOL-5950</v>
      </c>
      <c r="AS147" s="309"/>
      <c r="AT147" s="309"/>
      <c r="AU147" s="309"/>
      <c r="AV147" s="309"/>
      <c r="AW147" s="309"/>
      <c r="AX147" s="309"/>
      <c r="AY147" s="309"/>
      <c r="AZ147" s="309"/>
      <c r="BA147" s="309"/>
      <c r="BB147" s="309"/>
      <c r="BC147" s="309"/>
      <c r="BD147" s="309"/>
      <c r="BE147" s="309"/>
      <c r="BF147" s="309"/>
      <c r="BG147" s="309"/>
      <c r="BH147" s="124"/>
      <c r="BI147" s="41"/>
      <c r="BK147" s="412">
        <f>BK127</f>
        <v>400</v>
      </c>
      <c r="BL147" s="413"/>
      <c r="BM147" s="414"/>
      <c r="BN147" s="412">
        <f>BN127</f>
        <v>0</v>
      </c>
      <c r="BO147" s="413"/>
      <c r="BP147" s="414"/>
      <c r="BQ147" s="412">
        <f>BQ127</f>
        <v>0</v>
      </c>
      <c r="BR147" s="413"/>
      <c r="BS147" s="414"/>
      <c r="BT147" s="412">
        <f>BT127</f>
        <v>0</v>
      </c>
      <c r="BU147" s="413"/>
      <c r="BV147" s="414"/>
      <c r="BW147" s="412">
        <f>BW127</f>
        <v>0</v>
      </c>
      <c r="BX147" s="413"/>
      <c r="BY147" s="414"/>
      <c r="BZ147" s="412">
        <f>BZ127</f>
        <v>0</v>
      </c>
      <c r="CA147" s="413"/>
      <c r="CB147" s="414"/>
      <c r="CC147" s="412">
        <f>CC127</f>
        <v>0</v>
      </c>
      <c r="CD147" s="413"/>
      <c r="CE147" s="414"/>
      <c r="CF147" s="412">
        <f>CF127</f>
        <v>0</v>
      </c>
      <c r="CG147" s="413"/>
      <c r="CH147" s="414"/>
      <c r="CI147" s="412">
        <f>CI127</f>
        <v>0</v>
      </c>
      <c r="CJ147" s="413"/>
      <c r="CK147" s="414"/>
      <c r="CL147" s="412">
        <f>CL127</f>
        <v>0</v>
      </c>
      <c r="CM147" s="413"/>
      <c r="CN147" s="414"/>
      <c r="CO147" s="412">
        <f>CO127</f>
        <v>0</v>
      </c>
      <c r="CP147" s="413"/>
      <c r="CQ147" s="414"/>
      <c r="CR147" s="412">
        <f>CR127</f>
        <v>0</v>
      </c>
      <c r="CS147" s="413"/>
      <c r="CT147" s="414"/>
      <c r="CU147" s="412">
        <f>CU127</f>
        <v>0</v>
      </c>
      <c r="CV147" s="413"/>
      <c r="CW147" s="414"/>
      <c r="CX147" s="412">
        <f>CX127</f>
        <v>0</v>
      </c>
      <c r="CY147" s="413"/>
      <c r="CZ147" s="414"/>
      <c r="DA147" s="412">
        <f>DA127</f>
        <v>0</v>
      </c>
      <c r="DB147" s="413"/>
      <c r="DC147" s="414"/>
      <c r="DD147" s="412">
        <f>DD127</f>
        <v>0</v>
      </c>
      <c r="DE147" s="413"/>
      <c r="DF147" s="414"/>
      <c r="DH147" s="311"/>
      <c r="DI147" s="311"/>
      <c r="DJ147" s="311"/>
      <c r="DK147" s="311"/>
      <c r="DL147" s="321"/>
      <c r="DM147" s="321"/>
      <c r="DN147" s="321"/>
      <c r="DO147" s="321"/>
      <c r="DP147" s="321"/>
      <c r="DQ147" s="321"/>
      <c r="DR147" s="321"/>
      <c r="DS147" s="321"/>
    </row>
    <row r="148" spans="1:123" ht="7.4" customHeight="1" x14ac:dyDescent="0.5">
      <c r="A148" s="42"/>
      <c r="B148" s="42"/>
      <c r="C148" s="311"/>
      <c r="D148" s="311"/>
      <c r="E148" s="41"/>
      <c r="F148" s="42"/>
      <c r="G148" s="319"/>
      <c r="H148" s="319"/>
      <c r="I148" s="319"/>
      <c r="J148" s="319"/>
      <c r="K148" s="319"/>
      <c r="L148" s="319"/>
      <c r="M148" s="319"/>
      <c r="N148" s="319"/>
      <c r="O148" s="319"/>
      <c r="P148" s="319"/>
      <c r="Q148" s="319"/>
      <c r="R148" s="320"/>
      <c r="S148" s="42"/>
      <c r="T148" s="405"/>
      <c r="U148" s="405"/>
      <c r="V148" s="405"/>
      <c r="W148" s="405"/>
      <c r="X148" s="405"/>
      <c r="Y148" s="405"/>
      <c r="Z148" s="405"/>
      <c r="AA148" s="405"/>
      <c r="AB148" s="405"/>
      <c r="AC148" s="405"/>
      <c r="AD148" s="405"/>
      <c r="AE148" s="405"/>
      <c r="AF148" s="405"/>
      <c r="AG148" s="405"/>
      <c r="AH148" s="405"/>
      <c r="AI148" s="405"/>
      <c r="AJ148" s="411"/>
      <c r="AK148" s="42"/>
      <c r="AL148" s="311"/>
      <c r="AM148" s="311"/>
      <c r="AN148" s="311"/>
      <c r="AO148" s="311"/>
      <c r="AP148" s="43"/>
      <c r="AQ148" s="111"/>
      <c r="AR148" s="309"/>
      <c r="AS148" s="309"/>
      <c r="AT148" s="309"/>
      <c r="AU148" s="309"/>
      <c r="AV148" s="309"/>
      <c r="AW148" s="309"/>
      <c r="AX148" s="309"/>
      <c r="AY148" s="309"/>
      <c r="AZ148" s="309"/>
      <c r="BA148" s="309"/>
      <c r="BB148" s="309"/>
      <c r="BC148" s="309"/>
      <c r="BD148" s="309"/>
      <c r="BE148" s="309"/>
      <c r="BF148" s="309"/>
      <c r="BG148" s="309"/>
      <c r="BH148" s="124"/>
      <c r="BI148" s="41"/>
      <c r="BK148" s="412"/>
      <c r="BL148" s="413"/>
      <c r="BM148" s="414"/>
      <c r="BN148" s="412"/>
      <c r="BO148" s="413"/>
      <c r="BP148" s="414"/>
      <c r="BQ148" s="412"/>
      <c r="BR148" s="413"/>
      <c r="BS148" s="414"/>
      <c r="BT148" s="412"/>
      <c r="BU148" s="413"/>
      <c r="BV148" s="414"/>
      <c r="BW148" s="412"/>
      <c r="BX148" s="413"/>
      <c r="BY148" s="414"/>
      <c r="BZ148" s="412"/>
      <c r="CA148" s="413"/>
      <c r="CB148" s="414"/>
      <c r="CC148" s="412"/>
      <c r="CD148" s="413"/>
      <c r="CE148" s="414"/>
      <c r="CF148" s="412"/>
      <c r="CG148" s="413"/>
      <c r="CH148" s="414"/>
      <c r="CI148" s="412"/>
      <c r="CJ148" s="413"/>
      <c r="CK148" s="414"/>
      <c r="CL148" s="412"/>
      <c r="CM148" s="413"/>
      <c r="CN148" s="414"/>
      <c r="CO148" s="412"/>
      <c r="CP148" s="413"/>
      <c r="CQ148" s="414"/>
      <c r="CR148" s="412"/>
      <c r="CS148" s="413"/>
      <c r="CT148" s="414"/>
      <c r="CU148" s="412"/>
      <c r="CV148" s="413"/>
      <c r="CW148" s="414"/>
      <c r="CX148" s="412"/>
      <c r="CY148" s="413"/>
      <c r="CZ148" s="414"/>
      <c r="DA148" s="412"/>
      <c r="DB148" s="413"/>
      <c r="DC148" s="414"/>
      <c r="DD148" s="412"/>
      <c r="DE148" s="413"/>
      <c r="DF148" s="414"/>
      <c r="DH148" s="311"/>
      <c r="DI148" s="311"/>
      <c r="DJ148" s="311"/>
      <c r="DK148" s="311"/>
      <c r="DL148" s="321"/>
      <c r="DM148" s="321"/>
      <c r="DN148" s="321"/>
      <c r="DO148" s="321"/>
      <c r="DP148" s="321"/>
      <c r="DQ148" s="321"/>
      <c r="DR148" s="321"/>
      <c r="DS148" s="321"/>
    </row>
    <row r="149" spans="1:123" ht="7.4" customHeight="1" x14ac:dyDescent="0.5">
      <c r="A149" s="42"/>
      <c r="B149" s="42"/>
      <c r="C149" s="333"/>
      <c r="D149" s="333"/>
      <c r="E149" s="41"/>
      <c r="F149" s="42"/>
      <c r="G149" s="56"/>
      <c r="H149" s="56"/>
      <c r="I149" s="56"/>
      <c r="J149" s="56"/>
      <c r="K149" s="56"/>
      <c r="L149" s="56"/>
      <c r="M149" s="56"/>
      <c r="N149" s="56"/>
      <c r="O149" s="56"/>
      <c r="P149" s="56"/>
      <c r="Q149" s="56"/>
      <c r="R149" s="126"/>
      <c r="S149" s="42"/>
      <c r="T149" s="116" t="str">
        <f>VLOOKUP(G147,PL!$B$9:$BH$1265,33,FALSE)</f>
        <v>Stainless Steel, M8x30</v>
      </c>
      <c r="AJ149" s="41"/>
      <c r="AK149" s="42"/>
      <c r="AL149" s="311"/>
      <c r="AM149" s="311"/>
      <c r="AN149" s="311"/>
      <c r="AO149" s="311"/>
      <c r="AP149" s="43"/>
      <c r="AQ149" s="42"/>
      <c r="AR149" s="46"/>
      <c r="AS149" s="46"/>
      <c r="AT149" s="46"/>
      <c r="AU149" s="46"/>
      <c r="AV149" s="46"/>
      <c r="AW149" s="46"/>
      <c r="AX149" s="105"/>
      <c r="AY149" s="79"/>
      <c r="AZ149" s="119"/>
      <c r="BA149" s="119"/>
      <c r="BB149" s="119"/>
      <c r="BC149" s="119"/>
      <c r="BD149" s="119"/>
      <c r="BE149" s="119"/>
      <c r="BF149" s="119"/>
      <c r="BG149" s="119"/>
      <c r="BH149" s="124"/>
      <c r="BI149" s="41"/>
      <c r="BK149" s="194"/>
      <c r="BL149" s="123"/>
      <c r="BM149" s="195"/>
      <c r="BN149" s="194"/>
      <c r="BO149" s="123"/>
      <c r="BP149" s="195"/>
      <c r="BQ149" s="194"/>
      <c r="BR149" s="123"/>
      <c r="BS149" s="195"/>
      <c r="BT149" s="194"/>
      <c r="BU149" s="123"/>
      <c r="BV149" s="195"/>
      <c r="BW149" s="194"/>
      <c r="BX149" s="123"/>
      <c r="BY149" s="195"/>
      <c r="BZ149" s="194"/>
      <c r="CA149" s="123"/>
      <c r="CB149" s="195"/>
      <c r="CC149" s="194"/>
      <c r="CD149" s="123"/>
      <c r="CE149" s="195"/>
      <c r="CF149" s="194"/>
      <c r="CG149" s="123"/>
      <c r="CH149" s="195"/>
      <c r="CI149" s="194"/>
      <c r="CJ149" s="123"/>
      <c r="CK149" s="195"/>
      <c r="CL149" s="194"/>
      <c r="CM149" s="123"/>
      <c r="CN149" s="195"/>
      <c r="CO149" s="194"/>
      <c r="CP149" s="123"/>
      <c r="CQ149" s="195"/>
      <c r="CR149" s="194"/>
      <c r="CS149" s="123"/>
      <c r="CT149" s="195"/>
      <c r="CU149" s="194"/>
      <c r="CV149" s="123"/>
      <c r="CW149" s="195"/>
      <c r="CX149" s="194"/>
      <c r="CY149" s="123"/>
      <c r="CZ149" s="195"/>
      <c r="DA149" s="194"/>
      <c r="DB149" s="123"/>
      <c r="DC149" s="195"/>
      <c r="DD149" s="194"/>
      <c r="DE149" s="123"/>
      <c r="DF149" s="195"/>
      <c r="DH149" s="311"/>
      <c r="DI149" s="311"/>
      <c r="DJ149" s="311"/>
      <c r="DK149" s="311"/>
      <c r="DL149" s="321"/>
      <c r="DM149" s="321"/>
      <c r="DN149" s="321"/>
      <c r="DO149" s="321"/>
      <c r="DP149" s="321"/>
      <c r="DQ149" s="321"/>
      <c r="DR149" s="321"/>
      <c r="DS149" s="321"/>
    </row>
    <row r="150" spans="1:123" ht="7.4" customHeight="1" x14ac:dyDescent="0.5">
      <c r="A150" s="42"/>
      <c r="B150" s="42"/>
      <c r="C150" s="333"/>
      <c r="D150" s="333"/>
      <c r="E150" s="41"/>
      <c r="F150" s="42"/>
      <c r="G150" s="56"/>
      <c r="H150" s="56"/>
      <c r="I150" s="56"/>
      <c r="J150" s="56"/>
      <c r="K150" s="56"/>
      <c r="L150" s="56"/>
      <c r="M150" s="56"/>
      <c r="N150" s="56"/>
      <c r="O150" s="56"/>
      <c r="P150" s="56"/>
      <c r="Q150" s="56"/>
      <c r="R150" s="126"/>
      <c r="S150" s="42"/>
      <c r="AJ150" s="41"/>
      <c r="AK150" s="42"/>
      <c r="AL150" s="311"/>
      <c r="AM150" s="311"/>
      <c r="AN150" s="311"/>
      <c r="AO150" s="311"/>
      <c r="AP150" s="43"/>
      <c r="AQ150" s="42"/>
      <c r="AR150" s="46"/>
      <c r="AS150" s="46"/>
      <c r="AT150" s="46"/>
      <c r="AU150" s="46"/>
      <c r="AV150" s="46"/>
      <c r="AW150" s="46"/>
      <c r="AX150" s="105"/>
      <c r="AY150" s="79"/>
      <c r="AZ150" s="119"/>
      <c r="BA150" s="119"/>
      <c r="BB150" s="119"/>
      <c r="BC150" s="119"/>
      <c r="BD150" s="119"/>
      <c r="BE150" s="119"/>
      <c r="BF150" s="119"/>
      <c r="BG150" s="119"/>
      <c r="BH150" s="124"/>
      <c r="BI150" s="41"/>
      <c r="BK150" s="194"/>
      <c r="BL150" s="123"/>
      <c r="BM150" s="195"/>
      <c r="BN150" s="194"/>
      <c r="BO150" s="123"/>
      <c r="BP150" s="195"/>
      <c r="BQ150" s="194"/>
      <c r="BR150" s="123"/>
      <c r="BS150" s="195"/>
      <c r="BT150" s="194"/>
      <c r="BU150" s="123"/>
      <c r="BV150" s="195"/>
      <c r="BW150" s="194"/>
      <c r="BX150" s="123"/>
      <c r="BY150" s="195"/>
      <c r="BZ150" s="194"/>
      <c r="CA150" s="123"/>
      <c r="CB150" s="195"/>
      <c r="CC150" s="194"/>
      <c r="CD150" s="123"/>
      <c r="CE150" s="195"/>
      <c r="CF150" s="194"/>
      <c r="CG150" s="123"/>
      <c r="CH150" s="195"/>
      <c r="CI150" s="194"/>
      <c r="CJ150" s="123"/>
      <c r="CK150" s="195"/>
      <c r="CL150" s="194"/>
      <c r="CM150" s="123"/>
      <c r="CN150" s="195"/>
      <c r="CO150" s="194"/>
      <c r="CP150" s="123"/>
      <c r="CQ150" s="195"/>
      <c r="CR150" s="194"/>
      <c r="CS150" s="123"/>
      <c r="CT150" s="195"/>
      <c r="CU150" s="194"/>
      <c r="CV150" s="123"/>
      <c r="CW150" s="195"/>
      <c r="CX150" s="194"/>
      <c r="CY150" s="123"/>
      <c r="CZ150" s="195"/>
      <c r="DA150" s="194"/>
      <c r="DB150" s="123"/>
      <c r="DC150" s="195"/>
      <c r="DD150" s="194"/>
      <c r="DE150" s="123"/>
      <c r="DF150" s="195"/>
      <c r="DH150" s="311"/>
      <c r="DI150" s="311"/>
      <c r="DJ150" s="311"/>
      <c r="DK150" s="311"/>
      <c r="DL150" s="321"/>
      <c r="DM150" s="321"/>
      <c r="DN150" s="321"/>
      <c r="DO150" s="321"/>
      <c r="DP150" s="321"/>
      <c r="DQ150" s="321"/>
      <c r="DR150" s="321"/>
      <c r="DS150" s="321"/>
    </row>
    <row r="151" spans="1:123" ht="7.4" customHeight="1" x14ac:dyDescent="0.5">
      <c r="A151" s="42"/>
      <c r="B151" s="42"/>
      <c r="C151" s="311">
        <f>C147+1</f>
        <v>9</v>
      </c>
      <c r="D151" s="311"/>
      <c r="E151" s="41"/>
      <c r="F151" s="42"/>
      <c r="G151" s="319" t="str">
        <f>IF(AL151=0,"N/A","AXE_WS_8"&amp;"_SS")</f>
        <v>AXE_WS_8_SS</v>
      </c>
      <c r="H151" s="319"/>
      <c r="I151" s="319"/>
      <c r="J151" s="319"/>
      <c r="K151" s="319"/>
      <c r="L151" s="319"/>
      <c r="M151" s="319"/>
      <c r="N151" s="319"/>
      <c r="O151" s="319"/>
      <c r="P151" s="319"/>
      <c r="Q151" s="319"/>
      <c r="R151" s="320"/>
      <c r="S151" s="42"/>
      <c r="T151" s="405" t="str">
        <f>VLOOKUP(G151,PL!$B$9:$BH$1265,14,FALSE)</f>
        <v>Spring Washer</v>
      </c>
      <c r="U151" s="405"/>
      <c r="V151" s="405"/>
      <c r="W151" s="405"/>
      <c r="X151" s="405"/>
      <c r="Y151" s="405"/>
      <c r="Z151" s="405"/>
      <c r="AA151" s="405"/>
      <c r="AB151" s="405"/>
      <c r="AC151" s="405"/>
      <c r="AD151" s="405"/>
      <c r="AE151" s="405"/>
      <c r="AF151" s="405"/>
      <c r="AG151" s="405"/>
      <c r="AH151" s="405"/>
      <c r="AI151" s="405"/>
      <c r="AJ151" s="411"/>
      <c r="AK151" s="42"/>
      <c r="AL151" s="311">
        <f>ROUND(SUM(BK151:DF151)*(1+$BF$72),0)</f>
        <v>832</v>
      </c>
      <c r="AM151" s="311"/>
      <c r="AN151" s="311"/>
      <c r="AO151" s="311"/>
      <c r="AP151" s="43"/>
      <c r="AQ151" s="111"/>
      <c r="AR151" s="308" t="str">
        <f>VLOOKUP(G151,PL!$B$9:$BH$818,52,FALSE)</f>
        <v>SOL-5951</v>
      </c>
      <c r="AS151" s="309"/>
      <c r="AT151" s="309"/>
      <c r="AU151" s="309"/>
      <c r="AV151" s="309"/>
      <c r="AW151" s="309"/>
      <c r="AX151" s="309"/>
      <c r="AY151" s="309"/>
      <c r="AZ151" s="309"/>
      <c r="BA151" s="309"/>
      <c r="BB151" s="309"/>
      <c r="BC151" s="309"/>
      <c r="BD151" s="309"/>
      <c r="BE151" s="309"/>
      <c r="BF151" s="309"/>
      <c r="BG151" s="309"/>
      <c r="BH151" s="124"/>
      <c r="BI151" s="41"/>
      <c r="BK151" s="412">
        <f>BK147+BK143</f>
        <v>800</v>
      </c>
      <c r="BL151" s="413"/>
      <c r="BM151" s="414"/>
      <c r="BN151" s="412">
        <f t="shared" ref="BN151" si="75">BN147+BN143</f>
        <v>0</v>
      </c>
      <c r="BO151" s="413"/>
      <c r="BP151" s="414"/>
      <c r="BQ151" s="412">
        <f t="shared" ref="BQ151" si="76">BQ147+BQ143</f>
        <v>0</v>
      </c>
      <c r="BR151" s="413"/>
      <c r="BS151" s="414"/>
      <c r="BT151" s="412">
        <f t="shared" ref="BT151" si="77">BT147+BT143</f>
        <v>0</v>
      </c>
      <c r="BU151" s="413"/>
      <c r="BV151" s="414"/>
      <c r="BW151" s="412">
        <f t="shared" ref="BW151" si="78">BW147+BW143</f>
        <v>0</v>
      </c>
      <c r="BX151" s="413"/>
      <c r="BY151" s="414"/>
      <c r="BZ151" s="412">
        <f t="shared" ref="BZ151" si="79">BZ147+BZ143</f>
        <v>0</v>
      </c>
      <c r="CA151" s="413"/>
      <c r="CB151" s="414"/>
      <c r="CC151" s="412">
        <f t="shared" ref="CC151" si="80">CC147+CC143</f>
        <v>0</v>
      </c>
      <c r="CD151" s="413"/>
      <c r="CE151" s="414"/>
      <c r="CF151" s="412">
        <f t="shared" ref="CF151" si="81">CF147+CF143</f>
        <v>0</v>
      </c>
      <c r="CG151" s="413"/>
      <c r="CH151" s="414"/>
      <c r="CI151" s="412">
        <f t="shared" ref="CI151" si="82">CI147+CI143</f>
        <v>0</v>
      </c>
      <c r="CJ151" s="413"/>
      <c r="CK151" s="414"/>
      <c r="CL151" s="412">
        <f t="shared" ref="CL151" si="83">CL147+CL143</f>
        <v>0</v>
      </c>
      <c r="CM151" s="413"/>
      <c r="CN151" s="414"/>
      <c r="CO151" s="412">
        <f t="shared" ref="CO151" si="84">CO147+CO143</f>
        <v>0</v>
      </c>
      <c r="CP151" s="413"/>
      <c r="CQ151" s="414"/>
      <c r="CR151" s="412">
        <f t="shared" ref="CR151" si="85">CR147+CR143</f>
        <v>0</v>
      </c>
      <c r="CS151" s="413"/>
      <c r="CT151" s="414"/>
      <c r="CU151" s="412">
        <f t="shared" ref="CU151" si="86">CU147+CU143</f>
        <v>0</v>
      </c>
      <c r="CV151" s="413"/>
      <c r="CW151" s="414"/>
      <c r="CX151" s="412">
        <f t="shared" ref="CX151" si="87">CX147+CX143</f>
        <v>0</v>
      </c>
      <c r="CY151" s="413"/>
      <c r="CZ151" s="414"/>
      <c r="DA151" s="412">
        <f t="shared" ref="DA151" si="88">DA147+DA143</f>
        <v>0</v>
      </c>
      <c r="DB151" s="413"/>
      <c r="DC151" s="414"/>
      <c r="DD151" s="412">
        <f t="shared" ref="DD151" si="89">DD147+DD143</f>
        <v>0</v>
      </c>
      <c r="DE151" s="413"/>
      <c r="DF151" s="414"/>
      <c r="DH151" s="311"/>
      <c r="DI151" s="311"/>
      <c r="DJ151" s="311"/>
      <c r="DK151" s="311"/>
      <c r="DL151" s="321"/>
      <c r="DM151" s="321"/>
      <c r="DN151" s="321"/>
      <c r="DO151" s="321"/>
      <c r="DP151" s="321"/>
      <c r="DQ151" s="321"/>
      <c r="DR151" s="321"/>
      <c r="DS151" s="321"/>
    </row>
    <row r="152" spans="1:123" ht="7.4" customHeight="1" x14ac:dyDescent="0.5">
      <c r="A152" s="42"/>
      <c r="B152" s="42"/>
      <c r="C152" s="311"/>
      <c r="D152" s="311"/>
      <c r="E152" s="41"/>
      <c r="F152" s="42"/>
      <c r="G152" s="319"/>
      <c r="H152" s="319"/>
      <c r="I152" s="319"/>
      <c r="J152" s="319"/>
      <c r="K152" s="319"/>
      <c r="L152" s="319"/>
      <c r="M152" s="319"/>
      <c r="N152" s="319"/>
      <c r="O152" s="319"/>
      <c r="P152" s="319"/>
      <c r="Q152" s="319"/>
      <c r="R152" s="320"/>
      <c r="S152" s="42"/>
      <c r="T152" s="405"/>
      <c r="U152" s="405"/>
      <c r="V152" s="405"/>
      <c r="W152" s="405"/>
      <c r="X152" s="405"/>
      <c r="Y152" s="405"/>
      <c r="Z152" s="405"/>
      <c r="AA152" s="405"/>
      <c r="AB152" s="405"/>
      <c r="AC152" s="405"/>
      <c r="AD152" s="405"/>
      <c r="AE152" s="405"/>
      <c r="AF152" s="405"/>
      <c r="AG152" s="405"/>
      <c r="AH152" s="405"/>
      <c r="AI152" s="405"/>
      <c r="AJ152" s="411"/>
      <c r="AK152" s="42"/>
      <c r="AL152" s="311"/>
      <c r="AM152" s="311"/>
      <c r="AN152" s="311"/>
      <c r="AO152" s="311"/>
      <c r="AP152" s="43"/>
      <c r="AQ152" s="111"/>
      <c r="AR152" s="309"/>
      <c r="AS152" s="309"/>
      <c r="AT152" s="309"/>
      <c r="AU152" s="309"/>
      <c r="AV152" s="309"/>
      <c r="AW152" s="309"/>
      <c r="AX152" s="309"/>
      <c r="AY152" s="309"/>
      <c r="AZ152" s="309"/>
      <c r="BA152" s="309"/>
      <c r="BB152" s="309"/>
      <c r="BC152" s="309"/>
      <c r="BD152" s="309"/>
      <c r="BE152" s="309"/>
      <c r="BF152" s="309"/>
      <c r="BG152" s="309"/>
      <c r="BH152" s="124"/>
      <c r="BI152" s="41"/>
      <c r="BK152" s="412"/>
      <c r="BL152" s="413"/>
      <c r="BM152" s="414"/>
      <c r="BN152" s="412"/>
      <c r="BO152" s="413"/>
      <c r="BP152" s="414"/>
      <c r="BQ152" s="412"/>
      <c r="BR152" s="413"/>
      <c r="BS152" s="414"/>
      <c r="BT152" s="412"/>
      <c r="BU152" s="413"/>
      <c r="BV152" s="414"/>
      <c r="BW152" s="412"/>
      <c r="BX152" s="413"/>
      <c r="BY152" s="414"/>
      <c r="BZ152" s="412"/>
      <c r="CA152" s="413"/>
      <c r="CB152" s="414"/>
      <c r="CC152" s="412"/>
      <c r="CD152" s="413"/>
      <c r="CE152" s="414"/>
      <c r="CF152" s="412"/>
      <c r="CG152" s="413"/>
      <c r="CH152" s="414"/>
      <c r="CI152" s="412"/>
      <c r="CJ152" s="413"/>
      <c r="CK152" s="414"/>
      <c r="CL152" s="412"/>
      <c r="CM152" s="413"/>
      <c r="CN152" s="414"/>
      <c r="CO152" s="412"/>
      <c r="CP152" s="413"/>
      <c r="CQ152" s="414"/>
      <c r="CR152" s="412"/>
      <c r="CS152" s="413"/>
      <c r="CT152" s="414"/>
      <c r="CU152" s="412"/>
      <c r="CV152" s="413"/>
      <c r="CW152" s="414"/>
      <c r="CX152" s="412"/>
      <c r="CY152" s="413"/>
      <c r="CZ152" s="414"/>
      <c r="DA152" s="412"/>
      <c r="DB152" s="413"/>
      <c r="DC152" s="414"/>
      <c r="DD152" s="412"/>
      <c r="DE152" s="413"/>
      <c r="DF152" s="414"/>
      <c r="DH152" s="311"/>
      <c r="DI152" s="311"/>
      <c r="DJ152" s="311"/>
      <c r="DK152" s="311"/>
      <c r="DL152" s="321"/>
      <c r="DM152" s="321"/>
      <c r="DN152" s="321"/>
      <c r="DO152" s="321"/>
      <c r="DP152" s="321"/>
      <c r="DQ152" s="321"/>
      <c r="DR152" s="321"/>
      <c r="DS152" s="321"/>
    </row>
    <row r="153" spans="1:123" ht="7.4" customHeight="1" x14ac:dyDescent="0.5">
      <c r="A153" s="42"/>
      <c r="B153" s="42"/>
      <c r="C153" s="333"/>
      <c r="D153" s="333"/>
      <c r="E153" s="41"/>
      <c r="F153" s="42"/>
      <c r="G153" s="56"/>
      <c r="H153" s="56"/>
      <c r="I153" s="56"/>
      <c r="J153" s="56"/>
      <c r="K153" s="56"/>
      <c r="L153" s="56"/>
      <c r="M153" s="56"/>
      <c r="N153" s="56"/>
      <c r="O153" s="56"/>
      <c r="P153" s="56"/>
      <c r="Q153" s="56"/>
      <c r="R153" s="126"/>
      <c r="S153" s="42"/>
      <c r="T153" s="116" t="str">
        <f>VLOOKUP(G151,PL!$B$9:$BH$1265,33,FALSE)</f>
        <v>Stainless Steel, M8</v>
      </c>
      <c r="AJ153" s="41"/>
      <c r="AK153" s="42"/>
      <c r="AL153" s="311"/>
      <c r="AM153" s="311"/>
      <c r="AN153" s="311"/>
      <c r="AO153" s="311"/>
      <c r="AP153" s="43"/>
      <c r="AQ153" s="42"/>
      <c r="AR153" s="46"/>
      <c r="AS153" s="46"/>
      <c r="AT153" s="46"/>
      <c r="AU153" s="46"/>
      <c r="AV153" s="46"/>
      <c r="AW153" s="46"/>
      <c r="AX153" s="105"/>
      <c r="AY153" s="79"/>
      <c r="AZ153" s="119"/>
      <c r="BA153" s="119"/>
      <c r="BB153" s="119"/>
      <c r="BC153" s="119"/>
      <c r="BD153" s="119"/>
      <c r="BE153" s="119"/>
      <c r="BF153" s="119"/>
      <c r="BG153" s="119"/>
      <c r="BH153" s="124"/>
      <c r="BI153" s="41"/>
      <c r="BK153" s="194"/>
      <c r="BL153" s="123"/>
      <c r="BM153" s="195"/>
      <c r="BN153" s="194"/>
      <c r="BO153" s="123"/>
      <c r="BP153" s="195"/>
      <c r="BQ153" s="194"/>
      <c r="BR153" s="123"/>
      <c r="BS153" s="195"/>
      <c r="BT153" s="194"/>
      <c r="BU153" s="123"/>
      <c r="BV153" s="195"/>
      <c r="BW153" s="194"/>
      <c r="BX153" s="123"/>
      <c r="BY153" s="195"/>
      <c r="BZ153" s="194"/>
      <c r="CA153" s="123"/>
      <c r="CB153" s="195"/>
      <c r="CC153" s="194"/>
      <c r="CD153" s="123"/>
      <c r="CE153" s="195"/>
      <c r="CF153" s="194"/>
      <c r="CG153" s="123"/>
      <c r="CH153" s="195"/>
      <c r="CI153" s="194"/>
      <c r="CJ153" s="123"/>
      <c r="CK153" s="195"/>
      <c r="CL153" s="194"/>
      <c r="CM153" s="123"/>
      <c r="CN153" s="195"/>
      <c r="CO153" s="194"/>
      <c r="CP153" s="123"/>
      <c r="CQ153" s="195"/>
      <c r="CR153" s="194"/>
      <c r="CS153" s="123"/>
      <c r="CT153" s="195"/>
      <c r="CU153" s="194"/>
      <c r="CV153" s="123"/>
      <c r="CW153" s="195"/>
      <c r="CX153" s="194"/>
      <c r="CY153" s="123"/>
      <c r="CZ153" s="195"/>
      <c r="DA153" s="194"/>
      <c r="DB153" s="123"/>
      <c r="DC153" s="195"/>
      <c r="DD153" s="194"/>
      <c r="DE153" s="123"/>
      <c r="DF153" s="195"/>
      <c r="DH153" s="311"/>
      <c r="DI153" s="311"/>
      <c r="DJ153" s="311"/>
      <c r="DK153" s="311"/>
      <c r="DL153" s="321"/>
      <c r="DM153" s="321"/>
      <c r="DN153" s="321"/>
      <c r="DO153" s="321"/>
      <c r="DP153" s="321"/>
      <c r="DQ153" s="321"/>
      <c r="DR153" s="321"/>
      <c r="DS153" s="321"/>
    </row>
    <row r="154" spans="1:123" ht="7.4" customHeight="1" x14ac:dyDescent="0.5">
      <c r="A154" s="42"/>
      <c r="B154" s="42"/>
      <c r="C154" s="333"/>
      <c r="D154" s="333"/>
      <c r="E154" s="41"/>
      <c r="F154" s="42"/>
      <c r="G154" s="56"/>
      <c r="H154" s="56"/>
      <c r="I154" s="56"/>
      <c r="J154" s="56"/>
      <c r="K154" s="56"/>
      <c r="L154" s="56"/>
      <c r="M154" s="56"/>
      <c r="N154" s="56"/>
      <c r="O154" s="56"/>
      <c r="P154" s="56"/>
      <c r="Q154" s="56"/>
      <c r="R154" s="126"/>
      <c r="S154" s="42"/>
      <c r="AJ154" s="41"/>
      <c r="AK154" s="42"/>
      <c r="AL154" s="311"/>
      <c r="AM154" s="311"/>
      <c r="AN154" s="311"/>
      <c r="AO154" s="311"/>
      <c r="AP154" s="43"/>
      <c r="AQ154" s="42"/>
      <c r="AR154" s="46"/>
      <c r="AS154" s="46"/>
      <c r="AT154" s="46"/>
      <c r="AU154" s="46"/>
      <c r="AV154" s="46"/>
      <c r="AW154" s="46"/>
      <c r="AX154" s="105"/>
      <c r="AY154" s="79"/>
      <c r="AZ154" s="119"/>
      <c r="BA154" s="119"/>
      <c r="BB154" s="119"/>
      <c r="BC154" s="119"/>
      <c r="BD154" s="119"/>
      <c r="BE154" s="119"/>
      <c r="BF154" s="119"/>
      <c r="BG154" s="119"/>
      <c r="BH154" s="124"/>
      <c r="BI154" s="41"/>
      <c r="BK154" s="194"/>
      <c r="BL154" s="123"/>
      <c r="BM154" s="195"/>
      <c r="BN154" s="194"/>
      <c r="BO154" s="123"/>
      <c r="BP154" s="195"/>
      <c r="BQ154" s="194"/>
      <c r="BR154" s="123"/>
      <c r="BS154" s="195"/>
      <c r="BT154" s="194"/>
      <c r="BU154" s="123"/>
      <c r="BV154" s="195"/>
      <c r="BW154" s="194"/>
      <c r="BX154" s="123"/>
      <c r="BY154" s="195"/>
      <c r="BZ154" s="194"/>
      <c r="CA154" s="123"/>
      <c r="CB154" s="195"/>
      <c r="CC154" s="194"/>
      <c r="CD154" s="123"/>
      <c r="CE154" s="195"/>
      <c r="CF154" s="194"/>
      <c r="CG154" s="123"/>
      <c r="CH154" s="195"/>
      <c r="CI154" s="194"/>
      <c r="CJ154" s="123"/>
      <c r="CK154" s="195"/>
      <c r="CL154" s="194"/>
      <c r="CM154" s="123"/>
      <c r="CN154" s="195"/>
      <c r="CO154" s="194"/>
      <c r="CP154" s="123"/>
      <c r="CQ154" s="195"/>
      <c r="CR154" s="194"/>
      <c r="CS154" s="123"/>
      <c r="CT154" s="195"/>
      <c r="CU154" s="194"/>
      <c r="CV154" s="123"/>
      <c r="CW154" s="195"/>
      <c r="CX154" s="194"/>
      <c r="CY154" s="123"/>
      <c r="CZ154" s="195"/>
      <c r="DA154" s="194"/>
      <c r="DB154" s="123"/>
      <c r="DC154" s="195"/>
      <c r="DD154" s="194"/>
      <c r="DE154" s="123"/>
      <c r="DF154" s="195"/>
      <c r="DH154" s="311"/>
      <c r="DI154" s="311"/>
      <c r="DJ154" s="311"/>
      <c r="DK154" s="311"/>
      <c r="DL154" s="321"/>
      <c r="DM154" s="321"/>
      <c r="DN154" s="321"/>
      <c r="DO154" s="321"/>
      <c r="DP154" s="321"/>
      <c r="DQ154" s="321"/>
      <c r="DR154" s="321"/>
      <c r="DS154" s="321"/>
    </row>
    <row r="155" spans="1:123" ht="7.4" customHeight="1" x14ac:dyDescent="0.5">
      <c r="A155" s="42"/>
      <c r="B155" s="42"/>
      <c r="C155" s="311">
        <f>C151+1</f>
        <v>10</v>
      </c>
      <c r="D155" s="311"/>
      <c r="E155" s="41"/>
      <c r="F155" s="42"/>
      <c r="G155" s="319" t="str">
        <f>IF(AL155=0,"N/A","AXE_NHF_8_SS")</f>
        <v>AXE_NHF_8_SS</v>
      </c>
      <c r="H155" s="319"/>
      <c r="I155" s="319"/>
      <c r="J155" s="319"/>
      <c r="K155" s="319"/>
      <c r="L155" s="319"/>
      <c r="M155" s="319"/>
      <c r="N155" s="319"/>
      <c r="O155" s="319"/>
      <c r="P155" s="319"/>
      <c r="Q155" s="319"/>
      <c r="R155" s="320"/>
      <c r="S155" s="42"/>
      <c r="T155" s="405" t="str">
        <f>VLOOKUP(G155,PL!$B$9:$BH$1265,14,FALSE)</f>
        <v>Hex Flange Nut</v>
      </c>
      <c r="U155" s="405"/>
      <c r="V155" s="405"/>
      <c r="W155" s="405"/>
      <c r="X155" s="405"/>
      <c r="Y155" s="405"/>
      <c r="Z155" s="405"/>
      <c r="AA155" s="405"/>
      <c r="AB155" s="405"/>
      <c r="AC155" s="405"/>
      <c r="AD155" s="405"/>
      <c r="AE155" s="405"/>
      <c r="AF155" s="405"/>
      <c r="AG155" s="405"/>
      <c r="AH155" s="405"/>
      <c r="AI155" s="405"/>
      <c r="AJ155" s="411"/>
      <c r="AK155" s="42"/>
      <c r="AL155" s="311">
        <f>ROUND(SUM(BK155:DF155)*(1+$BF$72),0)</f>
        <v>832</v>
      </c>
      <c r="AM155" s="311"/>
      <c r="AN155" s="311"/>
      <c r="AO155" s="311"/>
      <c r="AP155" s="43"/>
      <c r="AQ155" s="111"/>
      <c r="AR155" s="308" t="str">
        <f>VLOOKUP(G155,PL!$B$9:$BH$818,52,FALSE)</f>
        <v>SOL-59530</v>
      </c>
      <c r="AS155" s="309"/>
      <c r="AT155" s="309"/>
      <c r="AU155" s="309"/>
      <c r="AV155" s="309"/>
      <c r="AW155" s="309"/>
      <c r="AX155" s="309"/>
      <c r="AY155" s="309"/>
      <c r="AZ155" s="309"/>
      <c r="BA155" s="309"/>
      <c r="BB155" s="309"/>
      <c r="BC155" s="309"/>
      <c r="BD155" s="309"/>
      <c r="BE155" s="309"/>
      <c r="BF155" s="309"/>
      <c r="BG155" s="309"/>
      <c r="BH155" s="124"/>
      <c r="BI155" s="41"/>
      <c r="BK155" s="412">
        <f>BK147+BK143</f>
        <v>800</v>
      </c>
      <c r="BL155" s="413"/>
      <c r="BM155" s="414"/>
      <c r="BN155" s="412">
        <f t="shared" ref="BN155" si="90">BN147+BN143</f>
        <v>0</v>
      </c>
      <c r="BO155" s="413"/>
      <c r="BP155" s="414"/>
      <c r="BQ155" s="412">
        <f t="shared" ref="BQ155" si="91">BQ147+BQ143</f>
        <v>0</v>
      </c>
      <c r="BR155" s="413"/>
      <c r="BS155" s="414"/>
      <c r="BT155" s="412">
        <f t="shared" ref="BT155" si="92">BT147+BT143</f>
        <v>0</v>
      </c>
      <c r="BU155" s="413"/>
      <c r="BV155" s="414"/>
      <c r="BW155" s="412">
        <f t="shared" ref="BW155" si="93">BW147+BW143</f>
        <v>0</v>
      </c>
      <c r="BX155" s="413"/>
      <c r="BY155" s="414"/>
      <c r="BZ155" s="412">
        <f t="shared" ref="BZ155" si="94">BZ147+BZ143</f>
        <v>0</v>
      </c>
      <c r="CA155" s="413"/>
      <c r="CB155" s="414"/>
      <c r="CC155" s="412">
        <f t="shared" ref="CC155" si="95">CC147+CC143</f>
        <v>0</v>
      </c>
      <c r="CD155" s="413"/>
      <c r="CE155" s="414"/>
      <c r="CF155" s="412">
        <f t="shared" ref="CF155" si="96">CF147+CF143</f>
        <v>0</v>
      </c>
      <c r="CG155" s="413"/>
      <c r="CH155" s="414"/>
      <c r="CI155" s="412">
        <f t="shared" ref="CI155" si="97">CI147+CI143</f>
        <v>0</v>
      </c>
      <c r="CJ155" s="413"/>
      <c r="CK155" s="414"/>
      <c r="CL155" s="412">
        <f t="shared" ref="CL155" si="98">CL147+CL143</f>
        <v>0</v>
      </c>
      <c r="CM155" s="413"/>
      <c r="CN155" s="414"/>
      <c r="CO155" s="412">
        <f t="shared" ref="CO155" si="99">CO147+CO143</f>
        <v>0</v>
      </c>
      <c r="CP155" s="413"/>
      <c r="CQ155" s="414"/>
      <c r="CR155" s="412">
        <f t="shared" ref="CR155" si="100">CR147+CR143</f>
        <v>0</v>
      </c>
      <c r="CS155" s="413"/>
      <c r="CT155" s="414"/>
      <c r="CU155" s="412">
        <f t="shared" ref="CU155" si="101">CU147+CU143</f>
        <v>0</v>
      </c>
      <c r="CV155" s="413"/>
      <c r="CW155" s="414"/>
      <c r="CX155" s="412">
        <f t="shared" ref="CX155" si="102">CX147+CX143</f>
        <v>0</v>
      </c>
      <c r="CY155" s="413"/>
      <c r="CZ155" s="414"/>
      <c r="DA155" s="412">
        <f t="shared" ref="DA155" si="103">DA147+DA143</f>
        <v>0</v>
      </c>
      <c r="DB155" s="413"/>
      <c r="DC155" s="414"/>
      <c r="DD155" s="412">
        <f t="shared" ref="DD155" si="104">DD147+DD143</f>
        <v>0</v>
      </c>
      <c r="DE155" s="413"/>
      <c r="DF155" s="414"/>
      <c r="DH155" s="311"/>
      <c r="DI155" s="311"/>
      <c r="DJ155" s="311"/>
      <c r="DK155" s="311"/>
      <c r="DL155" s="321"/>
      <c r="DM155" s="321"/>
      <c r="DN155" s="321"/>
      <c r="DO155" s="321"/>
      <c r="DP155" s="321"/>
      <c r="DQ155" s="321"/>
      <c r="DR155" s="321"/>
      <c r="DS155" s="321"/>
    </row>
    <row r="156" spans="1:123" ht="7.4" customHeight="1" x14ac:dyDescent="0.5">
      <c r="A156" s="42"/>
      <c r="B156" s="42"/>
      <c r="C156" s="311"/>
      <c r="D156" s="311"/>
      <c r="E156" s="41"/>
      <c r="F156" s="42"/>
      <c r="G156" s="319"/>
      <c r="H156" s="319"/>
      <c r="I156" s="319"/>
      <c r="J156" s="319"/>
      <c r="K156" s="319"/>
      <c r="L156" s="319"/>
      <c r="M156" s="319"/>
      <c r="N156" s="319"/>
      <c r="O156" s="319"/>
      <c r="P156" s="319"/>
      <c r="Q156" s="319"/>
      <c r="R156" s="320"/>
      <c r="S156" s="42"/>
      <c r="T156" s="405"/>
      <c r="U156" s="405"/>
      <c r="V156" s="405"/>
      <c r="W156" s="405"/>
      <c r="X156" s="405"/>
      <c r="Y156" s="405"/>
      <c r="Z156" s="405"/>
      <c r="AA156" s="405"/>
      <c r="AB156" s="405"/>
      <c r="AC156" s="405"/>
      <c r="AD156" s="405"/>
      <c r="AE156" s="405"/>
      <c r="AF156" s="405"/>
      <c r="AG156" s="405"/>
      <c r="AH156" s="405"/>
      <c r="AI156" s="405"/>
      <c r="AJ156" s="411"/>
      <c r="AK156" s="42"/>
      <c r="AL156" s="311"/>
      <c r="AM156" s="311"/>
      <c r="AN156" s="311"/>
      <c r="AO156" s="311"/>
      <c r="AP156" s="43"/>
      <c r="AQ156" s="111"/>
      <c r="AR156" s="309"/>
      <c r="AS156" s="309"/>
      <c r="AT156" s="309"/>
      <c r="AU156" s="309"/>
      <c r="AV156" s="309"/>
      <c r="AW156" s="309"/>
      <c r="AX156" s="309"/>
      <c r="AY156" s="309"/>
      <c r="AZ156" s="309"/>
      <c r="BA156" s="309"/>
      <c r="BB156" s="309"/>
      <c r="BC156" s="309"/>
      <c r="BD156" s="309"/>
      <c r="BE156" s="309"/>
      <c r="BF156" s="309"/>
      <c r="BG156" s="309"/>
      <c r="BH156" s="124"/>
      <c r="BI156" s="41"/>
      <c r="BK156" s="412"/>
      <c r="BL156" s="413"/>
      <c r="BM156" s="414"/>
      <c r="BN156" s="412"/>
      <c r="BO156" s="413"/>
      <c r="BP156" s="414"/>
      <c r="BQ156" s="412"/>
      <c r="BR156" s="413"/>
      <c r="BS156" s="414"/>
      <c r="BT156" s="412"/>
      <c r="BU156" s="413"/>
      <c r="BV156" s="414"/>
      <c r="BW156" s="412"/>
      <c r="BX156" s="413"/>
      <c r="BY156" s="414"/>
      <c r="BZ156" s="412"/>
      <c r="CA156" s="413"/>
      <c r="CB156" s="414"/>
      <c r="CC156" s="412"/>
      <c r="CD156" s="413"/>
      <c r="CE156" s="414"/>
      <c r="CF156" s="412"/>
      <c r="CG156" s="413"/>
      <c r="CH156" s="414"/>
      <c r="CI156" s="412"/>
      <c r="CJ156" s="413"/>
      <c r="CK156" s="414"/>
      <c r="CL156" s="412"/>
      <c r="CM156" s="413"/>
      <c r="CN156" s="414"/>
      <c r="CO156" s="412"/>
      <c r="CP156" s="413"/>
      <c r="CQ156" s="414"/>
      <c r="CR156" s="412"/>
      <c r="CS156" s="413"/>
      <c r="CT156" s="414"/>
      <c r="CU156" s="412"/>
      <c r="CV156" s="413"/>
      <c r="CW156" s="414"/>
      <c r="CX156" s="412"/>
      <c r="CY156" s="413"/>
      <c r="CZ156" s="414"/>
      <c r="DA156" s="412"/>
      <c r="DB156" s="413"/>
      <c r="DC156" s="414"/>
      <c r="DD156" s="412"/>
      <c r="DE156" s="413"/>
      <c r="DF156" s="414"/>
      <c r="DH156" s="311"/>
      <c r="DI156" s="311"/>
      <c r="DJ156" s="311"/>
      <c r="DK156" s="311"/>
      <c r="DL156" s="321"/>
      <c r="DM156" s="321"/>
      <c r="DN156" s="321"/>
      <c r="DO156" s="321"/>
      <c r="DP156" s="321"/>
      <c r="DQ156" s="321"/>
      <c r="DR156" s="321"/>
      <c r="DS156" s="321"/>
    </row>
    <row r="157" spans="1:123" ht="7.4" customHeight="1" x14ac:dyDescent="0.5">
      <c r="A157" s="42"/>
      <c r="B157" s="42"/>
      <c r="C157" s="333"/>
      <c r="D157" s="333"/>
      <c r="E157" s="41"/>
      <c r="F157" s="42"/>
      <c r="G157" s="56"/>
      <c r="H157" s="56"/>
      <c r="I157" s="56"/>
      <c r="J157" s="56"/>
      <c r="K157" s="56"/>
      <c r="L157" s="56"/>
      <c r="M157" s="56"/>
      <c r="N157" s="56"/>
      <c r="O157" s="56"/>
      <c r="P157" s="56"/>
      <c r="Q157" s="56"/>
      <c r="R157" s="126"/>
      <c r="S157" s="42"/>
      <c r="T157" s="116" t="str">
        <f>VLOOKUP(G155,PL!$B$9:$BH$1265,33,FALSE)</f>
        <v>Stainless Steel, M8</v>
      </c>
      <c r="AJ157" s="41"/>
      <c r="AK157" s="42"/>
      <c r="AL157" s="311"/>
      <c r="AM157" s="311"/>
      <c r="AN157" s="311"/>
      <c r="AO157" s="311"/>
      <c r="AP157" s="43"/>
      <c r="AQ157" s="42"/>
      <c r="AR157" s="46"/>
      <c r="AS157" s="46"/>
      <c r="AT157" s="46"/>
      <c r="AU157" s="46"/>
      <c r="AV157" s="46"/>
      <c r="AW157" s="46"/>
      <c r="AX157" s="105"/>
      <c r="AY157" s="79"/>
      <c r="AZ157" s="119"/>
      <c r="BA157" s="119"/>
      <c r="BB157" s="119"/>
      <c r="BC157" s="119"/>
      <c r="BD157" s="119"/>
      <c r="BE157" s="119"/>
      <c r="BF157" s="119"/>
      <c r="BG157" s="119"/>
      <c r="BH157" s="124"/>
      <c r="BI157" s="41"/>
      <c r="BK157" s="194"/>
      <c r="BL157" s="123"/>
      <c r="BM157" s="195"/>
      <c r="BN157" s="194"/>
      <c r="BO157" s="123"/>
      <c r="BP157" s="195"/>
      <c r="BQ157" s="194"/>
      <c r="BR157" s="123"/>
      <c r="BS157" s="195"/>
      <c r="BT157" s="194"/>
      <c r="BU157" s="123"/>
      <c r="BV157" s="195"/>
      <c r="BW157" s="194"/>
      <c r="BX157" s="123"/>
      <c r="BY157" s="195"/>
      <c r="BZ157" s="194"/>
      <c r="CA157" s="123"/>
      <c r="CB157" s="195"/>
      <c r="CC157" s="194"/>
      <c r="CD157" s="123"/>
      <c r="CE157" s="195"/>
      <c r="CF157" s="194"/>
      <c r="CG157" s="123"/>
      <c r="CH157" s="195"/>
      <c r="CI157" s="194"/>
      <c r="CJ157" s="123"/>
      <c r="CK157" s="195"/>
      <c r="CL157" s="194"/>
      <c r="CM157" s="123"/>
      <c r="CN157" s="195"/>
      <c r="CO157" s="194"/>
      <c r="CP157" s="123"/>
      <c r="CQ157" s="195"/>
      <c r="CR157" s="194"/>
      <c r="CS157" s="123"/>
      <c r="CT157" s="195"/>
      <c r="CU157" s="194"/>
      <c r="CV157" s="123"/>
      <c r="CW157" s="195"/>
      <c r="CX157" s="194"/>
      <c r="CY157" s="123"/>
      <c r="CZ157" s="195"/>
      <c r="DA157" s="194"/>
      <c r="DB157" s="123"/>
      <c r="DC157" s="195"/>
      <c r="DD157" s="194"/>
      <c r="DE157" s="123"/>
      <c r="DF157" s="195"/>
      <c r="DH157" s="311"/>
      <c r="DI157" s="311"/>
      <c r="DJ157" s="311"/>
      <c r="DK157" s="311"/>
      <c r="DL157" s="321"/>
      <c r="DM157" s="321"/>
      <c r="DN157" s="321"/>
      <c r="DO157" s="321"/>
      <c r="DP157" s="321"/>
      <c r="DQ157" s="321"/>
      <c r="DR157" s="321"/>
      <c r="DS157" s="321"/>
    </row>
    <row r="158" spans="1:123" ht="7.4" customHeight="1" x14ac:dyDescent="0.5">
      <c r="A158" s="42"/>
      <c r="B158" s="42"/>
      <c r="C158" s="333"/>
      <c r="D158" s="333"/>
      <c r="E158" s="41"/>
      <c r="F158" s="42"/>
      <c r="G158" s="56"/>
      <c r="H158" s="56"/>
      <c r="I158" s="56"/>
      <c r="J158" s="56"/>
      <c r="K158" s="56"/>
      <c r="L158" s="56"/>
      <c r="M158" s="56"/>
      <c r="N158" s="56"/>
      <c r="O158" s="56"/>
      <c r="P158" s="56"/>
      <c r="Q158" s="56"/>
      <c r="R158" s="126"/>
      <c r="S158" s="42"/>
      <c r="AJ158" s="41"/>
      <c r="AK158" s="42"/>
      <c r="AL158" s="311"/>
      <c r="AM158" s="311"/>
      <c r="AN158" s="311"/>
      <c r="AO158" s="311"/>
      <c r="AP158" s="43"/>
      <c r="AQ158" s="42"/>
      <c r="AR158" s="46"/>
      <c r="AS158" s="46"/>
      <c r="AT158" s="46"/>
      <c r="AU158" s="46"/>
      <c r="AV158" s="46"/>
      <c r="AW158" s="46"/>
      <c r="AX158" s="105"/>
      <c r="AY158" s="79"/>
      <c r="AZ158" s="119"/>
      <c r="BA158" s="119"/>
      <c r="BB158" s="119"/>
      <c r="BC158" s="119"/>
      <c r="BD158" s="119"/>
      <c r="BE158" s="119"/>
      <c r="BF158" s="119"/>
      <c r="BG158" s="119"/>
      <c r="BH158" s="124"/>
      <c r="BI158" s="41"/>
      <c r="BK158" s="194"/>
      <c r="BL158" s="123"/>
      <c r="BM158" s="195"/>
      <c r="BN158" s="194"/>
      <c r="BO158" s="123"/>
      <c r="BP158" s="195"/>
      <c r="BQ158" s="194"/>
      <c r="BR158" s="123"/>
      <c r="BS158" s="195"/>
      <c r="BT158" s="194"/>
      <c r="BU158" s="123"/>
      <c r="BV158" s="195"/>
      <c r="BW158" s="194"/>
      <c r="BX158" s="123"/>
      <c r="BY158" s="195"/>
      <c r="BZ158" s="194"/>
      <c r="CA158" s="123"/>
      <c r="CB158" s="195"/>
      <c r="CC158" s="194"/>
      <c r="CD158" s="123"/>
      <c r="CE158" s="195"/>
      <c r="CF158" s="194"/>
      <c r="CG158" s="123"/>
      <c r="CH158" s="195"/>
      <c r="CI158" s="194"/>
      <c r="CJ158" s="123"/>
      <c r="CK158" s="195"/>
      <c r="CL158" s="194"/>
      <c r="CM158" s="123"/>
      <c r="CN158" s="195"/>
      <c r="CO158" s="194"/>
      <c r="CP158" s="123"/>
      <c r="CQ158" s="195"/>
      <c r="CR158" s="194"/>
      <c r="CS158" s="123"/>
      <c r="CT158" s="195"/>
      <c r="CU158" s="194"/>
      <c r="CV158" s="123"/>
      <c r="CW158" s="195"/>
      <c r="CX158" s="194"/>
      <c r="CY158" s="123"/>
      <c r="CZ158" s="195"/>
      <c r="DA158" s="194"/>
      <c r="DB158" s="123"/>
      <c r="DC158" s="195"/>
      <c r="DD158" s="194"/>
      <c r="DE158" s="123"/>
      <c r="DF158" s="195"/>
      <c r="DH158" s="311"/>
      <c r="DI158" s="311"/>
      <c r="DJ158" s="311"/>
      <c r="DK158" s="311"/>
      <c r="DL158" s="321"/>
      <c r="DM158" s="321"/>
      <c r="DN158" s="321"/>
      <c r="DO158" s="321"/>
      <c r="DP158" s="321"/>
      <c r="DQ158" s="321"/>
      <c r="DR158" s="321"/>
      <c r="DS158" s="321"/>
    </row>
    <row r="159" spans="1:123" ht="7.4" customHeight="1" x14ac:dyDescent="0.5">
      <c r="A159" s="42"/>
      <c r="B159" s="42"/>
      <c r="C159" s="311">
        <f>C155+1</f>
        <v>11</v>
      </c>
      <c r="D159" s="311"/>
      <c r="E159" s="41"/>
      <c r="F159" s="42"/>
      <c r="G159" s="319" t="str">
        <f>IF(AL159=0,"N/A","AXE_NSQ_8_SS")</f>
        <v>N/A</v>
      </c>
      <c r="H159" s="319"/>
      <c r="I159" s="319"/>
      <c r="J159" s="319"/>
      <c r="K159" s="319"/>
      <c r="L159" s="319"/>
      <c r="M159" s="319"/>
      <c r="N159" s="319"/>
      <c r="O159" s="319"/>
      <c r="P159" s="319"/>
      <c r="Q159" s="319"/>
      <c r="R159" s="320"/>
      <c r="S159" s="42"/>
      <c r="T159" s="405" t="str">
        <f>VLOOKUP(G159,PL!$B$9:$BH$1265,14,FALSE)</f>
        <v>No Item</v>
      </c>
      <c r="U159" s="405"/>
      <c r="V159" s="405"/>
      <c r="W159" s="405"/>
      <c r="X159" s="405"/>
      <c r="Y159" s="405"/>
      <c r="Z159" s="405"/>
      <c r="AA159" s="405"/>
      <c r="AB159" s="405"/>
      <c r="AC159" s="405"/>
      <c r="AD159" s="405"/>
      <c r="AE159" s="405"/>
      <c r="AF159" s="405"/>
      <c r="AG159" s="405"/>
      <c r="AH159" s="405"/>
      <c r="AI159" s="405"/>
      <c r="AJ159" s="411"/>
      <c r="AK159" s="42"/>
      <c r="AL159" s="311">
        <f>ROUND(SUM(BK159:DF159)*(1+$BF$72),0)</f>
        <v>0</v>
      </c>
      <c r="AM159" s="311"/>
      <c r="AN159" s="311"/>
      <c r="AO159" s="311"/>
      <c r="AP159" s="43"/>
      <c r="AQ159" s="111"/>
      <c r="AR159" s="308" t="str">
        <f>VLOOKUP(G159,PL!$B$9:$BH$818,52,FALSE)</f>
        <v>-</v>
      </c>
      <c r="AS159" s="309"/>
      <c r="AT159" s="309"/>
      <c r="AU159" s="309"/>
      <c r="AV159" s="309"/>
      <c r="AW159" s="309"/>
      <c r="AX159" s="309"/>
      <c r="AY159" s="309"/>
      <c r="AZ159" s="309"/>
      <c r="BA159" s="309"/>
      <c r="BB159" s="309"/>
      <c r="BC159" s="309"/>
      <c r="BD159" s="309"/>
      <c r="BE159" s="309"/>
      <c r="BF159" s="309"/>
      <c r="BG159" s="309"/>
      <c r="BH159" s="124"/>
      <c r="BI159" s="41"/>
      <c r="BK159" s="412">
        <f>BK139-IF(MID($G$131,8,2)="PF",BK131,0)</f>
        <v>0</v>
      </c>
      <c r="BL159" s="413"/>
      <c r="BM159" s="414"/>
      <c r="BN159" s="412">
        <f t="shared" ref="BN159" si="105">BN139-IF(MID($G$131,8,2)="PF",BN131,0)</f>
        <v>0</v>
      </c>
      <c r="BO159" s="413"/>
      <c r="BP159" s="414"/>
      <c r="BQ159" s="412">
        <f t="shared" ref="BQ159" si="106">BQ139-IF(MID($G$131,8,2)="PF",BQ131,0)</f>
        <v>0</v>
      </c>
      <c r="BR159" s="413"/>
      <c r="BS159" s="414"/>
      <c r="BT159" s="412">
        <f t="shared" ref="BT159" si="107">BT139-IF(MID($G$131,8,2)="PF",BT131,0)</f>
        <v>0</v>
      </c>
      <c r="BU159" s="413"/>
      <c r="BV159" s="414"/>
      <c r="BW159" s="412">
        <f t="shared" ref="BW159" si="108">BW139-IF(MID($G$131,8,2)="PF",BW131,0)</f>
        <v>0</v>
      </c>
      <c r="BX159" s="413"/>
      <c r="BY159" s="414"/>
      <c r="BZ159" s="412">
        <f t="shared" ref="BZ159" si="109">BZ139-IF(MID($G$131,8,2)="PF",BZ131,0)</f>
        <v>0</v>
      </c>
      <c r="CA159" s="413"/>
      <c r="CB159" s="414"/>
      <c r="CC159" s="412">
        <f t="shared" ref="CC159" si="110">CC139-IF(MID($G$131,8,2)="PF",CC131,0)</f>
        <v>0</v>
      </c>
      <c r="CD159" s="413"/>
      <c r="CE159" s="414"/>
      <c r="CF159" s="412">
        <f t="shared" ref="CF159" si="111">CF139-IF(MID($G$131,8,2)="PF",CF131,0)</f>
        <v>0</v>
      </c>
      <c r="CG159" s="413"/>
      <c r="CH159" s="414"/>
      <c r="CI159" s="412">
        <f t="shared" ref="CI159" si="112">CI139-IF(MID($G$131,8,2)="PF",CI131,0)</f>
        <v>0</v>
      </c>
      <c r="CJ159" s="413"/>
      <c r="CK159" s="414"/>
      <c r="CL159" s="412">
        <f t="shared" ref="CL159" si="113">CL139-IF(MID($G$131,8,2)="PF",CL131,0)</f>
        <v>0</v>
      </c>
      <c r="CM159" s="413"/>
      <c r="CN159" s="414"/>
      <c r="CO159" s="412">
        <f t="shared" ref="CO159" si="114">CO139-IF(MID($G$131,8,2)="PF",CO131,0)</f>
        <v>0</v>
      </c>
      <c r="CP159" s="413"/>
      <c r="CQ159" s="414"/>
      <c r="CR159" s="412">
        <f t="shared" ref="CR159" si="115">CR139-IF(MID($G$131,8,2)="PF",CR131,0)</f>
        <v>0</v>
      </c>
      <c r="CS159" s="413"/>
      <c r="CT159" s="414"/>
      <c r="CU159" s="412">
        <f t="shared" ref="CU159" si="116">CU139-IF(MID($G$131,8,2)="PF",CU131,0)</f>
        <v>0</v>
      </c>
      <c r="CV159" s="413"/>
      <c r="CW159" s="414"/>
      <c r="CX159" s="412">
        <f t="shared" ref="CX159" si="117">CX139-IF(MID($G$131,8,2)="PF",CX131,0)</f>
        <v>0</v>
      </c>
      <c r="CY159" s="413"/>
      <c r="CZ159" s="414"/>
      <c r="DA159" s="412">
        <f t="shared" ref="DA159" si="118">DA139-IF(MID($G$131,8,2)="PF",DA131,0)</f>
        <v>0</v>
      </c>
      <c r="DB159" s="413"/>
      <c r="DC159" s="414"/>
      <c r="DD159" s="412">
        <f t="shared" ref="DD159" si="119">DD139-IF(MID($G$131,8,2)="PF",DD131,0)</f>
        <v>0</v>
      </c>
      <c r="DE159" s="413"/>
      <c r="DF159" s="414"/>
      <c r="DH159" s="311"/>
      <c r="DI159" s="311"/>
      <c r="DJ159" s="311"/>
      <c r="DK159" s="311"/>
      <c r="DL159" s="321"/>
      <c r="DM159" s="321"/>
      <c r="DN159" s="321"/>
      <c r="DO159" s="321"/>
      <c r="DP159" s="321"/>
      <c r="DQ159" s="321"/>
      <c r="DR159" s="321"/>
      <c r="DS159" s="321"/>
    </row>
    <row r="160" spans="1:123" ht="7.4" customHeight="1" x14ac:dyDescent="0.5">
      <c r="A160" s="42"/>
      <c r="B160" s="42"/>
      <c r="C160" s="311"/>
      <c r="D160" s="311"/>
      <c r="E160" s="41"/>
      <c r="F160" s="42"/>
      <c r="G160" s="319"/>
      <c r="H160" s="319"/>
      <c r="I160" s="319"/>
      <c r="J160" s="319"/>
      <c r="K160" s="319"/>
      <c r="L160" s="319"/>
      <c r="M160" s="319"/>
      <c r="N160" s="319"/>
      <c r="O160" s="319"/>
      <c r="P160" s="319"/>
      <c r="Q160" s="319"/>
      <c r="R160" s="320"/>
      <c r="S160" s="42"/>
      <c r="T160" s="405"/>
      <c r="U160" s="405"/>
      <c r="V160" s="405"/>
      <c r="W160" s="405"/>
      <c r="X160" s="405"/>
      <c r="Y160" s="405"/>
      <c r="Z160" s="405"/>
      <c r="AA160" s="405"/>
      <c r="AB160" s="405"/>
      <c r="AC160" s="405"/>
      <c r="AD160" s="405"/>
      <c r="AE160" s="405"/>
      <c r="AF160" s="405"/>
      <c r="AG160" s="405"/>
      <c r="AH160" s="405"/>
      <c r="AI160" s="405"/>
      <c r="AJ160" s="411"/>
      <c r="AK160" s="42"/>
      <c r="AL160" s="311"/>
      <c r="AM160" s="311"/>
      <c r="AN160" s="311"/>
      <c r="AO160" s="311"/>
      <c r="AP160" s="43"/>
      <c r="AQ160" s="111"/>
      <c r="AR160" s="309"/>
      <c r="AS160" s="309"/>
      <c r="AT160" s="309"/>
      <c r="AU160" s="309"/>
      <c r="AV160" s="309"/>
      <c r="AW160" s="309"/>
      <c r="AX160" s="309"/>
      <c r="AY160" s="309"/>
      <c r="AZ160" s="309"/>
      <c r="BA160" s="309"/>
      <c r="BB160" s="309"/>
      <c r="BC160" s="309"/>
      <c r="BD160" s="309"/>
      <c r="BE160" s="309"/>
      <c r="BF160" s="309"/>
      <c r="BG160" s="309"/>
      <c r="BH160" s="124"/>
      <c r="BI160" s="41"/>
      <c r="BK160" s="412"/>
      <c r="BL160" s="413"/>
      <c r="BM160" s="414"/>
      <c r="BN160" s="412"/>
      <c r="BO160" s="413"/>
      <c r="BP160" s="414"/>
      <c r="BQ160" s="412"/>
      <c r="BR160" s="413"/>
      <c r="BS160" s="414"/>
      <c r="BT160" s="412"/>
      <c r="BU160" s="413"/>
      <c r="BV160" s="414"/>
      <c r="BW160" s="412"/>
      <c r="BX160" s="413"/>
      <c r="BY160" s="414"/>
      <c r="BZ160" s="412"/>
      <c r="CA160" s="413"/>
      <c r="CB160" s="414"/>
      <c r="CC160" s="412"/>
      <c r="CD160" s="413"/>
      <c r="CE160" s="414"/>
      <c r="CF160" s="412"/>
      <c r="CG160" s="413"/>
      <c r="CH160" s="414"/>
      <c r="CI160" s="412"/>
      <c r="CJ160" s="413"/>
      <c r="CK160" s="414"/>
      <c r="CL160" s="412"/>
      <c r="CM160" s="413"/>
      <c r="CN160" s="414"/>
      <c r="CO160" s="412"/>
      <c r="CP160" s="413"/>
      <c r="CQ160" s="414"/>
      <c r="CR160" s="412"/>
      <c r="CS160" s="413"/>
      <c r="CT160" s="414"/>
      <c r="CU160" s="412"/>
      <c r="CV160" s="413"/>
      <c r="CW160" s="414"/>
      <c r="CX160" s="412"/>
      <c r="CY160" s="413"/>
      <c r="CZ160" s="414"/>
      <c r="DA160" s="412"/>
      <c r="DB160" s="413"/>
      <c r="DC160" s="414"/>
      <c r="DD160" s="412"/>
      <c r="DE160" s="413"/>
      <c r="DF160" s="414"/>
      <c r="DH160" s="311"/>
      <c r="DI160" s="311"/>
      <c r="DJ160" s="311"/>
      <c r="DK160" s="311"/>
      <c r="DL160" s="321"/>
      <c r="DM160" s="321"/>
      <c r="DN160" s="321"/>
      <c r="DO160" s="321"/>
      <c r="DP160" s="321"/>
      <c r="DQ160" s="321"/>
      <c r="DR160" s="321"/>
      <c r="DS160" s="321"/>
    </row>
    <row r="161" spans="1:123" ht="7.4" customHeight="1" x14ac:dyDescent="0.5">
      <c r="A161" s="42"/>
      <c r="B161" s="42"/>
      <c r="C161" s="333"/>
      <c r="D161" s="333"/>
      <c r="E161" s="41"/>
      <c r="F161" s="42"/>
      <c r="G161" s="56"/>
      <c r="H161" s="56"/>
      <c r="I161" s="56"/>
      <c r="J161" s="56"/>
      <c r="K161" s="56"/>
      <c r="L161" s="56"/>
      <c r="M161" s="56"/>
      <c r="N161" s="56"/>
      <c r="O161" s="56"/>
      <c r="P161" s="56"/>
      <c r="Q161" s="56"/>
      <c r="R161" s="126"/>
      <c r="S161" s="42"/>
      <c r="T161" s="116" t="str">
        <f>VLOOKUP(G159,PL!$B$9:$BH$1265,33,FALSE)</f>
        <v>.</v>
      </c>
      <c r="AJ161" s="41"/>
      <c r="AK161" s="42"/>
      <c r="AL161" s="311"/>
      <c r="AM161" s="311"/>
      <c r="AN161" s="311"/>
      <c r="AO161" s="311"/>
      <c r="AP161" s="43"/>
      <c r="AQ161" s="42"/>
      <c r="AR161" s="46"/>
      <c r="AS161" s="46"/>
      <c r="AT161" s="46"/>
      <c r="AU161" s="46"/>
      <c r="AV161" s="46"/>
      <c r="AW161" s="46"/>
      <c r="AX161" s="105"/>
      <c r="AY161" s="79"/>
      <c r="AZ161" s="119"/>
      <c r="BA161" s="119"/>
      <c r="BB161" s="119"/>
      <c r="BC161" s="119"/>
      <c r="BD161" s="119"/>
      <c r="BE161" s="119"/>
      <c r="BF161" s="119"/>
      <c r="BG161" s="119"/>
      <c r="BH161" s="124"/>
      <c r="BI161" s="41"/>
      <c r="BK161" s="194"/>
      <c r="BL161" s="123"/>
      <c r="BM161" s="195"/>
      <c r="BN161" s="194"/>
      <c r="BO161" s="123"/>
      <c r="BP161" s="195"/>
      <c r="BQ161" s="194"/>
      <c r="BR161" s="123"/>
      <c r="BS161" s="195"/>
      <c r="BT161" s="194"/>
      <c r="BU161" s="123"/>
      <c r="BV161" s="195"/>
      <c r="BW161" s="194"/>
      <c r="BX161" s="123"/>
      <c r="BY161" s="195"/>
      <c r="BZ161" s="194"/>
      <c r="CA161" s="123"/>
      <c r="CB161" s="195"/>
      <c r="CC161" s="194"/>
      <c r="CD161" s="123"/>
      <c r="CE161" s="195"/>
      <c r="CF161" s="194"/>
      <c r="CG161" s="123"/>
      <c r="CH161" s="195"/>
      <c r="CI161" s="194"/>
      <c r="CJ161" s="123"/>
      <c r="CK161" s="195"/>
      <c r="CL161" s="194"/>
      <c r="CM161" s="123"/>
      <c r="CN161" s="195"/>
      <c r="CO161" s="194"/>
      <c r="CP161" s="123"/>
      <c r="CQ161" s="195"/>
      <c r="CR161" s="194"/>
      <c r="CS161" s="123"/>
      <c r="CT161" s="195"/>
      <c r="CU161" s="194"/>
      <c r="CV161" s="123"/>
      <c r="CW161" s="195"/>
      <c r="CX161" s="194"/>
      <c r="CY161" s="123"/>
      <c r="CZ161" s="195"/>
      <c r="DA161" s="194"/>
      <c r="DB161" s="123"/>
      <c r="DC161" s="195"/>
      <c r="DD161" s="194"/>
      <c r="DE161" s="123"/>
      <c r="DF161" s="195"/>
      <c r="DH161" s="311"/>
      <c r="DI161" s="311"/>
      <c r="DJ161" s="311"/>
      <c r="DK161" s="311"/>
      <c r="DL161" s="321"/>
      <c r="DM161" s="321"/>
      <c r="DN161" s="321"/>
      <c r="DO161" s="321"/>
      <c r="DP161" s="321"/>
      <c r="DQ161" s="321"/>
      <c r="DR161" s="321"/>
      <c r="DS161" s="321"/>
    </row>
    <row r="162" spans="1:123" ht="7.4" customHeight="1" x14ac:dyDescent="0.5">
      <c r="A162" s="42"/>
      <c r="B162" s="42"/>
      <c r="C162" s="333"/>
      <c r="D162" s="333"/>
      <c r="E162" s="41"/>
      <c r="F162" s="42"/>
      <c r="G162" s="56"/>
      <c r="H162" s="56"/>
      <c r="I162" s="56"/>
      <c r="J162" s="56"/>
      <c r="K162" s="56"/>
      <c r="L162" s="56"/>
      <c r="M162" s="56"/>
      <c r="N162" s="56"/>
      <c r="O162" s="56"/>
      <c r="P162" s="56"/>
      <c r="Q162" s="56"/>
      <c r="R162" s="126"/>
      <c r="S162" s="42"/>
      <c r="AJ162" s="41"/>
      <c r="AK162" s="42"/>
      <c r="AL162" s="311"/>
      <c r="AM162" s="311"/>
      <c r="AN162" s="311"/>
      <c r="AO162" s="311"/>
      <c r="AP162" s="43"/>
      <c r="AQ162" s="42"/>
      <c r="AR162" s="46"/>
      <c r="AS162" s="46"/>
      <c r="AT162" s="46"/>
      <c r="AU162" s="46"/>
      <c r="AV162" s="46"/>
      <c r="AW162" s="46"/>
      <c r="AX162" s="105"/>
      <c r="AY162" s="79"/>
      <c r="AZ162" s="119"/>
      <c r="BA162" s="119"/>
      <c r="BB162" s="119"/>
      <c r="BC162" s="119"/>
      <c r="BD162" s="119"/>
      <c r="BE162" s="119"/>
      <c r="BF162" s="119"/>
      <c r="BG162" s="119"/>
      <c r="BH162" s="124"/>
      <c r="BI162" s="41"/>
      <c r="BK162" s="194"/>
      <c r="BL162" s="123"/>
      <c r="BM162" s="195"/>
      <c r="BN162" s="194"/>
      <c r="BO162" s="123"/>
      <c r="BP162" s="195"/>
      <c r="BQ162" s="194"/>
      <c r="BR162" s="123"/>
      <c r="BS162" s="195"/>
      <c r="BT162" s="194"/>
      <c r="BU162" s="123"/>
      <c r="BV162" s="195"/>
      <c r="BW162" s="194"/>
      <c r="BX162" s="123"/>
      <c r="BY162" s="195"/>
      <c r="BZ162" s="194"/>
      <c r="CA162" s="123"/>
      <c r="CB162" s="195"/>
      <c r="CC162" s="194"/>
      <c r="CD162" s="123"/>
      <c r="CE162" s="195"/>
      <c r="CF162" s="194"/>
      <c r="CG162" s="123"/>
      <c r="CH162" s="195"/>
      <c r="CI162" s="194"/>
      <c r="CJ162" s="123"/>
      <c r="CK162" s="195"/>
      <c r="CL162" s="194"/>
      <c r="CM162" s="123"/>
      <c r="CN162" s="195"/>
      <c r="CO162" s="194"/>
      <c r="CP162" s="123"/>
      <c r="CQ162" s="195"/>
      <c r="CR162" s="194"/>
      <c r="CS162" s="123"/>
      <c r="CT162" s="195"/>
      <c r="CU162" s="194"/>
      <c r="CV162" s="123"/>
      <c r="CW162" s="195"/>
      <c r="CX162" s="194"/>
      <c r="CY162" s="123"/>
      <c r="CZ162" s="195"/>
      <c r="DA162" s="194"/>
      <c r="DB162" s="123"/>
      <c r="DC162" s="195"/>
      <c r="DD162" s="194"/>
      <c r="DE162" s="123"/>
      <c r="DF162" s="195"/>
      <c r="DH162" s="311"/>
      <c r="DI162" s="311"/>
      <c r="DJ162" s="311"/>
      <c r="DK162" s="311"/>
      <c r="DL162" s="321"/>
      <c r="DM162" s="321"/>
      <c r="DN162" s="321"/>
      <c r="DO162" s="321"/>
      <c r="DP162" s="321"/>
      <c r="DQ162" s="321"/>
      <c r="DR162" s="321"/>
      <c r="DS162" s="321"/>
    </row>
    <row r="163" spans="1:123" ht="7.4" customHeight="1" x14ac:dyDescent="0.5">
      <c r="A163" s="42"/>
      <c r="B163" s="42"/>
      <c r="C163" s="311">
        <f>C159+1</f>
        <v>12</v>
      </c>
      <c r="D163" s="311"/>
      <c r="E163" s="41"/>
      <c r="F163" s="42"/>
      <c r="G163" s="319" t="str">
        <f>IF(AL163=0,"N/A","AXE_NST_8_PP")</f>
        <v>N/A</v>
      </c>
      <c r="H163" s="319"/>
      <c r="I163" s="319"/>
      <c r="J163" s="319"/>
      <c r="K163" s="319"/>
      <c r="L163" s="319"/>
      <c r="M163" s="319"/>
      <c r="N163" s="319"/>
      <c r="O163" s="319"/>
      <c r="P163" s="319"/>
      <c r="Q163" s="319"/>
      <c r="R163" s="320"/>
      <c r="S163" s="42"/>
      <c r="T163" s="405" t="str">
        <f>VLOOKUP(G163,PL!$B$9:$BH$1265,14,FALSE)</f>
        <v>No Item</v>
      </c>
      <c r="U163" s="405"/>
      <c r="V163" s="405"/>
      <c r="W163" s="405"/>
      <c r="X163" s="405"/>
      <c r="Y163" s="405"/>
      <c r="Z163" s="405"/>
      <c r="AA163" s="405"/>
      <c r="AB163" s="405"/>
      <c r="AC163" s="405"/>
      <c r="AD163" s="405"/>
      <c r="AE163" s="405"/>
      <c r="AF163" s="405"/>
      <c r="AG163" s="405"/>
      <c r="AH163" s="405"/>
      <c r="AI163" s="405"/>
      <c r="AJ163" s="411"/>
      <c r="AK163" s="42"/>
      <c r="AL163" s="311">
        <f>ROUND(SUM(BK163:DF163)*(1+$BF$72),0)</f>
        <v>0</v>
      </c>
      <c r="AM163" s="311"/>
      <c r="AN163" s="311"/>
      <c r="AO163" s="311"/>
      <c r="AP163" s="43"/>
      <c r="AQ163" s="111"/>
      <c r="AR163" s="308" t="str">
        <f>VLOOKUP(G163,PL!$B$9:$BH$818,52,FALSE)</f>
        <v>-</v>
      </c>
      <c r="AS163" s="309"/>
      <c r="AT163" s="309"/>
      <c r="AU163" s="309"/>
      <c r="AV163" s="309"/>
      <c r="AW163" s="309"/>
      <c r="AX163" s="309"/>
      <c r="AY163" s="309"/>
      <c r="AZ163" s="309"/>
      <c r="BA163" s="309"/>
      <c r="BB163" s="309"/>
      <c r="BC163" s="309"/>
      <c r="BD163" s="309"/>
      <c r="BE163" s="309"/>
      <c r="BF163" s="309"/>
      <c r="BG163" s="309"/>
      <c r="BH163" s="124"/>
      <c r="BI163" s="41"/>
      <c r="BK163" s="412">
        <f>BK159</f>
        <v>0</v>
      </c>
      <c r="BL163" s="413"/>
      <c r="BM163" s="414"/>
      <c r="BN163" s="412">
        <f t="shared" ref="BN163" si="120">BN159</f>
        <v>0</v>
      </c>
      <c r="BO163" s="413"/>
      <c r="BP163" s="414"/>
      <c r="BQ163" s="412">
        <f t="shared" ref="BQ163" si="121">BQ159</f>
        <v>0</v>
      </c>
      <c r="BR163" s="413"/>
      <c r="BS163" s="414"/>
      <c r="BT163" s="412">
        <f t="shared" ref="BT163" si="122">BT159</f>
        <v>0</v>
      </c>
      <c r="BU163" s="413"/>
      <c r="BV163" s="414"/>
      <c r="BW163" s="412">
        <f t="shared" ref="BW163" si="123">BW159</f>
        <v>0</v>
      </c>
      <c r="BX163" s="413"/>
      <c r="BY163" s="414"/>
      <c r="BZ163" s="412">
        <f t="shared" ref="BZ163" si="124">BZ159</f>
        <v>0</v>
      </c>
      <c r="CA163" s="413"/>
      <c r="CB163" s="414"/>
      <c r="CC163" s="412">
        <f t="shared" ref="CC163" si="125">CC159</f>
        <v>0</v>
      </c>
      <c r="CD163" s="413"/>
      <c r="CE163" s="414"/>
      <c r="CF163" s="412">
        <f t="shared" ref="CF163" si="126">CF159</f>
        <v>0</v>
      </c>
      <c r="CG163" s="413"/>
      <c r="CH163" s="414"/>
      <c r="CI163" s="412">
        <f t="shared" ref="CI163" si="127">CI159</f>
        <v>0</v>
      </c>
      <c r="CJ163" s="413"/>
      <c r="CK163" s="414"/>
      <c r="CL163" s="412">
        <f t="shared" ref="CL163" si="128">CL159</f>
        <v>0</v>
      </c>
      <c r="CM163" s="413"/>
      <c r="CN163" s="414"/>
      <c r="CO163" s="412">
        <f t="shared" ref="CO163" si="129">CO159</f>
        <v>0</v>
      </c>
      <c r="CP163" s="413"/>
      <c r="CQ163" s="414"/>
      <c r="CR163" s="412">
        <f t="shared" ref="CR163" si="130">CR159</f>
        <v>0</v>
      </c>
      <c r="CS163" s="413"/>
      <c r="CT163" s="414"/>
      <c r="CU163" s="412">
        <f t="shared" ref="CU163" si="131">CU159</f>
        <v>0</v>
      </c>
      <c r="CV163" s="413"/>
      <c r="CW163" s="414"/>
      <c r="CX163" s="412">
        <f t="shared" ref="CX163" si="132">CX159</f>
        <v>0</v>
      </c>
      <c r="CY163" s="413"/>
      <c r="CZ163" s="414"/>
      <c r="DA163" s="412">
        <f t="shared" ref="DA163" si="133">DA159</f>
        <v>0</v>
      </c>
      <c r="DB163" s="413"/>
      <c r="DC163" s="414"/>
      <c r="DD163" s="412">
        <f t="shared" ref="DD163" si="134">DD159</f>
        <v>0</v>
      </c>
      <c r="DE163" s="413"/>
      <c r="DF163" s="414"/>
      <c r="DH163" s="311"/>
      <c r="DI163" s="311"/>
      <c r="DJ163" s="311"/>
      <c r="DK163" s="311"/>
      <c r="DL163" s="321"/>
      <c r="DM163" s="321"/>
      <c r="DN163" s="321"/>
      <c r="DO163" s="321"/>
      <c r="DP163" s="321"/>
      <c r="DQ163" s="321"/>
      <c r="DR163" s="321"/>
      <c r="DS163" s="321"/>
    </row>
    <row r="164" spans="1:123" ht="7.4" customHeight="1" x14ac:dyDescent="0.5">
      <c r="A164" s="42"/>
      <c r="B164" s="42"/>
      <c r="C164" s="311"/>
      <c r="D164" s="311"/>
      <c r="E164" s="41"/>
      <c r="F164" s="42"/>
      <c r="G164" s="319"/>
      <c r="H164" s="319"/>
      <c r="I164" s="319"/>
      <c r="J164" s="319"/>
      <c r="K164" s="319"/>
      <c r="L164" s="319"/>
      <c r="M164" s="319"/>
      <c r="N164" s="319"/>
      <c r="O164" s="319"/>
      <c r="P164" s="319"/>
      <c r="Q164" s="319"/>
      <c r="R164" s="320"/>
      <c r="S164" s="42"/>
      <c r="T164" s="405"/>
      <c r="U164" s="405"/>
      <c r="V164" s="405"/>
      <c r="W164" s="405"/>
      <c r="X164" s="405"/>
      <c r="Y164" s="405"/>
      <c r="Z164" s="405"/>
      <c r="AA164" s="405"/>
      <c r="AB164" s="405"/>
      <c r="AC164" s="405"/>
      <c r="AD164" s="405"/>
      <c r="AE164" s="405"/>
      <c r="AF164" s="405"/>
      <c r="AG164" s="405"/>
      <c r="AH164" s="405"/>
      <c r="AI164" s="405"/>
      <c r="AJ164" s="411"/>
      <c r="AK164" s="42"/>
      <c r="AL164" s="311"/>
      <c r="AM164" s="311"/>
      <c r="AN164" s="311"/>
      <c r="AO164" s="311"/>
      <c r="AP164" s="43"/>
      <c r="AQ164" s="111"/>
      <c r="AR164" s="309"/>
      <c r="AS164" s="309"/>
      <c r="AT164" s="309"/>
      <c r="AU164" s="309"/>
      <c r="AV164" s="309"/>
      <c r="AW164" s="309"/>
      <c r="AX164" s="309"/>
      <c r="AY164" s="309"/>
      <c r="AZ164" s="309"/>
      <c r="BA164" s="309"/>
      <c r="BB164" s="309"/>
      <c r="BC164" s="309"/>
      <c r="BD164" s="309"/>
      <c r="BE164" s="309"/>
      <c r="BF164" s="309"/>
      <c r="BG164" s="309"/>
      <c r="BH164" s="124"/>
      <c r="BI164" s="41"/>
      <c r="BK164" s="412"/>
      <c r="BL164" s="413"/>
      <c r="BM164" s="414"/>
      <c r="BN164" s="412"/>
      <c r="BO164" s="413"/>
      <c r="BP164" s="414"/>
      <c r="BQ164" s="412"/>
      <c r="BR164" s="413"/>
      <c r="BS164" s="414"/>
      <c r="BT164" s="412"/>
      <c r="BU164" s="413"/>
      <c r="BV164" s="414"/>
      <c r="BW164" s="412"/>
      <c r="BX164" s="413"/>
      <c r="BY164" s="414"/>
      <c r="BZ164" s="412"/>
      <c r="CA164" s="413"/>
      <c r="CB164" s="414"/>
      <c r="CC164" s="412"/>
      <c r="CD164" s="413"/>
      <c r="CE164" s="414"/>
      <c r="CF164" s="412"/>
      <c r="CG164" s="413"/>
      <c r="CH164" s="414"/>
      <c r="CI164" s="412"/>
      <c r="CJ164" s="413"/>
      <c r="CK164" s="414"/>
      <c r="CL164" s="412"/>
      <c r="CM164" s="413"/>
      <c r="CN164" s="414"/>
      <c r="CO164" s="412"/>
      <c r="CP164" s="413"/>
      <c r="CQ164" s="414"/>
      <c r="CR164" s="412"/>
      <c r="CS164" s="413"/>
      <c r="CT164" s="414"/>
      <c r="CU164" s="412"/>
      <c r="CV164" s="413"/>
      <c r="CW164" s="414"/>
      <c r="CX164" s="412"/>
      <c r="CY164" s="413"/>
      <c r="CZ164" s="414"/>
      <c r="DA164" s="412"/>
      <c r="DB164" s="413"/>
      <c r="DC164" s="414"/>
      <c r="DD164" s="412"/>
      <c r="DE164" s="413"/>
      <c r="DF164" s="414"/>
      <c r="DH164" s="311"/>
      <c r="DI164" s="311"/>
      <c r="DJ164" s="311"/>
      <c r="DK164" s="311"/>
      <c r="DL164" s="321"/>
      <c r="DM164" s="321"/>
      <c r="DN164" s="321"/>
      <c r="DO164" s="321"/>
      <c r="DP164" s="321"/>
      <c r="DQ164" s="321"/>
      <c r="DR164" s="321"/>
      <c r="DS164" s="321"/>
    </row>
    <row r="165" spans="1:123" ht="7.4" customHeight="1" x14ac:dyDescent="0.5">
      <c r="A165" s="42"/>
      <c r="B165" s="42"/>
      <c r="C165" s="333"/>
      <c r="D165" s="333"/>
      <c r="E165" s="41"/>
      <c r="F165" s="42"/>
      <c r="G165" s="56"/>
      <c r="H165" s="56"/>
      <c r="I165" s="56"/>
      <c r="J165" s="56"/>
      <c r="K165" s="56"/>
      <c r="L165" s="56"/>
      <c r="M165" s="56"/>
      <c r="N165" s="56"/>
      <c r="O165" s="56"/>
      <c r="P165" s="56"/>
      <c r="Q165" s="56"/>
      <c r="R165" s="126"/>
      <c r="S165" s="42"/>
      <c r="T165" s="116" t="str">
        <f>VLOOKUP(G163,PL!$B$9:$BH$1265,33,FALSE)</f>
        <v>.</v>
      </c>
      <c r="AJ165" s="41"/>
      <c r="AK165" s="42"/>
      <c r="AL165" s="311"/>
      <c r="AM165" s="311"/>
      <c r="AN165" s="311"/>
      <c r="AO165" s="311"/>
      <c r="AP165" s="43"/>
      <c r="AQ165" s="42"/>
      <c r="AR165" s="46"/>
      <c r="AS165" s="46"/>
      <c r="AT165" s="46"/>
      <c r="AU165" s="46"/>
      <c r="AV165" s="46"/>
      <c r="AW165" s="46"/>
      <c r="AX165" s="105"/>
      <c r="AY165" s="79"/>
      <c r="AZ165" s="119"/>
      <c r="BA165" s="119"/>
      <c r="BB165" s="119"/>
      <c r="BC165" s="119"/>
      <c r="BD165" s="119"/>
      <c r="BE165" s="119"/>
      <c r="BF165" s="119"/>
      <c r="BG165" s="119"/>
      <c r="BH165" s="124"/>
      <c r="BI165" s="41"/>
      <c r="BK165" s="194"/>
      <c r="BL165" s="123"/>
      <c r="BM165" s="195"/>
      <c r="BN165" s="194"/>
      <c r="BO165" s="123"/>
      <c r="BP165" s="195"/>
      <c r="BQ165" s="194"/>
      <c r="BR165" s="123"/>
      <c r="BS165" s="195"/>
      <c r="BT165" s="194"/>
      <c r="BU165" s="123"/>
      <c r="BV165" s="195"/>
      <c r="BW165" s="194"/>
      <c r="BX165" s="123"/>
      <c r="BY165" s="195"/>
      <c r="BZ165" s="194"/>
      <c r="CA165" s="123"/>
      <c r="CB165" s="195"/>
      <c r="CC165" s="194"/>
      <c r="CD165" s="123"/>
      <c r="CE165" s="195"/>
      <c r="CF165" s="194"/>
      <c r="CG165" s="123"/>
      <c r="CH165" s="195"/>
      <c r="CI165" s="194"/>
      <c r="CJ165" s="123"/>
      <c r="CK165" s="195"/>
      <c r="CL165" s="194"/>
      <c r="CM165" s="123"/>
      <c r="CN165" s="195"/>
      <c r="CO165" s="194"/>
      <c r="CP165" s="123"/>
      <c r="CQ165" s="195"/>
      <c r="CR165" s="194"/>
      <c r="CS165" s="123"/>
      <c r="CT165" s="195"/>
      <c r="CU165" s="194"/>
      <c r="CV165" s="123"/>
      <c r="CW165" s="195"/>
      <c r="CX165" s="194"/>
      <c r="CY165" s="123"/>
      <c r="CZ165" s="195"/>
      <c r="DA165" s="194"/>
      <c r="DB165" s="123"/>
      <c r="DC165" s="195"/>
      <c r="DD165" s="194"/>
      <c r="DE165" s="123"/>
      <c r="DF165" s="195"/>
      <c r="DH165" s="311"/>
      <c r="DI165" s="311"/>
      <c r="DJ165" s="311"/>
      <c r="DK165" s="311"/>
      <c r="DL165" s="321"/>
      <c r="DM165" s="321"/>
      <c r="DN165" s="321"/>
      <c r="DO165" s="321"/>
      <c r="DP165" s="321"/>
      <c r="DQ165" s="321"/>
      <c r="DR165" s="321"/>
      <c r="DS165" s="321"/>
    </row>
    <row r="166" spans="1:123" ht="7.4" customHeight="1" x14ac:dyDescent="0.5">
      <c r="A166" s="42"/>
      <c r="B166" s="42"/>
      <c r="C166" s="55"/>
      <c r="D166" s="55"/>
      <c r="E166" s="41"/>
      <c r="F166" s="42"/>
      <c r="G166" s="56"/>
      <c r="H166" s="56"/>
      <c r="I166" s="56"/>
      <c r="J166" s="56"/>
      <c r="K166" s="56"/>
      <c r="L166" s="56"/>
      <c r="M166" s="56"/>
      <c r="N166" s="56"/>
      <c r="O166" s="56"/>
      <c r="P166" s="56"/>
      <c r="Q166" s="56"/>
      <c r="R166" s="126"/>
      <c r="S166" s="42"/>
      <c r="AJ166" s="41"/>
      <c r="AK166" s="42"/>
      <c r="AL166" s="311"/>
      <c r="AM166" s="311"/>
      <c r="AN166" s="311"/>
      <c r="AO166" s="311"/>
      <c r="AP166" s="43"/>
      <c r="AQ166" s="42"/>
      <c r="AR166" s="46"/>
      <c r="AS166" s="46"/>
      <c r="AT166" s="46"/>
      <c r="AU166" s="46"/>
      <c r="AV166" s="46"/>
      <c r="AW166" s="46"/>
      <c r="AX166" s="105"/>
      <c r="AY166" s="79"/>
      <c r="AZ166" s="119"/>
      <c r="BA166" s="119"/>
      <c r="BB166" s="119"/>
      <c r="BC166" s="119"/>
      <c r="BD166" s="119"/>
      <c r="BE166" s="119"/>
      <c r="BF166" s="119"/>
      <c r="BG166" s="119"/>
      <c r="BH166" s="124"/>
      <c r="BI166" s="41"/>
      <c r="BK166" s="194"/>
      <c r="BL166" s="123"/>
      <c r="BM166" s="195"/>
      <c r="BN166" s="194"/>
      <c r="BO166" s="123"/>
      <c r="BP166" s="195"/>
      <c r="BQ166" s="194"/>
      <c r="BR166" s="123"/>
      <c r="BS166" s="195"/>
      <c r="BT166" s="194"/>
      <c r="BU166" s="123"/>
      <c r="BV166" s="195"/>
      <c r="BW166" s="194"/>
      <c r="BX166" s="123"/>
      <c r="BY166" s="195"/>
      <c r="BZ166" s="194"/>
      <c r="CA166" s="123"/>
      <c r="CB166" s="195"/>
      <c r="CC166" s="194"/>
      <c r="CD166" s="123"/>
      <c r="CE166" s="195"/>
      <c r="CF166" s="194"/>
      <c r="CG166" s="123"/>
      <c r="CH166" s="195"/>
      <c r="CI166" s="194"/>
      <c r="CJ166" s="123"/>
      <c r="CK166" s="195"/>
      <c r="CL166" s="194"/>
      <c r="CM166" s="123"/>
      <c r="CN166" s="195"/>
      <c r="CO166" s="194"/>
      <c r="CP166" s="123"/>
      <c r="CQ166" s="195"/>
      <c r="CR166" s="194"/>
      <c r="CS166" s="123"/>
      <c r="CT166" s="195"/>
      <c r="CU166" s="194"/>
      <c r="CV166" s="123"/>
      <c r="CW166" s="195"/>
      <c r="CX166" s="194"/>
      <c r="CY166" s="123"/>
      <c r="CZ166" s="195"/>
      <c r="DA166" s="194"/>
      <c r="DB166" s="123"/>
      <c r="DC166" s="195"/>
      <c r="DD166" s="194"/>
      <c r="DE166" s="123"/>
      <c r="DF166" s="195"/>
      <c r="DH166" s="311"/>
      <c r="DI166" s="311"/>
      <c r="DJ166" s="311"/>
      <c r="DK166" s="311"/>
      <c r="DL166" s="321"/>
      <c r="DM166" s="321"/>
      <c r="DN166" s="321"/>
      <c r="DO166" s="321"/>
      <c r="DP166" s="321"/>
      <c r="DQ166" s="321"/>
      <c r="DR166" s="321"/>
      <c r="DS166" s="321"/>
    </row>
    <row r="167" spans="1:123" ht="7.4" customHeight="1" x14ac:dyDescent="0.5">
      <c r="A167" s="42"/>
      <c r="B167" s="42"/>
      <c r="C167" s="311">
        <f>C163+1</f>
        <v>13</v>
      </c>
      <c r="D167" s="311"/>
      <c r="E167" s="41"/>
      <c r="F167" s="42"/>
      <c r="G167" s="319" t="str">
        <f>IF(AL167=0,"N/A","AXE_ST_6.3_22_SC")</f>
        <v>N/A</v>
      </c>
      <c r="H167" s="319"/>
      <c r="I167" s="319"/>
      <c r="J167" s="319"/>
      <c r="K167" s="319"/>
      <c r="L167" s="319"/>
      <c r="M167" s="319"/>
      <c r="N167" s="319"/>
      <c r="O167" s="319"/>
      <c r="P167" s="319"/>
      <c r="Q167" s="319"/>
      <c r="R167" s="320"/>
      <c r="S167" s="42"/>
      <c r="T167" s="405" t="str">
        <f>VLOOKUP(G167,PL!$B$9:$BH$1265,14,FALSE)</f>
        <v>No Item</v>
      </c>
      <c r="U167" s="405"/>
      <c r="V167" s="405"/>
      <c r="W167" s="405"/>
      <c r="X167" s="405"/>
      <c r="Y167" s="405"/>
      <c r="Z167" s="405"/>
      <c r="AA167" s="405"/>
      <c r="AB167" s="405"/>
      <c r="AC167" s="405"/>
      <c r="AD167" s="405"/>
      <c r="AE167" s="405"/>
      <c r="AF167" s="405"/>
      <c r="AG167" s="405"/>
      <c r="AH167" s="405"/>
      <c r="AI167" s="405"/>
      <c r="AJ167" s="411"/>
      <c r="AK167" s="42"/>
      <c r="AL167" s="311">
        <f>ROUND(SUM(BK167:DF167)*(1+$BF$72),0)</f>
        <v>0</v>
      </c>
      <c r="AM167" s="311"/>
      <c r="AN167" s="311"/>
      <c r="AO167" s="311"/>
      <c r="AP167" s="43"/>
      <c r="AQ167" s="111"/>
      <c r="AR167" s="308" t="str">
        <f>VLOOKUP(G167,PL!$B$9:$BH$818,52,FALSE)</f>
        <v>-</v>
      </c>
      <c r="AS167" s="309"/>
      <c r="AT167" s="309"/>
      <c r="AU167" s="309"/>
      <c r="AV167" s="309"/>
      <c r="AW167" s="309"/>
      <c r="AX167" s="309"/>
      <c r="AY167" s="309"/>
      <c r="AZ167" s="309"/>
      <c r="BA167" s="309"/>
      <c r="BB167" s="309"/>
      <c r="BC167" s="309"/>
      <c r="BD167" s="309"/>
      <c r="BE167" s="309"/>
      <c r="BF167" s="309"/>
      <c r="BG167" s="309"/>
      <c r="BH167" s="124"/>
      <c r="BI167" s="41"/>
      <c r="BK167" s="412">
        <f>IF(OR(MID($G$143,8,2)="IB",MID($G$143,8,2)="RS",MID($G$143,8,2)="CO"),BK143*4,
IF(MID($G$143,8,2)="RF",BK143*2,0))</f>
        <v>0</v>
      </c>
      <c r="BL167" s="413"/>
      <c r="BM167" s="414"/>
      <c r="BN167" s="412">
        <f>IF(OR(MID($G$143,8,2)="IB",MID($G$143,8,2)="RS",MID($G$143,8,2)="CO"),BN143*4,
IF(MID($G$143,8,2)="RF",BN143*2,0))</f>
        <v>0</v>
      </c>
      <c r="BO167" s="413"/>
      <c r="BP167" s="414"/>
      <c r="BQ167" s="412">
        <f>IF(OR(MID($G$143,8,2)="IB",MID($G$143,8,2)="RS",MID($G$143,8,2)="CO"),BQ143*4,
IF(MID($G$143,8,2)="RF",BQ143*2,0))</f>
        <v>0</v>
      </c>
      <c r="BR167" s="413"/>
      <c r="BS167" s="414"/>
      <c r="BT167" s="412">
        <f>IF(OR(MID($G$143,8,2)="IB",MID($G$143,8,2)="RS",MID($G$143,8,2)="CO"),BT143*4,
IF(MID($G$143,8,2)="RF",BT143*2,0))</f>
        <v>0</v>
      </c>
      <c r="BU167" s="413"/>
      <c r="BV167" s="414"/>
      <c r="BW167" s="412">
        <f>IF(OR(MID($G$143,8,2)="IB",MID($G$143,8,2)="RS",MID($G$143,8,2)="CO"),BW143*4,
IF(MID($G$143,8,2)="RF",BW143*2,0))</f>
        <v>0</v>
      </c>
      <c r="BX167" s="413"/>
      <c r="BY167" s="414"/>
      <c r="BZ167" s="412">
        <f>IF(OR(MID($G$143,8,2)="IB",MID($G$143,8,2)="RS",MID($G$143,8,2)="CO"),BZ143*4,
IF(MID($G$143,8,2)="RF",BZ143*2,0))</f>
        <v>0</v>
      </c>
      <c r="CA167" s="413"/>
      <c r="CB167" s="414"/>
      <c r="CC167" s="412">
        <f>IF(OR(MID($G$143,8,2)="IB",MID($G$143,8,2)="RS",MID($G$143,8,2)="CO"),CC143*4,
IF(MID($G$143,8,2)="RF",CC143*2,0))</f>
        <v>0</v>
      </c>
      <c r="CD167" s="413"/>
      <c r="CE167" s="414"/>
      <c r="CF167" s="412">
        <f>IF(OR(MID($G$143,8,2)="IB",MID($G$143,8,2)="RS",MID($G$143,8,2)="CO"),CF143*4,
IF(MID($G$143,8,2)="RF",CF143*2,0))</f>
        <v>0</v>
      </c>
      <c r="CG167" s="413"/>
      <c r="CH167" s="414"/>
      <c r="CI167" s="412">
        <f>IF(OR(MID($G$143,8,2)="IB",MID($G$143,8,2)="RS",MID($G$143,8,2)="CO"),CI143*4,
IF(MID($G$143,8,2)="RF",CI143*2,0))</f>
        <v>0</v>
      </c>
      <c r="CJ167" s="413"/>
      <c r="CK167" s="414"/>
      <c r="CL167" s="412">
        <f>IF(OR(MID($G$143,8,2)="IB",MID($G$143,8,2)="RS",MID($G$143,8,2)="CO"),CL143*4,
IF(MID($G$143,8,2)="RF",CL143*2,0))</f>
        <v>0</v>
      </c>
      <c r="CM167" s="413"/>
      <c r="CN167" s="414"/>
      <c r="CO167" s="412">
        <f>IF(OR(MID($G$143,8,2)="IB",MID($G$143,8,2)="RS",MID($G$143,8,2)="CO"),CO143*4,
IF(MID($G$143,8,2)="RF",CO143*2,0))</f>
        <v>0</v>
      </c>
      <c r="CP167" s="413"/>
      <c r="CQ167" s="414"/>
      <c r="CR167" s="412">
        <f>IF(OR(MID($G$143,8,2)="IB",MID($G$143,8,2)="RS",MID($G$143,8,2)="CO"),CR143*4,
IF(MID($G$143,8,2)="RF",CR143*2,0))</f>
        <v>0</v>
      </c>
      <c r="CS167" s="413"/>
      <c r="CT167" s="414"/>
      <c r="CU167" s="412">
        <f>IF(OR(MID($G$143,8,2)="IB",MID($G$143,8,2)="RS",MID($G$143,8,2)="CO"),CU143*4,
IF(MID($G$143,8,2)="RF",CU143*2,0))</f>
        <v>0</v>
      </c>
      <c r="CV167" s="413"/>
      <c r="CW167" s="414"/>
      <c r="CX167" s="412">
        <f>IF(OR(MID($G$143,8,2)="IB",MID($G$143,8,2)="RS",MID($G$143,8,2)="CO"),CX143*4,
IF(MID($G$143,8,2)="RF",CX143*2,0))</f>
        <v>0</v>
      </c>
      <c r="CY167" s="413"/>
      <c r="CZ167" s="414"/>
      <c r="DA167" s="412">
        <f>IF(OR(MID($G$143,8,2)="IB",MID($G$143,8,2)="RS",MID($G$143,8,2)="CO"),DA143*4,
IF(MID($G$143,8,2)="RF",DA143*2,0))</f>
        <v>0</v>
      </c>
      <c r="DB167" s="413"/>
      <c r="DC167" s="414"/>
      <c r="DD167" s="412">
        <f>IF(OR(MID($G$143,8,2)="IB",MID($G$143,8,2)="RS",MID($G$143,8,2)="CO"),DD143*4,
IF(MID($G$143,8,2)="RF",DD143*2,0))</f>
        <v>0</v>
      </c>
      <c r="DE167" s="413"/>
      <c r="DF167" s="414"/>
      <c r="DH167" s="311"/>
      <c r="DI167" s="311"/>
      <c r="DJ167" s="311"/>
      <c r="DK167" s="311"/>
      <c r="DL167" s="321"/>
      <c r="DM167" s="321"/>
      <c r="DN167" s="321"/>
      <c r="DO167" s="321"/>
      <c r="DP167" s="321"/>
      <c r="DQ167" s="321"/>
      <c r="DR167" s="321"/>
      <c r="DS167" s="321"/>
    </row>
    <row r="168" spans="1:123" ht="7.4" customHeight="1" x14ac:dyDescent="0.5">
      <c r="A168" s="42"/>
      <c r="B168" s="42"/>
      <c r="C168" s="311"/>
      <c r="D168" s="311"/>
      <c r="E168" s="41"/>
      <c r="F168" s="42"/>
      <c r="G168" s="319"/>
      <c r="H168" s="319"/>
      <c r="I168" s="319"/>
      <c r="J168" s="319"/>
      <c r="K168" s="319"/>
      <c r="L168" s="319"/>
      <c r="M168" s="319"/>
      <c r="N168" s="319"/>
      <c r="O168" s="319"/>
      <c r="P168" s="319"/>
      <c r="Q168" s="319"/>
      <c r="R168" s="320"/>
      <c r="S168" s="42"/>
      <c r="T168" s="405"/>
      <c r="U168" s="405"/>
      <c r="V168" s="405"/>
      <c r="W168" s="405"/>
      <c r="X168" s="405"/>
      <c r="Y168" s="405"/>
      <c r="Z168" s="405"/>
      <c r="AA168" s="405"/>
      <c r="AB168" s="405"/>
      <c r="AC168" s="405"/>
      <c r="AD168" s="405"/>
      <c r="AE168" s="405"/>
      <c r="AF168" s="405"/>
      <c r="AG168" s="405"/>
      <c r="AH168" s="405"/>
      <c r="AI168" s="405"/>
      <c r="AJ168" s="411"/>
      <c r="AK168" s="42"/>
      <c r="AL168" s="311"/>
      <c r="AM168" s="311"/>
      <c r="AN168" s="311"/>
      <c r="AO168" s="311"/>
      <c r="AP168" s="43"/>
      <c r="AQ168" s="111"/>
      <c r="AR168" s="309"/>
      <c r="AS168" s="309"/>
      <c r="AT168" s="309"/>
      <c r="AU168" s="309"/>
      <c r="AV168" s="309"/>
      <c r="AW168" s="309"/>
      <c r="AX168" s="309"/>
      <c r="AY168" s="309"/>
      <c r="AZ168" s="309"/>
      <c r="BA168" s="309"/>
      <c r="BB168" s="309"/>
      <c r="BC168" s="309"/>
      <c r="BD168" s="309"/>
      <c r="BE168" s="309"/>
      <c r="BF168" s="309"/>
      <c r="BG168" s="309"/>
      <c r="BH168" s="124"/>
      <c r="BI168" s="41"/>
      <c r="BK168" s="412"/>
      <c r="BL168" s="413"/>
      <c r="BM168" s="414"/>
      <c r="BN168" s="412"/>
      <c r="BO168" s="413"/>
      <c r="BP168" s="414"/>
      <c r="BQ168" s="412"/>
      <c r="BR168" s="413"/>
      <c r="BS168" s="414"/>
      <c r="BT168" s="412"/>
      <c r="BU168" s="413"/>
      <c r="BV168" s="414"/>
      <c r="BW168" s="412"/>
      <c r="BX168" s="413"/>
      <c r="BY168" s="414"/>
      <c r="BZ168" s="412"/>
      <c r="CA168" s="413"/>
      <c r="CB168" s="414"/>
      <c r="CC168" s="412"/>
      <c r="CD168" s="413"/>
      <c r="CE168" s="414"/>
      <c r="CF168" s="412"/>
      <c r="CG168" s="413"/>
      <c r="CH168" s="414"/>
      <c r="CI168" s="412"/>
      <c r="CJ168" s="413"/>
      <c r="CK168" s="414"/>
      <c r="CL168" s="412"/>
      <c r="CM168" s="413"/>
      <c r="CN168" s="414"/>
      <c r="CO168" s="412"/>
      <c r="CP168" s="413"/>
      <c r="CQ168" s="414"/>
      <c r="CR168" s="412"/>
      <c r="CS168" s="413"/>
      <c r="CT168" s="414"/>
      <c r="CU168" s="412"/>
      <c r="CV168" s="413"/>
      <c r="CW168" s="414"/>
      <c r="CX168" s="412"/>
      <c r="CY168" s="413"/>
      <c r="CZ168" s="414"/>
      <c r="DA168" s="412"/>
      <c r="DB168" s="413"/>
      <c r="DC168" s="414"/>
      <c r="DD168" s="412"/>
      <c r="DE168" s="413"/>
      <c r="DF168" s="414"/>
      <c r="DH168" s="311"/>
      <c r="DI168" s="311"/>
      <c r="DJ168" s="311"/>
      <c r="DK168" s="311"/>
      <c r="DL168" s="321"/>
      <c r="DM168" s="321"/>
      <c r="DN168" s="321"/>
      <c r="DO168" s="321"/>
      <c r="DP168" s="321"/>
      <c r="DQ168" s="321"/>
      <c r="DR168" s="321"/>
      <c r="DS168" s="321"/>
    </row>
    <row r="169" spans="1:123" ht="7.4" customHeight="1" x14ac:dyDescent="0.5">
      <c r="A169" s="42"/>
      <c r="B169" s="42"/>
      <c r="C169" s="55"/>
      <c r="D169" s="55"/>
      <c r="E169" s="41"/>
      <c r="F169" s="42"/>
      <c r="G169" s="56"/>
      <c r="H169" s="56"/>
      <c r="I169" s="56"/>
      <c r="J169" s="56"/>
      <c r="K169" s="56"/>
      <c r="L169" s="56"/>
      <c r="M169" s="56"/>
      <c r="N169" s="56"/>
      <c r="O169" s="56"/>
      <c r="P169" s="56"/>
      <c r="Q169" s="56"/>
      <c r="R169" s="126"/>
      <c r="S169" s="42"/>
      <c r="T169" s="116" t="str">
        <f>VLOOKUP(G167,PL!$B$9:$BH$1265,33,FALSE)</f>
        <v>.</v>
      </c>
      <c r="AJ169" s="41"/>
      <c r="AK169" s="42"/>
      <c r="AL169" s="311"/>
      <c r="AM169" s="311"/>
      <c r="AN169" s="311"/>
      <c r="AO169" s="311"/>
      <c r="AP169" s="43"/>
      <c r="AQ169" s="229"/>
      <c r="AR169" s="46"/>
      <c r="AS169" s="46"/>
      <c r="AT169" s="46"/>
      <c r="AU169" s="46"/>
      <c r="AV169" s="46"/>
      <c r="AW169" s="46"/>
      <c r="AX169" s="105"/>
      <c r="AY169" s="79"/>
      <c r="AZ169" s="119"/>
      <c r="BA169" s="119"/>
      <c r="BB169" s="119"/>
      <c r="BC169" s="119"/>
      <c r="BD169" s="119"/>
      <c r="BE169" s="119"/>
      <c r="BF169" s="119"/>
      <c r="BG169" s="119"/>
      <c r="BH169" s="124"/>
      <c r="BI169" s="41"/>
      <c r="BK169" s="194"/>
      <c r="BL169" s="123"/>
      <c r="BM169" s="195"/>
      <c r="BN169" s="194"/>
      <c r="BO169" s="123"/>
      <c r="BP169" s="195"/>
      <c r="BQ169" s="194"/>
      <c r="BR169" s="123"/>
      <c r="BS169" s="195"/>
      <c r="BT169" s="246"/>
      <c r="BU169" s="122"/>
      <c r="BV169" s="247"/>
      <c r="BW169" s="194"/>
      <c r="BX169" s="123"/>
      <c r="BY169" s="195"/>
      <c r="BZ169" s="194"/>
      <c r="CA169" s="123"/>
      <c r="CB169" s="195"/>
      <c r="CC169" s="194"/>
      <c r="CD169" s="123"/>
      <c r="CE169" s="195"/>
      <c r="CF169" s="194"/>
      <c r="CG169" s="123"/>
      <c r="CH169" s="195"/>
      <c r="CI169" s="194"/>
      <c r="CJ169" s="123"/>
      <c r="CK169" s="195"/>
      <c r="CL169" s="194"/>
      <c r="CM169" s="123"/>
      <c r="CN169" s="195"/>
      <c r="CO169" s="194"/>
      <c r="CP169" s="123"/>
      <c r="CQ169" s="195"/>
      <c r="CR169" s="194"/>
      <c r="CS169" s="123"/>
      <c r="CT169" s="195"/>
      <c r="CU169" s="194"/>
      <c r="CV169" s="123"/>
      <c r="CW169" s="195"/>
      <c r="CX169" s="194"/>
      <c r="CY169" s="123"/>
      <c r="CZ169" s="195"/>
      <c r="DA169" s="194"/>
      <c r="DB169" s="123"/>
      <c r="DC169" s="195"/>
      <c r="DD169" s="194"/>
      <c r="DE169" s="123"/>
      <c r="DF169" s="195"/>
      <c r="DH169" s="311"/>
      <c r="DI169" s="311"/>
      <c r="DJ169" s="311"/>
      <c r="DK169" s="311"/>
      <c r="DL169" s="321"/>
      <c r="DM169" s="321"/>
      <c r="DN169" s="321"/>
      <c r="DO169" s="321"/>
      <c r="DP169" s="321"/>
      <c r="DQ169" s="321"/>
      <c r="DR169" s="321"/>
      <c r="DS169" s="321"/>
    </row>
    <row r="170" spans="1:123" ht="7.4" customHeight="1" x14ac:dyDescent="0.5">
      <c r="A170" s="42"/>
      <c r="B170" s="42"/>
      <c r="C170" s="55"/>
      <c r="D170" s="55"/>
      <c r="E170" s="41"/>
      <c r="F170" s="42"/>
      <c r="G170" s="56"/>
      <c r="H170" s="56"/>
      <c r="I170" s="56"/>
      <c r="J170" s="56"/>
      <c r="K170" s="56"/>
      <c r="L170" s="56"/>
      <c r="M170" s="56"/>
      <c r="N170" s="56"/>
      <c r="O170" s="56"/>
      <c r="P170" s="56"/>
      <c r="Q170" s="56"/>
      <c r="R170" s="126"/>
      <c r="S170" s="42"/>
      <c r="AJ170" s="41"/>
      <c r="AK170" s="42"/>
      <c r="AL170" s="311"/>
      <c r="AM170" s="311"/>
      <c r="AN170" s="311"/>
      <c r="AO170" s="311"/>
      <c r="AP170" s="43"/>
      <c r="AQ170" s="229"/>
      <c r="AR170" s="46"/>
      <c r="AS170" s="46"/>
      <c r="AT170" s="46"/>
      <c r="AU170" s="46"/>
      <c r="AV170" s="46"/>
      <c r="AW170" s="46"/>
      <c r="AX170" s="105"/>
      <c r="AY170" s="79"/>
      <c r="AZ170" s="119"/>
      <c r="BA170" s="119"/>
      <c r="BB170" s="119"/>
      <c r="BC170" s="119"/>
      <c r="BD170" s="119"/>
      <c r="BE170" s="119"/>
      <c r="BF170" s="119"/>
      <c r="BG170" s="119"/>
      <c r="BH170" s="124"/>
      <c r="BI170" s="41"/>
      <c r="BK170" s="194"/>
      <c r="BL170" s="123"/>
      <c r="BM170" s="195"/>
      <c r="BN170" s="194"/>
      <c r="BO170" s="123"/>
      <c r="BP170" s="195"/>
      <c r="BQ170" s="194"/>
      <c r="BR170" s="123"/>
      <c r="BS170" s="195"/>
      <c r="BT170" s="194"/>
      <c r="BU170" s="123"/>
      <c r="BV170" s="195"/>
      <c r="BW170" s="194"/>
      <c r="BX170" s="123"/>
      <c r="BY170" s="195"/>
      <c r="BZ170" s="194"/>
      <c r="CA170" s="123"/>
      <c r="CB170" s="195"/>
      <c r="CC170" s="194"/>
      <c r="CD170" s="123"/>
      <c r="CE170" s="195"/>
      <c r="CF170" s="194"/>
      <c r="CG170" s="123"/>
      <c r="CH170" s="195"/>
      <c r="CI170" s="194"/>
      <c r="CJ170" s="123"/>
      <c r="CK170" s="195"/>
      <c r="CL170" s="194"/>
      <c r="CM170" s="123"/>
      <c r="CN170" s="195"/>
      <c r="CO170" s="194"/>
      <c r="CP170" s="123"/>
      <c r="CQ170" s="195"/>
      <c r="CR170" s="194"/>
      <c r="CS170" s="123"/>
      <c r="CT170" s="195"/>
      <c r="CU170" s="194"/>
      <c r="CV170" s="123"/>
      <c r="CW170" s="195"/>
      <c r="CX170" s="194"/>
      <c r="CY170" s="123"/>
      <c r="CZ170" s="195"/>
      <c r="DA170" s="194"/>
      <c r="DB170" s="123"/>
      <c r="DC170" s="195"/>
      <c r="DD170" s="194"/>
      <c r="DE170" s="123"/>
      <c r="DF170" s="195"/>
      <c r="DH170" s="311"/>
      <c r="DI170" s="311"/>
      <c r="DJ170" s="311"/>
      <c r="DK170" s="311"/>
      <c r="DL170" s="321"/>
      <c r="DM170" s="321"/>
      <c r="DN170" s="321"/>
      <c r="DO170" s="321"/>
      <c r="DP170" s="321"/>
      <c r="DQ170" s="321"/>
      <c r="DR170" s="321"/>
      <c r="DS170" s="321"/>
    </row>
    <row r="171" spans="1:123" ht="7.4" customHeight="1" x14ac:dyDescent="0.5">
      <c r="A171" s="42"/>
      <c r="B171" s="42"/>
      <c r="C171" s="311">
        <f>C167+1</f>
        <v>14</v>
      </c>
      <c r="D171" s="311"/>
      <c r="E171" s="41"/>
      <c r="F171" s="42"/>
      <c r="G171" s="319" t="str">
        <f>IF(AL171=0,"N/A","AXE_ST_5.5_85_SC")</f>
        <v>N/A</v>
      </c>
      <c r="H171" s="319"/>
      <c r="I171" s="319"/>
      <c r="J171" s="319"/>
      <c r="K171" s="319"/>
      <c r="L171" s="319"/>
      <c r="M171" s="319"/>
      <c r="N171" s="319"/>
      <c r="O171" s="319"/>
      <c r="P171" s="319"/>
      <c r="Q171" s="319"/>
      <c r="R171" s="320"/>
      <c r="S171" s="42"/>
      <c r="T171" s="405" t="str">
        <f>VLOOKUP(G171,PL!$B$9:$BH$1265,14,FALSE)</f>
        <v>No Item</v>
      </c>
      <c r="U171" s="405"/>
      <c r="V171" s="405"/>
      <c r="W171" s="405"/>
      <c r="X171" s="405"/>
      <c r="Y171" s="405"/>
      <c r="Z171" s="405"/>
      <c r="AA171" s="405"/>
      <c r="AB171" s="405"/>
      <c r="AC171" s="405"/>
      <c r="AD171" s="405"/>
      <c r="AE171" s="405"/>
      <c r="AF171" s="405"/>
      <c r="AG171" s="405"/>
      <c r="AH171" s="405"/>
      <c r="AI171" s="405"/>
      <c r="AJ171" s="411"/>
      <c r="AK171" s="42"/>
      <c r="AL171" s="311">
        <f>ROUND(SUM(BK171:DF171)*(1+$BF$72),0)</f>
        <v>0</v>
      </c>
      <c r="AM171" s="311"/>
      <c r="AN171" s="311"/>
      <c r="AO171" s="311"/>
      <c r="AP171" s="43"/>
      <c r="AQ171" s="111"/>
      <c r="AR171" s="308" t="str">
        <f>VLOOKUP(G171,PL!$B$9:$BH$818,52,FALSE)</f>
        <v>-</v>
      </c>
      <c r="AS171" s="309"/>
      <c r="AT171" s="309"/>
      <c r="AU171" s="309"/>
      <c r="AV171" s="309"/>
      <c r="AW171" s="309"/>
      <c r="AX171" s="309"/>
      <c r="AY171" s="309"/>
      <c r="AZ171" s="309"/>
      <c r="BA171" s="309"/>
      <c r="BB171" s="309"/>
      <c r="BC171" s="309"/>
      <c r="BD171" s="309"/>
      <c r="BE171" s="309"/>
      <c r="BF171" s="309"/>
      <c r="BG171" s="309"/>
      <c r="BH171" s="124"/>
      <c r="BI171" s="41"/>
      <c r="BK171" s="412">
        <f>IF(MID($G$131,8,1)="L",IF($AO$35="Flat Surface",0,BK131),0)</f>
        <v>0</v>
      </c>
      <c r="BL171" s="413"/>
      <c r="BM171" s="414"/>
      <c r="BN171" s="412">
        <f>IF(MID($G$131,8,1)="L",IF($AO$35="Flat Surface",0,BN131),0)</f>
        <v>0</v>
      </c>
      <c r="BO171" s="413"/>
      <c r="BP171" s="414"/>
      <c r="BQ171" s="412">
        <f>IF(MID($G$131,8,1)="L",IF($AO$35="Flat Surface",0,BQ131),0)</f>
        <v>0</v>
      </c>
      <c r="BR171" s="413"/>
      <c r="BS171" s="414"/>
      <c r="BT171" s="412">
        <f>IF(MID($G$131,8,1)="L",IF($AO$35="Flat Surface",0,BT131),0)</f>
        <v>0</v>
      </c>
      <c r="BU171" s="413"/>
      <c r="BV171" s="414"/>
      <c r="BW171" s="412">
        <f>IF(MID($G$131,8,1)="L",IF($AO$35="Flat Surface",0,BW131),0)</f>
        <v>0</v>
      </c>
      <c r="BX171" s="413"/>
      <c r="BY171" s="414"/>
      <c r="BZ171" s="412">
        <f>IF(MID($G$131,8,1)="L",IF($AO$35="Flat Surface",0,BZ131),0)</f>
        <v>0</v>
      </c>
      <c r="CA171" s="413"/>
      <c r="CB171" s="414"/>
      <c r="CC171" s="412">
        <f>IF(MID($G$131,8,1)="L",IF($AO$35="Flat Surface",0,CC131),0)</f>
        <v>0</v>
      </c>
      <c r="CD171" s="413"/>
      <c r="CE171" s="414"/>
      <c r="CF171" s="412">
        <f>IF(MID($G$131,8,1)="L",IF($AO$35="Flat Surface",0,CF131),0)</f>
        <v>0</v>
      </c>
      <c r="CG171" s="413"/>
      <c r="CH171" s="414"/>
      <c r="CI171" s="412">
        <f>IF(MID($G$131,8,1)="L",IF($AO$35="Flat Surface",0,CI131),0)</f>
        <v>0</v>
      </c>
      <c r="CJ171" s="413"/>
      <c r="CK171" s="414"/>
      <c r="CL171" s="412">
        <f>IF(MID($G$131,8,1)="L",IF($AO$35="Flat Surface",0,CL131),0)</f>
        <v>0</v>
      </c>
      <c r="CM171" s="413"/>
      <c r="CN171" s="414"/>
      <c r="CO171" s="412">
        <f>IF(MID($G$131,8,1)="L",IF($AO$35="Flat Surface",0,CO131),0)</f>
        <v>0</v>
      </c>
      <c r="CP171" s="413"/>
      <c r="CQ171" s="414"/>
      <c r="CR171" s="412">
        <f>IF(MID($G$131,8,1)="L",IF($AO$35="Flat Surface",0,CR131),0)</f>
        <v>0</v>
      </c>
      <c r="CS171" s="413"/>
      <c r="CT171" s="414"/>
      <c r="CU171" s="412">
        <f>IF(MID($G$131,8,1)="L",IF($AO$35="Flat Surface",0,CU131),0)</f>
        <v>0</v>
      </c>
      <c r="CV171" s="413"/>
      <c r="CW171" s="414"/>
      <c r="CX171" s="412">
        <f>IF(MID($G$131,8,1)="L",IF($AO$35="Flat Surface",0,CX131),0)</f>
        <v>0</v>
      </c>
      <c r="CY171" s="413"/>
      <c r="CZ171" s="414"/>
      <c r="DA171" s="412">
        <f>IF(MID($G$131,8,1)="L",IF($AO$35="Flat Surface",0,DA131),0)</f>
        <v>0</v>
      </c>
      <c r="DB171" s="413"/>
      <c r="DC171" s="414"/>
      <c r="DD171" s="412">
        <f>IF(MID($G$131,8,1)="L",IF($AO$35="Flat Surface",0,DD131),0)</f>
        <v>0</v>
      </c>
      <c r="DE171" s="413"/>
      <c r="DF171" s="414"/>
      <c r="DH171" s="311"/>
      <c r="DI171" s="311"/>
      <c r="DJ171" s="311"/>
      <c r="DK171" s="311"/>
      <c r="DL171" s="321"/>
      <c r="DM171" s="321"/>
      <c r="DN171" s="321"/>
      <c r="DO171" s="321"/>
      <c r="DP171" s="321"/>
      <c r="DQ171" s="321"/>
      <c r="DR171" s="321"/>
      <c r="DS171" s="321"/>
    </row>
    <row r="172" spans="1:123" ht="7.4" customHeight="1" x14ac:dyDescent="0.5">
      <c r="A172" s="42"/>
      <c r="B172" s="42"/>
      <c r="C172" s="311"/>
      <c r="D172" s="311"/>
      <c r="E172" s="41"/>
      <c r="F172" s="42"/>
      <c r="G172" s="319"/>
      <c r="H172" s="319"/>
      <c r="I172" s="319"/>
      <c r="J172" s="319"/>
      <c r="K172" s="319"/>
      <c r="L172" s="319"/>
      <c r="M172" s="319"/>
      <c r="N172" s="319"/>
      <c r="O172" s="319"/>
      <c r="P172" s="319"/>
      <c r="Q172" s="319"/>
      <c r="R172" s="320"/>
      <c r="S172" s="42"/>
      <c r="T172" s="405"/>
      <c r="U172" s="405"/>
      <c r="V172" s="405"/>
      <c r="W172" s="405"/>
      <c r="X172" s="405"/>
      <c r="Y172" s="405"/>
      <c r="Z172" s="405"/>
      <c r="AA172" s="405"/>
      <c r="AB172" s="405"/>
      <c r="AC172" s="405"/>
      <c r="AD172" s="405"/>
      <c r="AE172" s="405"/>
      <c r="AF172" s="405"/>
      <c r="AG172" s="405"/>
      <c r="AH172" s="405"/>
      <c r="AI172" s="405"/>
      <c r="AJ172" s="411"/>
      <c r="AK172" s="42"/>
      <c r="AL172" s="311"/>
      <c r="AM172" s="311"/>
      <c r="AN172" s="311"/>
      <c r="AO172" s="311"/>
      <c r="AP172" s="43"/>
      <c r="AQ172" s="111"/>
      <c r="AR172" s="309"/>
      <c r="AS172" s="309"/>
      <c r="AT172" s="309"/>
      <c r="AU172" s="309"/>
      <c r="AV172" s="309"/>
      <c r="AW172" s="309"/>
      <c r="AX172" s="309"/>
      <c r="AY172" s="309"/>
      <c r="AZ172" s="309"/>
      <c r="BA172" s="309"/>
      <c r="BB172" s="309"/>
      <c r="BC172" s="309"/>
      <c r="BD172" s="309"/>
      <c r="BE172" s="309"/>
      <c r="BF172" s="309"/>
      <c r="BG172" s="309"/>
      <c r="BH172" s="124"/>
      <c r="BI172" s="41"/>
      <c r="BK172" s="412"/>
      <c r="BL172" s="413"/>
      <c r="BM172" s="414"/>
      <c r="BN172" s="412"/>
      <c r="BO172" s="413"/>
      <c r="BP172" s="414"/>
      <c r="BQ172" s="412"/>
      <c r="BR172" s="413"/>
      <c r="BS172" s="414"/>
      <c r="BT172" s="412"/>
      <c r="BU172" s="413"/>
      <c r="BV172" s="414"/>
      <c r="BW172" s="412"/>
      <c r="BX172" s="413"/>
      <c r="BY172" s="414"/>
      <c r="BZ172" s="412"/>
      <c r="CA172" s="413"/>
      <c r="CB172" s="414"/>
      <c r="CC172" s="412"/>
      <c r="CD172" s="413"/>
      <c r="CE172" s="414"/>
      <c r="CF172" s="412"/>
      <c r="CG172" s="413"/>
      <c r="CH172" s="414"/>
      <c r="CI172" s="412"/>
      <c r="CJ172" s="413"/>
      <c r="CK172" s="414"/>
      <c r="CL172" s="412"/>
      <c r="CM172" s="413"/>
      <c r="CN172" s="414"/>
      <c r="CO172" s="412"/>
      <c r="CP172" s="413"/>
      <c r="CQ172" s="414"/>
      <c r="CR172" s="412"/>
      <c r="CS172" s="413"/>
      <c r="CT172" s="414"/>
      <c r="CU172" s="412"/>
      <c r="CV172" s="413"/>
      <c r="CW172" s="414"/>
      <c r="CX172" s="412"/>
      <c r="CY172" s="413"/>
      <c r="CZ172" s="414"/>
      <c r="DA172" s="412"/>
      <c r="DB172" s="413"/>
      <c r="DC172" s="414"/>
      <c r="DD172" s="412"/>
      <c r="DE172" s="413"/>
      <c r="DF172" s="414"/>
      <c r="DH172" s="311"/>
      <c r="DI172" s="311"/>
      <c r="DJ172" s="311"/>
      <c r="DK172" s="311"/>
      <c r="DL172" s="321"/>
      <c r="DM172" s="321"/>
      <c r="DN172" s="321"/>
      <c r="DO172" s="321"/>
      <c r="DP172" s="321"/>
      <c r="DQ172" s="321"/>
      <c r="DR172" s="321"/>
      <c r="DS172" s="321"/>
    </row>
    <row r="173" spans="1:123" ht="7.4" customHeight="1" x14ac:dyDescent="0.5">
      <c r="A173" s="42"/>
      <c r="B173" s="42"/>
      <c r="C173" s="55"/>
      <c r="D173" s="55"/>
      <c r="E173" s="41"/>
      <c r="F173" s="42"/>
      <c r="G173" s="56"/>
      <c r="H173" s="56"/>
      <c r="I173" s="56"/>
      <c r="J173" s="56"/>
      <c r="K173" s="56"/>
      <c r="L173" s="56"/>
      <c r="M173" s="56"/>
      <c r="N173" s="56"/>
      <c r="O173" s="56"/>
      <c r="P173" s="56"/>
      <c r="Q173" s="56"/>
      <c r="R173" s="126"/>
      <c r="S173" s="42"/>
      <c r="T173" s="116" t="str">
        <f>VLOOKUP(G171,PL!$B$9:$BH$1265,33,FALSE)</f>
        <v>.</v>
      </c>
      <c r="AJ173" s="41"/>
      <c r="AK173" s="42"/>
      <c r="AL173" s="311"/>
      <c r="AM173" s="311"/>
      <c r="AN173" s="311"/>
      <c r="AO173" s="311"/>
      <c r="AP173" s="43"/>
      <c r="AQ173" s="229"/>
      <c r="AR173" s="46"/>
      <c r="AS173" s="46"/>
      <c r="AT173" s="46"/>
      <c r="AU173" s="46"/>
      <c r="AV173" s="46"/>
      <c r="AW173" s="46"/>
      <c r="AX173" s="105"/>
      <c r="AY173" s="79"/>
      <c r="AZ173" s="119"/>
      <c r="BA173" s="119"/>
      <c r="BB173" s="119"/>
      <c r="BC173" s="119"/>
      <c r="BD173" s="119"/>
      <c r="BE173" s="119"/>
      <c r="BF173" s="119"/>
      <c r="BG173" s="119"/>
      <c r="BH173" s="124"/>
      <c r="BI173" s="41"/>
      <c r="BK173" s="194"/>
      <c r="BL173" s="123"/>
      <c r="BM173" s="195"/>
      <c r="BN173" s="194"/>
      <c r="BO173" s="123"/>
      <c r="BP173" s="195"/>
      <c r="BQ173" s="194"/>
      <c r="BR173" s="123"/>
      <c r="BS173" s="195"/>
      <c r="BT173" s="246"/>
      <c r="BU173" s="122"/>
      <c r="BV173" s="247"/>
      <c r="BW173" s="194"/>
      <c r="BX173" s="123"/>
      <c r="BY173" s="195"/>
      <c r="BZ173" s="194"/>
      <c r="CA173" s="123"/>
      <c r="CB173" s="195"/>
      <c r="CC173" s="194"/>
      <c r="CD173" s="123"/>
      <c r="CE173" s="195"/>
      <c r="CF173" s="194"/>
      <c r="CG173" s="123"/>
      <c r="CH173" s="195"/>
      <c r="CI173" s="194"/>
      <c r="CJ173" s="123"/>
      <c r="CK173" s="195"/>
      <c r="CL173" s="194"/>
      <c r="CM173" s="123"/>
      <c r="CN173" s="195"/>
      <c r="CO173" s="194"/>
      <c r="CP173" s="123"/>
      <c r="CQ173" s="195"/>
      <c r="CR173" s="194"/>
      <c r="CS173" s="123"/>
      <c r="CT173" s="195"/>
      <c r="CU173" s="194"/>
      <c r="CV173" s="123"/>
      <c r="CW173" s="195"/>
      <c r="CX173" s="194"/>
      <c r="CY173" s="123"/>
      <c r="CZ173" s="195"/>
      <c r="DA173" s="194"/>
      <c r="DB173" s="123"/>
      <c r="DC173" s="195"/>
      <c r="DD173" s="194"/>
      <c r="DE173" s="123"/>
      <c r="DF173" s="195"/>
      <c r="DH173" s="311"/>
      <c r="DI173" s="311"/>
      <c r="DJ173" s="311"/>
      <c r="DK173" s="311"/>
      <c r="DL173" s="321"/>
      <c r="DM173" s="321"/>
      <c r="DN173" s="321"/>
      <c r="DO173" s="321"/>
      <c r="DP173" s="321"/>
      <c r="DQ173" s="321"/>
      <c r="DR173" s="321"/>
      <c r="DS173" s="321"/>
    </row>
    <row r="174" spans="1:123" ht="7.4" customHeight="1" x14ac:dyDescent="0.5">
      <c r="A174" s="42"/>
      <c r="B174" s="42"/>
      <c r="C174" s="55"/>
      <c r="D174" s="55"/>
      <c r="E174" s="41"/>
      <c r="F174" s="42"/>
      <c r="G174" s="56"/>
      <c r="H174" s="56"/>
      <c r="I174" s="56"/>
      <c r="J174" s="56"/>
      <c r="K174" s="56"/>
      <c r="L174" s="56"/>
      <c r="M174" s="56"/>
      <c r="N174" s="56"/>
      <c r="O174" s="56"/>
      <c r="P174" s="56"/>
      <c r="Q174" s="56"/>
      <c r="R174" s="126"/>
      <c r="S174" s="42"/>
      <c r="AJ174" s="41"/>
      <c r="AK174" s="42"/>
      <c r="AL174" s="311"/>
      <c r="AM174" s="311"/>
      <c r="AN174" s="311"/>
      <c r="AO174" s="311"/>
      <c r="AP174" s="43"/>
      <c r="AQ174" s="229"/>
      <c r="AR174" s="46"/>
      <c r="AS174" s="46"/>
      <c r="AT174" s="46"/>
      <c r="AU174" s="46"/>
      <c r="AV174" s="46"/>
      <c r="AW174" s="46"/>
      <c r="AX174" s="105"/>
      <c r="AY174" s="79"/>
      <c r="AZ174" s="119"/>
      <c r="BA174" s="119"/>
      <c r="BB174" s="119"/>
      <c r="BC174" s="119"/>
      <c r="BD174" s="119"/>
      <c r="BE174" s="119"/>
      <c r="BF174" s="119"/>
      <c r="BG174" s="119"/>
      <c r="BH174" s="124"/>
      <c r="BI174" s="41"/>
      <c r="BK174" s="194"/>
      <c r="BL174" s="123"/>
      <c r="BM174" s="195"/>
      <c r="BN174" s="194"/>
      <c r="BO174" s="123"/>
      <c r="BP174" s="195"/>
      <c r="BQ174" s="194"/>
      <c r="BR174" s="123"/>
      <c r="BS174" s="195"/>
      <c r="BT174" s="194"/>
      <c r="BU174" s="123"/>
      <c r="BV174" s="195"/>
      <c r="BW174" s="194"/>
      <c r="BX174" s="123"/>
      <c r="BY174" s="195"/>
      <c r="BZ174" s="194"/>
      <c r="CA174" s="123"/>
      <c r="CB174" s="195"/>
      <c r="CC174" s="194"/>
      <c r="CD174" s="123"/>
      <c r="CE174" s="195"/>
      <c r="CF174" s="194"/>
      <c r="CG174" s="123"/>
      <c r="CH174" s="195"/>
      <c r="CI174" s="194"/>
      <c r="CJ174" s="123"/>
      <c r="CK174" s="195"/>
      <c r="CL174" s="194"/>
      <c r="CM174" s="123"/>
      <c r="CN174" s="195"/>
      <c r="CO174" s="194"/>
      <c r="CP174" s="123"/>
      <c r="CQ174" s="195"/>
      <c r="CR174" s="194"/>
      <c r="CS174" s="123"/>
      <c r="CT174" s="195"/>
      <c r="CU174" s="194"/>
      <c r="CV174" s="123"/>
      <c r="CW174" s="195"/>
      <c r="CX174" s="194"/>
      <c r="CY174" s="123"/>
      <c r="CZ174" s="195"/>
      <c r="DA174" s="194"/>
      <c r="DB174" s="123"/>
      <c r="DC174" s="195"/>
      <c r="DD174" s="194"/>
      <c r="DE174" s="123"/>
      <c r="DF174" s="195"/>
      <c r="DH174" s="311"/>
      <c r="DI174" s="311"/>
      <c r="DJ174" s="311"/>
      <c r="DK174" s="311"/>
      <c r="DL174" s="321"/>
      <c r="DM174" s="321"/>
      <c r="DN174" s="321"/>
      <c r="DO174" s="321"/>
      <c r="DP174" s="321"/>
      <c r="DQ174" s="321"/>
      <c r="DR174" s="321"/>
      <c r="DS174" s="321"/>
    </row>
    <row r="175" spans="1:123" ht="7.4" customHeight="1" x14ac:dyDescent="0.5">
      <c r="A175" s="42"/>
      <c r="B175" s="42"/>
      <c r="C175" s="311">
        <f>C171+1</f>
        <v>15</v>
      </c>
      <c r="D175" s="311"/>
      <c r="E175" s="41"/>
      <c r="F175" s="42"/>
      <c r="G175" s="322" t="str">
        <f>IF(AL175=0,"N/A","Anti_Seize_S")</f>
        <v>Anti_Seize_S</v>
      </c>
      <c r="H175" s="322"/>
      <c r="I175" s="322"/>
      <c r="J175" s="322"/>
      <c r="K175" s="322"/>
      <c r="L175" s="322"/>
      <c r="M175" s="322"/>
      <c r="N175" s="322"/>
      <c r="O175" s="322"/>
      <c r="P175" s="322"/>
      <c r="Q175" s="322"/>
      <c r="R175" s="323"/>
      <c r="S175" s="42"/>
      <c r="T175" s="316" t="str">
        <f>VLOOKUP(G175,PL!$B$9:$BH$1265,14,FALSE)</f>
        <v>Anti-seize Compound</v>
      </c>
      <c r="U175" s="316"/>
      <c r="V175" s="316"/>
      <c r="W175" s="316"/>
      <c r="X175" s="316"/>
      <c r="Y175" s="316"/>
      <c r="Z175" s="316"/>
      <c r="AA175" s="316"/>
      <c r="AB175" s="316"/>
      <c r="AC175" s="316"/>
      <c r="AD175" s="316"/>
      <c r="AE175" s="316"/>
      <c r="AF175" s="316"/>
      <c r="AG175" s="316"/>
      <c r="AH175" s="316"/>
      <c r="AI175" s="316"/>
      <c r="AJ175" s="317"/>
      <c r="AK175" s="42"/>
      <c r="AL175" s="311">
        <f>SUM(BK175:DF175)</f>
        <v>1</v>
      </c>
      <c r="AM175" s="311"/>
      <c r="AN175" s="311"/>
      <c r="AO175" s="311"/>
      <c r="AP175" s="43"/>
      <c r="AQ175" s="111"/>
      <c r="AR175" s="308">
        <f>VLOOKUP(G175,PL!$B$9:$BH$818,52,FALSE)</f>
        <v>0</v>
      </c>
      <c r="AS175" s="309"/>
      <c r="AT175" s="309"/>
      <c r="AU175" s="309"/>
      <c r="AV175" s="309"/>
      <c r="AW175" s="309"/>
      <c r="AX175" s="309"/>
      <c r="AY175" s="309"/>
      <c r="AZ175" s="309"/>
      <c r="BA175" s="309"/>
      <c r="BB175" s="309"/>
      <c r="BC175" s="309"/>
      <c r="BD175" s="309"/>
      <c r="BE175" s="309"/>
      <c r="BF175" s="309"/>
      <c r="BG175" s="309"/>
      <c r="BH175" s="124"/>
      <c r="BI175" s="41"/>
      <c r="BK175" s="500">
        <f>ROUNDUP(SUM(BK127:DF127)/1000,0)</f>
        <v>1</v>
      </c>
      <c r="BL175" s="501"/>
      <c r="BM175" s="502"/>
      <c r="BN175" s="194"/>
      <c r="BO175" s="123"/>
      <c r="BP175" s="195"/>
      <c r="BQ175" s="194"/>
      <c r="BR175" s="123"/>
      <c r="BS175" s="195"/>
      <c r="BT175" s="194"/>
      <c r="BU175" s="123"/>
      <c r="BV175" s="195"/>
      <c r="BW175" s="194"/>
      <c r="BX175" s="123"/>
      <c r="BY175" s="195"/>
      <c r="BZ175" s="194"/>
      <c r="CA175" s="123"/>
      <c r="CB175" s="195"/>
      <c r="CC175" s="194"/>
      <c r="CD175" s="123"/>
      <c r="CE175" s="195"/>
      <c r="CF175" s="194"/>
      <c r="CG175" s="123"/>
      <c r="CH175" s="195"/>
      <c r="CI175" s="194"/>
      <c r="CJ175" s="123"/>
      <c r="CK175" s="195"/>
      <c r="CL175" s="194"/>
      <c r="CM175" s="123"/>
      <c r="CN175" s="195"/>
      <c r="CO175" s="194"/>
      <c r="CP175" s="123"/>
      <c r="CQ175" s="195"/>
      <c r="CR175" s="194"/>
      <c r="CS175" s="123"/>
      <c r="CT175" s="195"/>
      <c r="CU175" s="194"/>
      <c r="CV175" s="123"/>
      <c r="CW175" s="195"/>
      <c r="CX175" s="194"/>
      <c r="CY175" s="123"/>
      <c r="CZ175" s="195"/>
      <c r="DA175" s="194"/>
      <c r="DB175" s="123"/>
      <c r="DC175" s="195"/>
      <c r="DD175" s="194"/>
      <c r="DE175" s="123"/>
      <c r="DF175" s="195"/>
      <c r="DL175" s="105"/>
      <c r="DM175" s="105"/>
      <c r="DN175" s="105"/>
      <c r="DO175" s="105"/>
      <c r="DP175" s="105"/>
      <c r="DQ175" s="105"/>
      <c r="DR175" s="105"/>
      <c r="DS175" s="105"/>
    </row>
    <row r="176" spans="1:123" ht="7.4" customHeight="1" x14ac:dyDescent="0.5">
      <c r="A176" s="42"/>
      <c r="B176" s="42"/>
      <c r="C176" s="311"/>
      <c r="D176" s="311"/>
      <c r="E176" s="41"/>
      <c r="F176" s="42"/>
      <c r="G176" s="322"/>
      <c r="H176" s="322"/>
      <c r="I176" s="322"/>
      <c r="J176" s="322"/>
      <c r="K176" s="322"/>
      <c r="L176" s="322"/>
      <c r="M176" s="322"/>
      <c r="N176" s="322"/>
      <c r="O176" s="322"/>
      <c r="P176" s="322"/>
      <c r="Q176" s="322"/>
      <c r="R176" s="323"/>
      <c r="S176" s="42"/>
      <c r="T176" s="316"/>
      <c r="U176" s="316"/>
      <c r="V176" s="316"/>
      <c r="W176" s="316"/>
      <c r="X176" s="316"/>
      <c r="Y176" s="316"/>
      <c r="Z176" s="316"/>
      <c r="AA176" s="316"/>
      <c r="AB176" s="316"/>
      <c r="AC176" s="316"/>
      <c r="AD176" s="316"/>
      <c r="AE176" s="316"/>
      <c r="AF176" s="316"/>
      <c r="AG176" s="316"/>
      <c r="AH176" s="316"/>
      <c r="AI176" s="316"/>
      <c r="AJ176" s="317"/>
      <c r="AK176" s="42"/>
      <c r="AL176" s="311"/>
      <c r="AM176" s="311"/>
      <c r="AN176" s="311"/>
      <c r="AO176" s="311"/>
      <c r="AP176" s="43"/>
      <c r="AQ176" s="111"/>
      <c r="AR176" s="309"/>
      <c r="AS176" s="309"/>
      <c r="AT176" s="309"/>
      <c r="AU176" s="309"/>
      <c r="AV176" s="309"/>
      <c r="AW176" s="309"/>
      <c r="AX176" s="309"/>
      <c r="AY176" s="309"/>
      <c r="AZ176" s="309"/>
      <c r="BA176" s="309"/>
      <c r="BB176" s="309"/>
      <c r="BC176" s="309"/>
      <c r="BD176" s="309"/>
      <c r="BE176" s="309"/>
      <c r="BF176" s="309"/>
      <c r="BG176" s="309"/>
      <c r="BH176" s="124"/>
      <c r="BI176" s="41"/>
      <c r="BK176" s="500"/>
      <c r="BL176" s="501"/>
      <c r="BM176" s="502"/>
      <c r="BN176" s="194"/>
      <c r="BO176" s="123"/>
      <c r="BP176" s="195"/>
      <c r="BQ176" s="194"/>
      <c r="BR176" s="123"/>
      <c r="BS176" s="195"/>
      <c r="BT176" s="194"/>
      <c r="BU176" s="123"/>
      <c r="BV176" s="195"/>
      <c r="BW176" s="194"/>
      <c r="BX176" s="123"/>
      <c r="BY176" s="195"/>
      <c r="BZ176" s="194"/>
      <c r="CA176" s="123"/>
      <c r="CB176" s="195"/>
      <c r="CC176" s="194"/>
      <c r="CD176" s="123"/>
      <c r="CE176" s="195"/>
      <c r="CF176" s="194"/>
      <c r="CG176" s="123"/>
      <c r="CH176" s="195"/>
      <c r="CI176" s="194"/>
      <c r="CJ176" s="123"/>
      <c r="CK176" s="195"/>
      <c r="CL176" s="194"/>
      <c r="CM176" s="123"/>
      <c r="CN176" s="195"/>
      <c r="CO176" s="194"/>
      <c r="CP176" s="123"/>
      <c r="CQ176" s="195"/>
      <c r="CR176" s="194"/>
      <c r="CS176" s="123"/>
      <c r="CT176" s="195"/>
      <c r="CU176" s="194"/>
      <c r="CV176" s="123"/>
      <c r="CW176" s="195"/>
      <c r="CX176" s="194"/>
      <c r="CY176" s="123"/>
      <c r="CZ176" s="195"/>
      <c r="DA176" s="194"/>
      <c r="DB176" s="123"/>
      <c r="DC176" s="195"/>
      <c r="DD176" s="194"/>
      <c r="DE176" s="123"/>
      <c r="DF176" s="195"/>
      <c r="DL176" s="105"/>
      <c r="DM176" s="105"/>
      <c r="DN176" s="105"/>
      <c r="DO176" s="105"/>
      <c r="DP176" s="105"/>
      <c r="DQ176" s="105"/>
      <c r="DR176" s="105"/>
      <c r="DS176" s="105"/>
    </row>
    <row r="177" spans="1:123" ht="7.4" customHeight="1" x14ac:dyDescent="0.5">
      <c r="A177" s="42"/>
      <c r="B177" s="42"/>
      <c r="C177" s="75"/>
      <c r="D177" s="75"/>
      <c r="E177" s="41"/>
      <c r="F177" s="42"/>
      <c r="G177" s="56"/>
      <c r="H177" s="56"/>
      <c r="I177" s="56"/>
      <c r="J177" s="56"/>
      <c r="K177" s="56"/>
      <c r="L177" s="56"/>
      <c r="M177" s="56"/>
      <c r="N177" s="56"/>
      <c r="O177" s="56"/>
      <c r="P177" s="56"/>
      <c r="Q177" s="56"/>
      <c r="R177" s="126"/>
      <c r="S177" s="42"/>
      <c r="T177" s="116" t="str">
        <f>VLOOKUP(G175,PL!$B$9:$BH$1265,33,FALSE)</f>
        <v>Spanjaard Nickel Spray, 350ml</v>
      </c>
      <c r="U177" s="49"/>
      <c r="V177" s="49"/>
      <c r="W177" s="49"/>
      <c r="X177" s="49"/>
      <c r="Y177" s="49"/>
      <c r="Z177" s="49"/>
      <c r="AA177" s="49"/>
      <c r="AB177" s="49"/>
      <c r="AC177" s="49"/>
      <c r="AD177" s="49"/>
      <c r="AE177" s="49"/>
      <c r="AF177" s="49"/>
      <c r="AG177" s="49"/>
      <c r="AH177" s="49"/>
      <c r="AI177" s="49"/>
      <c r="AJ177" s="110"/>
      <c r="AK177" s="42"/>
      <c r="AL177" s="127"/>
      <c r="AM177" s="127"/>
      <c r="AN177" s="127"/>
      <c r="AO177" s="127"/>
      <c r="AP177" s="43"/>
      <c r="AQ177" s="111"/>
      <c r="AR177" s="112"/>
      <c r="AS177" s="112"/>
      <c r="AT177" s="112"/>
      <c r="AU177" s="112"/>
      <c r="AV177" s="112"/>
      <c r="AW177" s="112"/>
      <c r="AX177" s="112"/>
      <c r="AY177" s="112"/>
      <c r="AZ177" s="112"/>
      <c r="BA177" s="112"/>
      <c r="BB177" s="112"/>
      <c r="BC177" s="112"/>
      <c r="BD177" s="112"/>
      <c r="BE177" s="112"/>
      <c r="BF177" s="112"/>
      <c r="BG177" s="112"/>
      <c r="BH177" s="124"/>
      <c r="BI177" s="41"/>
      <c r="BK177" s="194"/>
      <c r="BL177" s="123"/>
      <c r="BM177" s="195"/>
      <c r="BN177" s="194"/>
      <c r="BO177" s="123"/>
      <c r="BP177" s="195"/>
      <c r="BQ177" s="194"/>
      <c r="BR177" s="123"/>
      <c r="BS177" s="195"/>
      <c r="BT177" s="194"/>
      <c r="BU177" s="123"/>
      <c r="BV177" s="195"/>
      <c r="BW177" s="194"/>
      <c r="BX177" s="123"/>
      <c r="BY177" s="195"/>
      <c r="BZ177" s="194"/>
      <c r="CA177" s="123"/>
      <c r="CB177" s="195"/>
      <c r="CC177" s="194"/>
      <c r="CD177" s="123"/>
      <c r="CE177" s="195"/>
      <c r="CF177" s="194"/>
      <c r="CG177" s="123"/>
      <c r="CH177" s="195"/>
      <c r="CI177" s="194"/>
      <c r="CJ177" s="123"/>
      <c r="CK177" s="195"/>
      <c r="CL177" s="194"/>
      <c r="CM177" s="123"/>
      <c r="CN177" s="195"/>
      <c r="CO177" s="194"/>
      <c r="CP177" s="123"/>
      <c r="CQ177" s="195"/>
      <c r="CR177" s="194"/>
      <c r="CS177" s="123"/>
      <c r="CT177" s="195"/>
      <c r="CU177" s="194"/>
      <c r="CV177" s="123"/>
      <c r="CW177" s="195"/>
      <c r="CX177" s="194"/>
      <c r="CY177" s="123"/>
      <c r="CZ177" s="195"/>
      <c r="DA177" s="194"/>
      <c r="DB177" s="123"/>
      <c r="DC177" s="195"/>
      <c r="DD177" s="194"/>
      <c r="DE177" s="123"/>
      <c r="DF177" s="195"/>
      <c r="DL177" s="105"/>
      <c r="DM177" s="105"/>
      <c r="DN177" s="105"/>
      <c r="DO177" s="105"/>
      <c r="DP177" s="105"/>
      <c r="DQ177" s="105"/>
      <c r="DR177" s="105"/>
      <c r="DS177" s="105"/>
    </row>
    <row r="178" spans="1:123" ht="7.4" customHeight="1" x14ac:dyDescent="0.5">
      <c r="A178" s="42"/>
      <c r="B178" s="42"/>
      <c r="C178" s="55"/>
      <c r="D178" s="55"/>
      <c r="E178" s="41"/>
      <c r="F178" s="42"/>
      <c r="G178" s="56"/>
      <c r="H178" s="56"/>
      <c r="I178" s="56"/>
      <c r="J178" s="56"/>
      <c r="K178" s="56"/>
      <c r="L178" s="56"/>
      <c r="M178" s="56"/>
      <c r="N178" s="56"/>
      <c r="O178" s="56"/>
      <c r="P178" s="56"/>
      <c r="Q178" s="56"/>
      <c r="R178" s="126"/>
      <c r="S178" s="42"/>
      <c r="AJ178" s="41"/>
      <c r="AK178" s="42"/>
      <c r="AL178" s="75"/>
      <c r="AM178" s="75"/>
      <c r="AN178" s="75"/>
      <c r="AO178" s="75"/>
      <c r="AP178" s="43"/>
      <c r="AQ178" s="42"/>
      <c r="AR178" s="119"/>
      <c r="AS178" s="119"/>
      <c r="AT178" s="119"/>
      <c r="AU178" s="119"/>
      <c r="AV178" s="119"/>
      <c r="AW178" s="119"/>
      <c r="AX178" s="105"/>
      <c r="AZ178" s="119"/>
      <c r="BA178" s="119"/>
      <c r="BB178" s="119"/>
      <c r="BC178" s="119"/>
      <c r="BD178" s="119"/>
      <c r="BE178" s="119"/>
      <c r="BF178" s="119"/>
      <c r="BG178" s="119"/>
      <c r="BH178" s="124"/>
      <c r="BI178" s="41"/>
      <c r="BK178" s="194"/>
      <c r="BL178" s="123"/>
      <c r="BM178" s="195"/>
      <c r="BN178" s="194"/>
      <c r="BO178" s="123"/>
      <c r="BP178" s="195"/>
      <c r="BQ178" s="194"/>
      <c r="BR178" s="123"/>
      <c r="BS178" s="195"/>
      <c r="BT178" s="194"/>
      <c r="BU178" s="123"/>
      <c r="BV178" s="195"/>
      <c r="BW178" s="194"/>
      <c r="BX178" s="123"/>
      <c r="BY178" s="195"/>
      <c r="BZ178" s="194"/>
      <c r="CA178" s="123"/>
      <c r="CB178" s="195"/>
      <c r="CC178" s="194"/>
      <c r="CD178" s="123"/>
      <c r="CE178" s="195"/>
      <c r="CF178" s="194"/>
      <c r="CG178" s="123"/>
      <c r="CH178" s="195"/>
      <c r="CI178" s="194"/>
      <c r="CJ178" s="123"/>
      <c r="CK178" s="195"/>
      <c r="CL178" s="194"/>
      <c r="CM178" s="123"/>
      <c r="CN178" s="195"/>
      <c r="CO178" s="194"/>
      <c r="CP178" s="123"/>
      <c r="CQ178" s="195"/>
      <c r="CR178" s="194"/>
      <c r="CS178" s="123"/>
      <c r="CT178" s="195"/>
      <c r="CU178" s="194"/>
      <c r="CV178" s="123"/>
      <c r="CW178" s="195"/>
      <c r="CX178" s="194"/>
      <c r="CY178" s="123"/>
      <c r="CZ178" s="195"/>
      <c r="DA178" s="194"/>
      <c r="DB178" s="123"/>
      <c r="DC178" s="195"/>
      <c r="DD178" s="194"/>
      <c r="DE178" s="123"/>
      <c r="DF178" s="195"/>
      <c r="DL178" s="105"/>
      <c r="DM178" s="105"/>
      <c r="DN178" s="105"/>
      <c r="DO178" s="105"/>
      <c r="DP178" s="105"/>
      <c r="DQ178" s="105"/>
      <c r="DR178" s="105"/>
      <c r="DS178" s="105"/>
    </row>
    <row r="179" spans="1:123" ht="7.4" customHeight="1" x14ac:dyDescent="0.5">
      <c r="A179" s="42"/>
      <c r="B179" s="42"/>
      <c r="C179" s="311">
        <f>C175+1</f>
        <v>16</v>
      </c>
      <c r="D179" s="311"/>
      <c r="E179" s="41"/>
      <c r="F179" s="42"/>
      <c r="G179" s="314" t="s">
        <v>55</v>
      </c>
      <c r="H179" s="314"/>
      <c r="I179" s="314"/>
      <c r="J179" s="314"/>
      <c r="K179" s="314"/>
      <c r="L179" s="314"/>
      <c r="M179" s="314"/>
      <c r="N179" s="314"/>
      <c r="O179" s="314"/>
      <c r="P179" s="314"/>
      <c r="Q179" s="314"/>
      <c r="R179" s="315"/>
      <c r="S179" s="42"/>
      <c r="T179" s="316" t="str">
        <f>IF(AL179=1,"Transport estimate","Transport excluded")</f>
        <v>Transport excluded</v>
      </c>
      <c r="U179" s="316"/>
      <c r="V179" s="316"/>
      <c r="W179" s="316"/>
      <c r="X179" s="316"/>
      <c r="Y179" s="316"/>
      <c r="Z179" s="316"/>
      <c r="AA179" s="316"/>
      <c r="AB179" s="316"/>
      <c r="AC179" s="316"/>
      <c r="AD179" s="316"/>
      <c r="AE179" s="316"/>
      <c r="AF179" s="316"/>
      <c r="AG179" s="316"/>
      <c r="AH179" s="316"/>
      <c r="AI179" s="316"/>
      <c r="AJ179" s="317"/>
      <c r="AK179" s="42"/>
      <c r="AL179" s="318">
        <v>0</v>
      </c>
      <c r="AM179" s="318"/>
      <c r="AN179" s="318"/>
      <c r="AO179" s="318"/>
      <c r="AP179" s="43"/>
      <c r="AQ179" s="111"/>
      <c r="AR179" s="308" t="str">
        <f>VLOOKUP(G179,PL!$B$9:$BH$818,52,FALSE)</f>
        <v>-</v>
      </c>
      <c r="AS179" s="309"/>
      <c r="AT179" s="309"/>
      <c r="AU179" s="309"/>
      <c r="AV179" s="309"/>
      <c r="AW179" s="309"/>
      <c r="AX179" s="309"/>
      <c r="AY179" s="309"/>
      <c r="AZ179" s="309"/>
      <c r="BA179" s="309"/>
      <c r="BB179" s="309"/>
      <c r="BC179" s="309"/>
      <c r="BD179" s="309"/>
      <c r="BE179" s="309"/>
      <c r="BF179" s="309"/>
      <c r="BG179" s="309"/>
      <c r="BH179" s="124"/>
      <c r="BI179" s="41"/>
      <c r="BK179" s="412"/>
      <c r="BL179" s="413"/>
      <c r="BM179" s="414"/>
      <c r="BN179" s="194"/>
      <c r="BO179" s="123"/>
      <c r="BP179" s="195"/>
      <c r="BQ179" s="194"/>
      <c r="BR179" s="123"/>
      <c r="BS179" s="195"/>
      <c r="BT179" s="194"/>
      <c r="BU179" s="123"/>
      <c r="BV179" s="195"/>
      <c r="BW179" s="194"/>
      <c r="BX179" s="123"/>
      <c r="BY179" s="195"/>
      <c r="BZ179" s="194"/>
      <c r="CA179" s="123"/>
      <c r="CB179" s="195"/>
      <c r="CC179" s="194"/>
      <c r="CD179" s="123"/>
      <c r="CE179" s="195"/>
      <c r="CF179" s="194"/>
      <c r="CG179" s="123"/>
      <c r="CH179" s="195"/>
      <c r="CI179" s="194"/>
      <c r="CJ179" s="123"/>
      <c r="CK179" s="195"/>
      <c r="CL179" s="194"/>
      <c r="CM179" s="123"/>
      <c r="CN179" s="195"/>
      <c r="CO179" s="194"/>
      <c r="CP179" s="123"/>
      <c r="CQ179" s="195"/>
      <c r="CR179" s="194"/>
      <c r="CS179" s="123"/>
      <c r="CT179" s="195"/>
      <c r="CU179" s="194"/>
      <c r="CV179" s="123"/>
      <c r="CW179" s="195"/>
      <c r="CX179" s="194"/>
      <c r="CY179" s="123"/>
      <c r="CZ179" s="195"/>
      <c r="DA179" s="194"/>
      <c r="DB179" s="123"/>
      <c r="DC179" s="195"/>
      <c r="DD179" s="194"/>
      <c r="DE179" s="123"/>
      <c r="DF179" s="195"/>
      <c r="DH179" s="311"/>
      <c r="DI179" s="311"/>
      <c r="DJ179" s="311"/>
      <c r="DK179" s="311"/>
      <c r="DL179" s="321"/>
      <c r="DM179" s="321"/>
      <c r="DN179" s="321"/>
      <c r="DO179" s="321"/>
      <c r="DP179" s="321"/>
      <c r="DQ179" s="321"/>
      <c r="DR179" s="321"/>
      <c r="DS179" s="321"/>
    </row>
    <row r="180" spans="1:123" ht="7.4" customHeight="1" x14ac:dyDescent="0.5">
      <c r="A180" s="42"/>
      <c r="B180" s="42"/>
      <c r="C180" s="311"/>
      <c r="D180" s="311"/>
      <c r="E180" s="41"/>
      <c r="F180" s="42"/>
      <c r="G180" s="314"/>
      <c r="H180" s="314"/>
      <c r="I180" s="314"/>
      <c r="J180" s="314"/>
      <c r="K180" s="314"/>
      <c r="L180" s="314"/>
      <c r="M180" s="314"/>
      <c r="N180" s="314"/>
      <c r="O180" s="314"/>
      <c r="P180" s="314"/>
      <c r="Q180" s="314"/>
      <c r="R180" s="315"/>
      <c r="S180" s="42"/>
      <c r="T180" s="316"/>
      <c r="U180" s="316"/>
      <c r="V180" s="316"/>
      <c r="W180" s="316"/>
      <c r="X180" s="316"/>
      <c r="Y180" s="316"/>
      <c r="Z180" s="316"/>
      <c r="AA180" s="316"/>
      <c r="AB180" s="316"/>
      <c r="AC180" s="316"/>
      <c r="AD180" s="316"/>
      <c r="AE180" s="316"/>
      <c r="AF180" s="316"/>
      <c r="AG180" s="316"/>
      <c r="AH180" s="316"/>
      <c r="AI180" s="316"/>
      <c r="AJ180" s="317"/>
      <c r="AK180" s="42"/>
      <c r="AL180" s="318"/>
      <c r="AM180" s="318"/>
      <c r="AN180" s="318"/>
      <c r="AO180" s="318"/>
      <c r="AP180" s="43"/>
      <c r="AQ180" s="111"/>
      <c r="AR180" s="309"/>
      <c r="AS180" s="309"/>
      <c r="AT180" s="309"/>
      <c r="AU180" s="309"/>
      <c r="AV180" s="309"/>
      <c r="AW180" s="309"/>
      <c r="AX180" s="309"/>
      <c r="AY180" s="309"/>
      <c r="AZ180" s="309"/>
      <c r="BA180" s="309"/>
      <c r="BB180" s="309"/>
      <c r="BC180" s="309"/>
      <c r="BD180" s="309"/>
      <c r="BE180" s="309"/>
      <c r="BF180" s="309"/>
      <c r="BG180" s="309"/>
      <c r="BH180" s="124"/>
      <c r="BI180" s="41"/>
      <c r="BK180" s="412"/>
      <c r="BL180" s="413"/>
      <c r="BM180" s="414"/>
      <c r="BN180" s="194"/>
      <c r="BO180" s="123"/>
      <c r="BP180" s="195"/>
      <c r="BQ180" s="194"/>
      <c r="BR180" s="123"/>
      <c r="BS180" s="195"/>
      <c r="BT180" s="194"/>
      <c r="BU180" s="123"/>
      <c r="BV180" s="195"/>
      <c r="BW180" s="194"/>
      <c r="BX180" s="123"/>
      <c r="BY180" s="195"/>
      <c r="BZ180" s="194"/>
      <c r="CA180" s="123"/>
      <c r="CB180" s="195"/>
      <c r="CC180" s="194"/>
      <c r="CD180" s="123"/>
      <c r="CE180" s="195"/>
      <c r="CF180" s="194"/>
      <c r="CG180" s="123"/>
      <c r="CH180" s="195"/>
      <c r="CI180" s="194"/>
      <c r="CJ180" s="123"/>
      <c r="CK180" s="195"/>
      <c r="CL180" s="194"/>
      <c r="CM180" s="123"/>
      <c r="CN180" s="195"/>
      <c r="CO180" s="194"/>
      <c r="CP180" s="123"/>
      <c r="CQ180" s="195"/>
      <c r="CR180" s="194"/>
      <c r="CS180" s="123"/>
      <c r="CT180" s="195"/>
      <c r="CU180" s="194"/>
      <c r="CV180" s="123"/>
      <c r="CW180" s="195"/>
      <c r="CX180" s="194"/>
      <c r="CY180" s="123"/>
      <c r="CZ180" s="195"/>
      <c r="DA180" s="194"/>
      <c r="DB180" s="123"/>
      <c r="DC180" s="195"/>
      <c r="DD180" s="194"/>
      <c r="DE180" s="123"/>
      <c r="DF180" s="195"/>
      <c r="DL180" s="105"/>
      <c r="DM180" s="105"/>
      <c r="DN180" s="105"/>
      <c r="DO180" s="105"/>
      <c r="DP180" s="105"/>
      <c r="DQ180" s="105"/>
      <c r="DR180" s="105"/>
      <c r="DS180" s="105"/>
    </row>
    <row r="181" spans="1:123" ht="7.4" customHeight="1" x14ac:dyDescent="0.5">
      <c r="A181" s="42"/>
      <c r="B181" s="42"/>
      <c r="C181" s="75"/>
      <c r="D181" s="75"/>
      <c r="E181" s="41"/>
      <c r="F181" s="42"/>
      <c r="G181" s="56"/>
      <c r="H181" s="56"/>
      <c r="I181" s="56"/>
      <c r="J181" s="56"/>
      <c r="K181" s="56"/>
      <c r="L181" s="56"/>
      <c r="M181" s="56"/>
      <c r="N181" s="56"/>
      <c r="O181" s="56"/>
      <c r="P181" s="56"/>
      <c r="Q181" s="56"/>
      <c r="R181" s="126"/>
      <c r="S181" s="42"/>
      <c r="T181" s="49"/>
      <c r="U181" s="49"/>
      <c r="V181" s="49"/>
      <c r="W181" s="49"/>
      <c r="X181" s="49"/>
      <c r="Y181" s="49"/>
      <c r="Z181" s="49"/>
      <c r="AA181" s="49"/>
      <c r="AB181" s="49"/>
      <c r="AC181" s="49"/>
      <c r="AD181" s="49"/>
      <c r="AE181" s="49"/>
      <c r="AF181" s="49"/>
      <c r="AG181" s="49"/>
      <c r="AH181" s="49"/>
      <c r="AI181" s="49"/>
      <c r="AJ181" s="110"/>
      <c r="AK181" s="42"/>
      <c r="AL181" s="127"/>
      <c r="AM181" s="127"/>
      <c r="AN181" s="127"/>
      <c r="AO181" s="127"/>
      <c r="AP181" s="43"/>
      <c r="AQ181" s="128"/>
      <c r="AR181" s="129"/>
      <c r="AS181" s="129"/>
      <c r="AT181" s="129"/>
      <c r="AU181" s="129"/>
      <c r="AV181" s="129"/>
      <c r="AW181" s="129"/>
      <c r="AX181" s="105"/>
      <c r="AY181" s="130"/>
      <c r="AZ181" s="131"/>
      <c r="BA181" s="131"/>
      <c r="BB181" s="131"/>
      <c r="BC181" s="131"/>
      <c r="BD181" s="131"/>
      <c r="BE181" s="131"/>
      <c r="BF181" s="131"/>
      <c r="BG181" s="131"/>
      <c r="BH181" s="124"/>
      <c r="BI181" s="41"/>
      <c r="BK181" s="198"/>
      <c r="BL181" s="199"/>
      <c r="BM181" s="200"/>
      <c r="BN181" s="194"/>
      <c r="BO181" s="123"/>
      <c r="BP181" s="195"/>
      <c r="BQ181" s="194"/>
      <c r="BR181" s="123"/>
      <c r="BS181" s="195"/>
      <c r="BT181" s="194"/>
      <c r="BU181" s="123"/>
      <c r="BV181" s="195"/>
      <c r="BW181" s="194"/>
      <c r="BX181" s="123"/>
      <c r="BY181" s="195"/>
      <c r="BZ181" s="194"/>
      <c r="CA181" s="123"/>
      <c r="CB181" s="195"/>
      <c r="CC181" s="194"/>
      <c r="CD181" s="123"/>
      <c r="CE181" s="195"/>
      <c r="CF181" s="194"/>
      <c r="CG181" s="123"/>
      <c r="CH181" s="195"/>
      <c r="CI181" s="194"/>
      <c r="CJ181" s="123"/>
      <c r="CK181" s="195"/>
      <c r="CL181" s="194"/>
      <c r="CM181" s="123"/>
      <c r="CN181" s="195"/>
      <c r="CO181" s="194"/>
      <c r="CP181" s="123"/>
      <c r="CQ181" s="195"/>
      <c r="CR181" s="194"/>
      <c r="CS181" s="123"/>
      <c r="CT181" s="195"/>
      <c r="CU181" s="194"/>
      <c r="CV181" s="123"/>
      <c r="CW181" s="195"/>
      <c r="CX181" s="194"/>
      <c r="CY181" s="123"/>
      <c r="CZ181" s="195"/>
      <c r="DA181" s="194"/>
      <c r="DB181" s="123"/>
      <c r="DC181" s="195"/>
      <c r="DD181" s="194"/>
      <c r="DE181" s="123"/>
      <c r="DF181" s="195"/>
      <c r="DL181" s="105"/>
      <c r="DM181" s="105"/>
      <c r="DN181" s="105"/>
      <c r="DO181" s="105"/>
      <c r="DP181" s="105"/>
      <c r="DQ181" s="105"/>
      <c r="DR181" s="105"/>
      <c r="DS181" s="105"/>
    </row>
    <row r="182" spans="1:123" ht="7.4" customHeight="1" x14ac:dyDescent="0.5">
      <c r="A182" s="42"/>
      <c r="B182" s="50"/>
      <c r="C182" s="51"/>
      <c r="D182" s="51"/>
      <c r="E182" s="52"/>
      <c r="F182" s="50"/>
      <c r="G182" s="132"/>
      <c r="H182" s="132"/>
      <c r="I182" s="132"/>
      <c r="J182" s="132"/>
      <c r="K182" s="132"/>
      <c r="L182" s="132"/>
      <c r="M182" s="132"/>
      <c r="N182" s="132"/>
      <c r="O182" s="132"/>
      <c r="P182" s="132"/>
      <c r="Q182" s="132"/>
      <c r="R182" s="204"/>
      <c r="S182" s="50"/>
      <c r="T182" s="51"/>
      <c r="U182" s="51"/>
      <c r="V182" s="51"/>
      <c r="W182" s="51"/>
      <c r="X182" s="51"/>
      <c r="Y182" s="51"/>
      <c r="Z182" s="51"/>
      <c r="AA182" s="51"/>
      <c r="AB182" s="51"/>
      <c r="AC182" s="51"/>
      <c r="AD182" s="51"/>
      <c r="AE182" s="51"/>
      <c r="AF182" s="51"/>
      <c r="AG182" s="51"/>
      <c r="AH182" s="51"/>
      <c r="AI182" s="51"/>
      <c r="AJ182" s="52"/>
      <c r="AK182" s="50"/>
      <c r="AL182" s="355"/>
      <c r="AM182" s="355"/>
      <c r="AN182" s="355"/>
      <c r="AO182" s="355"/>
      <c r="AP182" s="84"/>
      <c r="AQ182" s="50"/>
      <c r="AR182" s="135"/>
      <c r="AS182" s="135"/>
      <c r="AT182" s="135"/>
      <c r="AU182" s="135"/>
      <c r="AV182" s="135"/>
      <c r="AW182" s="135"/>
      <c r="AX182" s="135"/>
      <c r="AY182" s="51"/>
      <c r="AZ182" s="135"/>
      <c r="BA182" s="135"/>
      <c r="BB182" s="135"/>
      <c r="BC182" s="135"/>
      <c r="BD182" s="135"/>
      <c r="BE182" s="135"/>
      <c r="BF182" s="135"/>
      <c r="BG182" s="135"/>
      <c r="BH182" s="158"/>
      <c r="BI182" s="41"/>
      <c r="BK182" s="205"/>
      <c r="BL182" s="206"/>
      <c r="BM182" s="207"/>
      <c r="BN182" s="205"/>
      <c r="BO182" s="206"/>
      <c r="BP182" s="207"/>
      <c r="BQ182" s="205"/>
      <c r="BR182" s="206"/>
      <c r="BS182" s="207"/>
      <c r="BT182" s="205"/>
      <c r="BU182" s="206"/>
      <c r="BV182" s="207"/>
      <c r="BW182" s="205"/>
      <c r="BX182" s="206"/>
      <c r="BY182" s="207"/>
      <c r="BZ182" s="205"/>
      <c r="CA182" s="206"/>
      <c r="CB182" s="207"/>
      <c r="CC182" s="205"/>
      <c r="CD182" s="206"/>
      <c r="CE182" s="207"/>
      <c r="CF182" s="205"/>
      <c r="CG182" s="206"/>
      <c r="CH182" s="207"/>
      <c r="CI182" s="205"/>
      <c r="CJ182" s="206"/>
      <c r="CK182" s="207"/>
      <c r="CL182" s="205"/>
      <c r="CM182" s="206"/>
      <c r="CN182" s="207"/>
      <c r="CO182" s="205"/>
      <c r="CP182" s="206"/>
      <c r="CQ182" s="207"/>
      <c r="CR182" s="205"/>
      <c r="CS182" s="206"/>
      <c r="CT182" s="207"/>
      <c r="CU182" s="205"/>
      <c r="CV182" s="206"/>
      <c r="CW182" s="207"/>
      <c r="CX182" s="205"/>
      <c r="CY182" s="206"/>
      <c r="CZ182" s="207"/>
      <c r="DA182" s="205"/>
      <c r="DB182" s="206"/>
      <c r="DC182" s="207"/>
      <c r="DD182" s="205"/>
      <c r="DE182" s="206"/>
      <c r="DF182" s="207"/>
      <c r="DH182" s="311"/>
      <c r="DI182" s="311"/>
      <c r="DJ182" s="311"/>
      <c r="DK182" s="311"/>
      <c r="DL182" s="321"/>
      <c r="DM182" s="321"/>
      <c r="DN182" s="321"/>
      <c r="DO182" s="321"/>
      <c r="DP182" s="321"/>
      <c r="DQ182" s="321"/>
      <c r="DR182" s="321"/>
      <c r="DS182" s="321"/>
    </row>
    <row r="183" spans="1:123" ht="7.4" customHeight="1" x14ac:dyDescent="0.5">
      <c r="A183" s="50"/>
      <c r="B183" s="51"/>
      <c r="C183" s="51"/>
      <c r="D183" s="51"/>
      <c r="E183" s="51"/>
      <c r="F183" s="51"/>
      <c r="G183" s="51"/>
      <c r="H183" s="51"/>
      <c r="I183" s="51"/>
      <c r="J183" s="51"/>
      <c r="K183" s="51"/>
      <c r="L183" s="51"/>
      <c r="M183" s="51"/>
      <c r="N183" s="51"/>
      <c r="O183" s="51"/>
      <c r="P183" s="51"/>
      <c r="Q183" s="51"/>
      <c r="R183" s="51"/>
      <c r="S183" s="51"/>
      <c r="T183" s="51"/>
      <c r="U183" s="51"/>
      <c r="V183" s="51"/>
      <c r="W183" s="208"/>
      <c r="X183" s="208"/>
      <c r="Y183" s="208"/>
      <c r="Z183" s="208"/>
      <c r="AA183" s="208"/>
      <c r="AB183" s="51"/>
      <c r="AC183" s="51"/>
      <c r="AD183" s="208"/>
      <c r="AE183" s="208"/>
      <c r="AF183" s="208"/>
      <c r="AG183" s="208"/>
      <c r="AH183" s="208"/>
      <c r="AI183" s="51"/>
      <c r="AJ183" s="51"/>
      <c r="AK183" s="51"/>
      <c r="AL183" s="51"/>
      <c r="AM183" s="51"/>
      <c r="AN183" s="51"/>
      <c r="AO183" s="51"/>
      <c r="AP183" s="51"/>
      <c r="AQ183" s="51"/>
      <c r="AR183" s="51"/>
      <c r="AS183" s="51"/>
      <c r="AT183" s="51"/>
      <c r="AU183" s="51"/>
      <c r="AV183" s="51"/>
      <c r="AW183" s="51"/>
      <c r="AX183" s="51"/>
      <c r="AY183" s="51"/>
      <c r="AZ183" s="51"/>
      <c r="BA183" s="51"/>
      <c r="BB183" s="51"/>
      <c r="BC183" s="51"/>
      <c r="BD183" s="51"/>
      <c r="BE183" s="51"/>
      <c r="BF183" s="51"/>
      <c r="BG183" s="51"/>
      <c r="BH183" s="51"/>
      <c r="BI183" s="52"/>
    </row>
    <row r="184" spans="1:123" ht="7.4" customHeight="1" x14ac:dyDescent="0.5">
      <c r="A184" s="222"/>
      <c r="B184" s="222"/>
      <c r="C184" s="222"/>
      <c r="D184" s="222"/>
      <c r="E184" s="222"/>
      <c r="F184" s="222"/>
      <c r="G184" s="222"/>
      <c r="H184" s="222"/>
      <c r="I184" s="222"/>
      <c r="J184" s="222"/>
      <c r="K184" s="222"/>
      <c r="L184" s="222"/>
      <c r="M184" s="222"/>
      <c r="N184" s="222"/>
      <c r="O184" s="222"/>
      <c r="P184" s="222"/>
      <c r="Q184" s="222"/>
      <c r="R184" s="222"/>
      <c r="S184" s="222"/>
      <c r="T184" s="222"/>
      <c r="U184" s="222"/>
      <c r="V184" s="222"/>
      <c r="W184" s="222"/>
      <c r="X184" s="222"/>
      <c r="Y184" s="222"/>
      <c r="Z184" s="222"/>
      <c r="AA184" s="222"/>
      <c r="AB184" s="222"/>
      <c r="AC184" s="222"/>
      <c r="AD184" s="222"/>
      <c r="AE184" s="222"/>
      <c r="AF184" s="222"/>
      <c r="AG184" s="222"/>
      <c r="AH184" s="222"/>
      <c r="AI184" s="222"/>
      <c r="AJ184" s="222"/>
      <c r="AK184" s="222"/>
      <c r="AL184" s="222"/>
      <c r="AM184" s="222"/>
      <c r="AN184" s="222"/>
      <c r="AO184" s="222"/>
      <c r="AP184" s="222"/>
      <c r="AQ184" s="222"/>
      <c r="AR184" s="222"/>
      <c r="AS184" s="222"/>
      <c r="AT184" s="222"/>
      <c r="AU184" s="222"/>
      <c r="AV184" s="222"/>
      <c r="AW184" s="222"/>
      <c r="AX184" s="222"/>
      <c r="AY184" s="222"/>
      <c r="AZ184" s="222"/>
      <c r="BA184" s="222"/>
      <c r="BB184" s="222"/>
      <c r="BC184" s="222"/>
      <c r="BD184" s="222"/>
      <c r="BE184" s="222"/>
      <c r="BF184" s="222"/>
      <c r="BG184" s="222"/>
      <c r="BH184" s="222"/>
      <c r="BI184" s="222"/>
    </row>
    <row r="185" spans="1:123" ht="7.4" customHeight="1" x14ac:dyDescent="0.5">
      <c r="A185" s="505" t="s">
        <v>56</v>
      </c>
      <c r="B185" s="505"/>
      <c r="C185" s="505"/>
      <c r="D185" s="505"/>
      <c r="E185" s="505"/>
      <c r="F185" s="505"/>
      <c r="G185" s="505"/>
      <c r="H185" s="505"/>
      <c r="I185" s="505"/>
      <c r="J185" s="505"/>
      <c r="K185" s="505"/>
      <c r="L185" s="505"/>
      <c r="M185" s="505"/>
      <c r="N185" s="505"/>
      <c r="O185" s="505"/>
      <c r="P185" s="505"/>
      <c r="Q185" s="505"/>
      <c r="R185" s="505"/>
      <c r="S185" s="505"/>
      <c r="T185" s="505"/>
      <c r="U185" s="505"/>
      <c r="V185" s="505"/>
      <c r="W185" s="505"/>
      <c r="X185" s="505"/>
      <c r="Y185" s="505"/>
      <c r="Z185" s="505"/>
      <c r="AA185" s="505"/>
      <c r="AB185" s="505"/>
      <c r="AC185" s="505"/>
      <c r="AD185" s="505"/>
      <c r="AE185" s="505"/>
      <c r="AF185" s="505"/>
      <c r="AG185" s="505"/>
      <c r="AH185" s="505"/>
      <c r="AI185" s="505"/>
      <c r="AJ185" s="505"/>
      <c r="AK185" s="505"/>
      <c r="AL185" s="505"/>
      <c r="AM185" s="505"/>
      <c r="AN185" s="505"/>
      <c r="AO185" s="505"/>
      <c r="AP185" s="505"/>
      <c r="AQ185" s="505"/>
      <c r="AR185" s="505"/>
      <c r="AS185" s="505"/>
      <c r="AT185" s="505"/>
      <c r="AU185" s="505"/>
      <c r="AV185" s="505"/>
      <c r="AW185" s="505"/>
      <c r="AX185" s="505"/>
      <c r="AY185" s="505"/>
      <c r="AZ185" s="505"/>
      <c r="BA185" s="505"/>
      <c r="BB185" s="505"/>
      <c r="BC185" s="505"/>
      <c r="BD185" s="505"/>
      <c r="BE185" s="505"/>
      <c r="BF185" s="505"/>
      <c r="BG185" s="505"/>
      <c r="BH185" s="505"/>
      <c r="BI185" s="505"/>
    </row>
    <row r="186" spans="1:123" ht="7.4" customHeight="1" x14ac:dyDescent="0.5">
      <c r="A186" s="505"/>
      <c r="B186" s="505"/>
      <c r="C186" s="505"/>
      <c r="D186" s="505"/>
      <c r="E186" s="505"/>
      <c r="F186" s="505"/>
      <c r="G186" s="505"/>
      <c r="H186" s="505"/>
      <c r="I186" s="505"/>
      <c r="J186" s="505"/>
      <c r="K186" s="505"/>
      <c r="L186" s="505"/>
      <c r="M186" s="505"/>
      <c r="N186" s="505"/>
      <c r="O186" s="505"/>
      <c r="P186" s="505"/>
      <c r="Q186" s="505"/>
      <c r="R186" s="505"/>
      <c r="S186" s="505"/>
      <c r="T186" s="505"/>
      <c r="U186" s="505"/>
      <c r="V186" s="505"/>
      <c r="W186" s="505"/>
      <c r="X186" s="505"/>
      <c r="Y186" s="505"/>
      <c r="Z186" s="505"/>
      <c r="AA186" s="505"/>
      <c r="AB186" s="505"/>
      <c r="AC186" s="505"/>
      <c r="AD186" s="505"/>
      <c r="AE186" s="505"/>
      <c r="AF186" s="505"/>
      <c r="AG186" s="505"/>
      <c r="AH186" s="505"/>
      <c r="AI186" s="505"/>
      <c r="AJ186" s="505"/>
      <c r="AK186" s="505"/>
      <c r="AL186" s="505"/>
      <c r="AM186" s="505"/>
      <c r="AN186" s="505"/>
      <c r="AO186" s="505"/>
      <c r="AP186" s="505"/>
      <c r="AQ186" s="505"/>
      <c r="AR186" s="505"/>
      <c r="AS186" s="505"/>
      <c r="AT186" s="505"/>
      <c r="AU186" s="505"/>
      <c r="AV186" s="505"/>
      <c r="AW186" s="505"/>
      <c r="AX186" s="505"/>
      <c r="AY186" s="505"/>
      <c r="AZ186" s="505"/>
      <c r="BA186" s="505"/>
      <c r="BB186" s="505"/>
      <c r="BC186" s="505"/>
      <c r="BD186" s="505"/>
      <c r="BE186" s="505"/>
      <c r="BF186" s="505"/>
      <c r="BG186" s="505"/>
      <c r="BH186" s="505"/>
      <c r="BI186" s="505"/>
    </row>
    <row r="187" spans="1:123" ht="7.4" customHeight="1" x14ac:dyDescent="0.5">
      <c r="A187" s="222"/>
      <c r="B187" s="222"/>
      <c r="C187" s="222"/>
      <c r="D187" s="222"/>
      <c r="E187" s="222"/>
      <c r="F187" s="222"/>
      <c r="G187" s="222"/>
      <c r="H187" s="222"/>
      <c r="I187" s="222"/>
      <c r="J187" s="222"/>
      <c r="K187" s="222"/>
      <c r="L187" s="222"/>
      <c r="M187" s="222"/>
      <c r="N187" s="222"/>
      <c r="O187" s="222"/>
      <c r="P187" s="222"/>
      <c r="Q187" s="222"/>
      <c r="R187" s="222"/>
      <c r="S187" s="222"/>
      <c r="T187" s="222"/>
      <c r="U187" s="222"/>
      <c r="V187" s="222"/>
      <c r="W187" s="222"/>
      <c r="X187" s="222"/>
      <c r="Y187" s="222"/>
      <c r="Z187" s="222"/>
      <c r="AA187" s="222"/>
      <c r="AB187" s="222"/>
      <c r="AC187" s="222"/>
      <c r="AD187" s="222"/>
      <c r="AE187" s="222"/>
      <c r="AF187" s="222"/>
      <c r="AG187" s="222"/>
      <c r="AH187" s="222"/>
      <c r="AI187" s="222"/>
      <c r="AJ187" s="222"/>
      <c r="AK187" s="222"/>
      <c r="AL187" s="222"/>
      <c r="AM187" s="222"/>
      <c r="AN187" s="222"/>
      <c r="AO187" s="222"/>
      <c r="AP187" s="222"/>
      <c r="AQ187" s="222"/>
      <c r="AR187" s="222"/>
      <c r="AS187" s="222"/>
      <c r="AT187" s="222"/>
      <c r="AU187" s="222"/>
      <c r="AV187" s="222"/>
      <c r="AW187" s="222"/>
      <c r="AX187" s="222"/>
      <c r="AY187" s="222"/>
      <c r="AZ187" s="222"/>
      <c r="BA187" s="222"/>
      <c r="BB187" s="222"/>
      <c r="BC187" s="222"/>
      <c r="BD187" s="222"/>
      <c r="BE187" s="222"/>
      <c r="BF187" s="222"/>
      <c r="BG187" s="222"/>
      <c r="BH187" s="222"/>
      <c r="BI187" s="222"/>
    </row>
    <row r="188" spans="1:123" ht="7.4" customHeight="1" x14ac:dyDescent="0.5">
      <c r="A188" s="506" t="s">
        <v>57</v>
      </c>
      <c r="B188" s="506"/>
      <c r="C188" s="506"/>
      <c r="D188" s="506"/>
      <c r="E188" s="506"/>
      <c r="F188" s="506"/>
      <c r="G188" s="506"/>
      <c r="H188" s="506"/>
      <c r="I188" s="506"/>
      <c r="J188" s="506"/>
      <c r="K188" s="506"/>
      <c r="L188" s="506"/>
      <c r="M188" s="506"/>
      <c r="N188" s="506"/>
      <c r="O188" s="506"/>
      <c r="P188" s="506"/>
      <c r="Q188" s="506"/>
      <c r="R188" s="506"/>
      <c r="S188" s="506"/>
      <c r="T188" s="506"/>
      <c r="U188" s="506"/>
      <c r="V188" s="506"/>
      <c r="W188" s="506"/>
      <c r="X188" s="506"/>
      <c r="Y188" s="506"/>
      <c r="Z188" s="506"/>
      <c r="AA188" s="506"/>
      <c r="AB188" s="506"/>
      <c r="AC188" s="506"/>
      <c r="AD188" s="506"/>
      <c r="AE188" s="506"/>
      <c r="AF188" s="506"/>
      <c r="AG188" s="506"/>
      <c r="AH188" s="506"/>
      <c r="AI188" s="506"/>
      <c r="AJ188" s="506"/>
      <c r="AK188" s="506"/>
      <c r="AL188" s="506"/>
      <c r="AM188" s="506"/>
      <c r="AN188" s="506"/>
      <c r="AO188" s="506"/>
      <c r="AP188" s="506"/>
      <c r="AQ188" s="506"/>
      <c r="AR188" s="506"/>
      <c r="AS188" s="506"/>
      <c r="AT188" s="506"/>
      <c r="AU188" s="506"/>
      <c r="AV188" s="506"/>
      <c r="AW188" s="506"/>
      <c r="AX188" s="506"/>
      <c r="AY188" s="506"/>
      <c r="AZ188" s="506"/>
      <c r="BA188" s="506"/>
      <c r="BB188" s="506"/>
      <c r="BC188" s="506"/>
      <c r="BD188" s="506"/>
      <c r="BE188" s="506"/>
      <c r="BF188" s="506"/>
      <c r="BG188" s="506"/>
      <c r="BH188" s="506"/>
      <c r="BI188" s="506"/>
    </row>
    <row r="189" spans="1:123" ht="7.4" customHeight="1" x14ac:dyDescent="0.5">
      <c r="A189" s="506"/>
      <c r="B189" s="506"/>
      <c r="C189" s="506"/>
      <c r="D189" s="506"/>
      <c r="E189" s="506"/>
      <c r="F189" s="506"/>
      <c r="G189" s="506"/>
      <c r="H189" s="506"/>
      <c r="I189" s="506"/>
      <c r="J189" s="506"/>
      <c r="K189" s="506"/>
      <c r="L189" s="506"/>
      <c r="M189" s="506"/>
      <c r="N189" s="506"/>
      <c r="O189" s="506"/>
      <c r="P189" s="506"/>
      <c r="Q189" s="506"/>
      <c r="R189" s="506"/>
      <c r="S189" s="506"/>
      <c r="T189" s="506"/>
      <c r="U189" s="506"/>
      <c r="V189" s="506"/>
      <c r="W189" s="506"/>
      <c r="X189" s="506"/>
      <c r="Y189" s="506"/>
      <c r="Z189" s="506"/>
      <c r="AA189" s="506"/>
      <c r="AB189" s="506"/>
      <c r="AC189" s="506"/>
      <c r="AD189" s="506"/>
      <c r="AE189" s="506"/>
      <c r="AF189" s="506"/>
      <c r="AG189" s="506"/>
      <c r="AH189" s="506"/>
      <c r="AI189" s="506"/>
      <c r="AJ189" s="506"/>
      <c r="AK189" s="506"/>
      <c r="AL189" s="506"/>
      <c r="AM189" s="506"/>
      <c r="AN189" s="506"/>
      <c r="AO189" s="506"/>
      <c r="AP189" s="506"/>
      <c r="AQ189" s="506"/>
      <c r="AR189" s="506"/>
      <c r="AS189" s="506"/>
      <c r="AT189" s="506"/>
      <c r="AU189" s="506"/>
      <c r="AV189" s="506"/>
      <c r="AW189" s="506"/>
      <c r="AX189" s="506"/>
      <c r="AY189" s="506"/>
      <c r="AZ189" s="506"/>
      <c r="BA189" s="506"/>
      <c r="BB189" s="506"/>
      <c r="BC189" s="506"/>
      <c r="BD189" s="506"/>
      <c r="BE189" s="506"/>
      <c r="BF189" s="506"/>
      <c r="BG189" s="506"/>
      <c r="BH189" s="506"/>
      <c r="BI189" s="506"/>
    </row>
    <row r="190" spans="1:123" ht="7.4" customHeight="1" x14ac:dyDescent="0.5">
      <c r="A190" s="104"/>
      <c r="B190" s="104"/>
      <c r="C190" s="104"/>
      <c r="D190" s="104"/>
      <c r="E190" s="104"/>
      <c r="F190" s="104"/>
      <c r="G190" s="104"/>
      <c r="H190" s="104"/>
      <c r="I190" s="104"/>
      <c r="J190" s="104"/>
      <c r="K190" s="104"/>
      <c r="L190" s="104"/>
      <c r="M190" s="104"/>
      <c r="N190" s="104"/>
      <c r="O190" s="104"/>
      <c r="P190" s="104"/>
      <c r="Q190" s="104"/>
      <c r="R190" s="104"/>
      <c r="S190" s="104"/>
      <c r="T190" s="104"/>
      <c r="U190" s="104"/>
      <c r="V190" s="104"/>
      <c r="W190" s="104"/>
      <c r="X190" s="104"/>
      <c r="Y190" s="104"/>
      <c r="Z190" s="104"/>
      <c r="AA190" s="104"/>
      <c r="AB190" s="104"/>
      <c r="AC190" s="104"/>
      <c r="AD190" s="104"/>
      <c r="AE190" s="104"/>
      <c r="AF190" s="104"/>
      <c r="AG190" s="104"/>
      <c r="AH190" s="104"/>
      <c r="AI190" s="104"/>
      <c r="AJ190" s="104"/>
      <c r="AK190" s="104"/>
      <c r="AL190" s="104"/>
      <c r="AM190" s="104"/>
      <c r="AN190" s="104"/>
      <c r="AO190" s="104"/>
      <c r="AP190" s="104"/>
      <c r="AQ190" s="104"/>
      <c r="AR190" s="104"/>
      <c r="AS190" s="104"/>
      <c r="AT190" s="104"/>
      <c r="AU190" s="104"/>
      <c r="AV190" s="104"/>
      <c r="AW190" s="104"/>
      <c r="AX190" s="104"/>
      <c r="AY190" s="104"/>
      <c r="AZ190" s="104"/>
      <c r="BA190" s="104"/>
      <c r="BB190" s="104"/>
      <c r="BC190" s="104"/>
      <c r="BD190" s="104"/>
      <c r="BE190" s="104"/>
      <c r="BF190" s="104"/>
      <c r="BG190" s="104"/>
      <c r="BH190" s="104"/>
      <c r="BI190" s="104"/>
    </row>
  </sheetData>
  <sheetProtection algorithmName="SHA-512" hashValue="1iFXnD07CosIzpJ2UtFtX+DU0fKhJjL34Ap6O2q/9BD5OCCOVjQosTYGnp7KEyMYT+Mw1Xd9ccIG60uU3rMFBQ==" saltValue="LeXEmbjYQ/51TNOtx5JY8g==" spinCount="100000" sheet="1" objects="1" scenarios="1" selectLockedCells="1"/>
  <mergeCells count="593">
    <mergeCell ref="C1:AI9"/>
    <mergeCell ref="AN1:BH2"/>
    <mergeCell ref="AN3:BH4"/>
    <mergeCell ref="AN5:BH6"/>
    <mergeCell ref="AN7:BH8"/>
    <mergeCell ref="A10:AL15"/>
    <mergeCell ref="AN11:AV12"/>
    <mergeCell ref="AX11:BH12"/>
    <mergeCell ref="AN13:AV14"/>
    <mergeCell ref="AX13:BH14"/>
    <mergeCell ref="T21:AP22"/>
    <mergeCell ref="C25:AB27"/>
    <mergeCell ref="AF25:BG27"/>
    <mergeCell ref="C28:R30"/>
    <mergeCell ref="T28:AC30"/>
    <mergeCell ref="AF28:AM30"/>
    <mergeCell ref="AO28:BH30"/>
    <mergeCell ref="C17:F18"/>
    <mergeCell ref="G17:X18"/>
    <mergeCell ref="Y17:AC18"/>
    <mergeCell ref="AD17:AS18"/>
    <mergeCell ref="AT17:AW18"/>
    <mergeCell ref="AX17:BH18"/>
    <mergeCell ref="BK30:BL30"/>
    <mergeCell ref="BM30:BO30"/>
    <mergeCell ref="BP30:BR30"/>
    <mergeCell ref="C31:R33"/>
    <mergeCell ref="T31:AC33"/>
    <mergeCell ref="AF31:AM33"/>
    <mergeCell ref="AO31:AP33"/>
    <mergeCell ref="AQ31:AW33"/>
    <mergeCell ref="AX31:AZ33"/>
    <mergeCell ref="BA31:BB33"/>
    <mergeCell ref="BC31:BH33"/>
    <mergeCell ref="BK31:BL31"/>
    <mergeCell ref="BM31:BO31"/>
    <mergeCell ref="BP31:BR31"/>
    <mergeCell ref="BK32:BL32"/>
    <mergeCell ref="BM32:BO32"/>
    <mergeCell ref="BP32:BR32"/>
    <mergeCell ref="BK33:BL33"/>
    <mergeCell ref="BM33:BO33"/>
    <mergeCell ref="BP33:BR33"/>
    <mergeCell ref="AF34:AM37"/>
    <mergeCell ref="BK34:BL34"/>
    <mergeCell ref="BM34:BO34"/>
    <mergeCell ref="BP34:BR34"/>
    <mergeCell ref="AO35:AV36"/>
    <mergeCell ref="BK35:BL35"/>
    <mergeCell ref="BM35:BO35"/>
    <mergeCell ref="BP35:BR35"/>
    <mergeCell ref="B39:BH41"/>
    <mergeCell ref="C43:G45"/>
    <mergeCell ref="J43:N45"/>
    <mergeCell ref="Q43:T45"/>
    <mergeCell ref="W43:AS44"/>
    <mergeCell ref="AV43:AZ45"/>
    <mergeCell ref="B48:BH50"/>
    <mergeCell ref="M51:O52"/>
    <mergeCell ref="P51:R52"/>
    <mergeCell ref="S51:U52"/>
    <mergeCell ref="V51:X52"/>
    <mergeCell ref="Y51:AA52"/>
    <mergeCell ref="AB51:AD52"/>
    <mergeCell ref="AE51:AG52"/>
    <mergeCell ref="AH51:AJ52"/>
    <mergeCell ref="AK51:AM52"/>
    <mergeCell ref="BF51:BH52"/>
    <mergeCell ref="AN51:AP52"/>
    <mergeCell ref="AQ51:AS52"/>
    <mergeCell ref="AT51:AV52"/>
    <mergeCell ref="AW51:AY52"/>
    <mergeCell ref="BC43:BG45"/>
    <mergeCell ref="W45:Z45"/>
    <mergeCell ref="AE45:AH45"/>
    <mergeCell ref="AM45:AP45"/>
    <mergeCell ref="AZ51:BB52"/>
    <mergeCell ref="BC51:BE52"/>
    <mergeCell ref="AZ54:BB55"/>
    <mergeCell ref="AZ58:BB59"/>
    <mergeCell ref="BC58:BE59"/>
    <mergeCell ref="BF58:BH59"/>
    <mergeCell ref="C54:L55"/>
    <mergeCell ref="M54:O55"/>
    <mergeCell ref="P54:R55"/>
    <mergeCell ref="S54:U55"/>
    <mergeCell ref="V54:X55"/>
    <mergeCell ref="C58:L59"/>
    <mergeCell ref="M58:O59"/>
    <mergeCell ref="P58:R59"/>
    <mergeCell ref="S58:U59"/>
    <mergeCell ref="V58:X59"/>
    <mergeCell ref="Y58:AA59"/>
    <mergeCell ref="AB58:AD59"/>
    <mergeCell ref="AE58:AG59"/>
    <mergeCell ref="AK54:AM55"/>
    <mergeCell ref="Y54:AA55"/>
    <mergeCell ref="AB54:AD55"/>
    <mergeCell ref="AE54:AG55"/>
    <mergeCell ref="AH54:AJ55"/>
    <mergeCell ref="BC54:BE55"/>
    <mergeCell ref="BF54:BH55"/>
    <mergeCell ref="B62:U64"/>
    <mergeCell ref="AR62:BH64"/>
    <mergeCell ref="C65:M67"/>
    <mergeCell ref="N66:U67"/>
    <mergeCell ref="AS66:BD67"/>
    <mergeCell ref="BF66:BH69"/>
    <mergeCell ref="AS68:BD69"/>
    <mergeCell ref="AH58:AJ59"/>
    <mergeCell ref="AK58:AM59"/>
    <mergeCell ref="AN58:AP59"/>
    <mergeCell ref="AQ58:AS59"/>
    <mergeCell ref="AT58:AV59"/>
    <mergeCell ref="AW58:AY59"/>
    <mergeCell ref="AN54:AP55"/>
    <mergeCell ref="AQ54:AS55"/>
    <mergeCell ref="AT54:AV55"/>
    <mergeCell ref="AW54:AY55"/>
    <mergeCell ref="A81:BI82"/>
    <mergeCell ref="BK106:BP106"/>
    <mergeCell ref="BQ106:BW106"/>
    <mergeCell ref="BK107:BP108"/>
    <mergeCell ref="BQ107:BW108"/>
    <mergeCell ref="BK109:BP110"/>
    <mergeCell ref="BQ109:BV110"/>
    <mergeCell ref="BW109:CB110"/>
    <mergeCell ref="AS72:BD73"/>
    <mergeCell ref="BF72:BH73"/>
    <mergeCell ref="AS76:BD77"/>
    <mergeCell ref="BF76:BH77"/>
    <mergeCell ref="CO113:CT113"/>
    <mergeCell ref="C114:E117"/>
    <mergeCell ref="G114:R117"/>
    <mergeCell ref="T114:AJ117"/>
    <mergeCell ref="AL114:AP117"/>
    <mergeCell ref="BK115:BM116"/>
    <mergeCell ref="BN115:BP116"/>
    <mergeCell ref="BQ115:BS116"/>
    <mergeCell ref="CC109:CH110"/>
    <mergeCell ref="CI109:CN110"/>
    <mergeCell ref="CO109:CT110"/>
    <mergeCell ref="T110:AP111"/>
    <mergeCell ref="BK111:BP112"/>
    <mergeCell ref="BQ111:BV112"/>
    <mergeCell ref="BW111:CB112"/>
    <mergeCell ref="CC111:CH112"/>
    <mergeCell ref="CI111:CN112"/>
    <mergeCell ref="CO111:CT112"/>
    <mergeCell ref="DD115:DF116"/>
    <mergeCell ref="DH115:DK116"/>
    <mergeCell ref="DL115:DT116"/>
    <mergeCell ref="AL118:AO118"/>
    <mergeCell ref="CL115:CN116"/>
    <mergeCell ref="CO115:CQ116"/>
    <mergeCell ref="CR115:CT116"/>
    <mergeCell ref="CU115:CW116"/>
    <mergeCell ref="CX115:CZ116"/>
    <mergeCell ref="DA115:DC116"/>
    <mergeCell ref="BT115:BV116"/>
    <mergeCell ref="BW115:BY116"/>
    <mergeCell ref="BZ115:CB116"/>
    <mergeCell ref="CC115:CE116"/>
    <mergeCell ref="CF115:CH116"/>
    <mergeCell ref="CI115:CK116"/>
    <mergeCell ref="CL119:CN120"/>
    <mergeCell ref="BK119:BM120"/>
    <mergeCell ref="BN119:BP120"/>
    <mergeCell ref="BQ119:BS120"/>
    <mergeCell ref="BT119:BV120"/>
    <mergeCell ref="C119:D120"/>
    <mergeCell ref="G119:R120"/>
    <mergeCell ref="T119:AJ120"/>
    <mergeCell ref="AL119:AO120"/>
    <mergeCell ref="BT123:BV124"/>
    <mergeCell ref="BW123:BY124"/>
    <mergeCell ref="AL122:AO122"/>
    <mergeCell ref="C123:D124"/>
    <mergeCell ref="G123:R124"/>
    <mergeCell ref="T123:AJ124"/>
    <mergeCell ref="AL123:AO124"/>
    <mergeCell ref="DH119:DK120"/>
    <mergeCell ref="DL119:DS120"/>
    <mergeCell ref="C121:D121"/>
    <mergeCell ref="AL121:AO121"/>
    <mergeCell ref="DH121:DK121"/>
    <mergeCell ref="DL121:DS121"/>
    <mergeCell ref="CO119:CQ120"/>
    <mergeCell ref="CR119:CT120"/>
    <mergeCell ref="CU119:CW120"/>
    <mergeCell ref="CX119:CZ120"/>
    <mergeCell ref="DA119:DC120"/>
    <mergeCell ref="DD119:DF120"/>
    <mergeCell ref="BW119:BY120"/>
    <mergeCell ref="BZ119:CB120"/>
    <mergeCell ref="CC119:CE120"/>
    <mergeCell ref="CF119:CH120"/>
    <mergeCell ref="CI119:CK120"/>
    <mergeCell ref="AL126:AO126"/>
    <mergeCell ref="C127:D128"/>
    <mergeCell ref="G127:R128"/>
    <mergeCell ref="T127:AJ128"/>
    <mergeCell ref="AL127:AO128"/>
    <mergeCell ref="DL123:DS124"/>
    <mergeCell ref="AL125:AO125"/>
    <mergeCell ref="DH125:DK125"/>
    <mergeCell ref="DL125:DS125"/>
    <mergeCell ref="CR123:CT124"/>
    <mergeCell ref="CU123:CW124"/>
    <mergeCell ref="CX123:CZ124"/>
    <mergeCell ref="DA123:DC124"/>
    <mergeCell ref="DD123:DF124"/>
    <mergeCell ref="DH123:DK124"/>
    <mergeCell ref="BZ123:CB124"/>
    <mergeCell ref="CC123:CE124"/>
    <mergeCell ref="CF123:CH124"/>
    <mergeCell ref="CI123:CK124"/>
    <mergeCell ref="CL123:CN124"/>
    <mergeCell ref="CO123:CQ124"/>
    <mergeCell ref="BK123:BM124"/>
    <mergeCell ref="BN123:BP124"/>
    <mergeCell ref="BQ123:BS124"/>
    <mergeCell ref="DL127:DS128"/>
    <mergeCell ref="AL129:AO129"/>
    <mergeCell ref="DH129:DK129"/>
    <mergeCell ref="DL129:DS129"/>
    <mergeCell ref="CR127:CT128"/>
    <mergeCell ref="CU127:CW128"/>
    <mergeCell ref="CX127:CZ128"/>
    <mergeCell ref="DA127:DC128"/>
    <mergeCell ref="DD127:DF128"/>
    <mergeCell ref="DH127:DK128"/>
    <mergeCell ref="BZ127:CB128"/>
    <mergeCell ref="CC127:CE128"/>
    <mergeCell ref="CF127:CH128"/>
    <mergeCell ref="CI127:CK128"/>
    <mergeCell ref="CL127:CN128"/>
    <mergeCell ref="CO127:CQ128"/>
    <mergeCell ref="BK127:BM128"/>
    <mergeCell ref="BN127:BP128"/>
    <mergeCell ref="BQ127:BS128"/>
    <mergeCell ref="BT127:BV128"/>
    <mergeCell ref="BW127:BY128"/>
    <mergeCell ref="BN131:BP132"/>
    <mergeCell ref="BQ131:BS132"/>
    <mergeCell ref="BT131:BV132"/>
    <mergeCell ref="BW131:BY132"/>
    <mergeCell ref="AL130:AO130"/>
    <mergeCell ref="C131:D132"/>
    <mergeCell ref="G131:R132"/>
    <mergeCell ref="T131:AJ132"/>
    <mergeCell ref="AL131:AO132"/>
    <mergeCell ref="BW135:BY136"/>
    <mergeCell ref="AL134:AO134"/>
    <mergeCell ref="C135:D136"/>
    <mergeCell ref="G135:R136"/>
    <mergeCell ref="T135:AJ136"/>
    <mergeCell ref="AL135:AO136"/>
    <mergeCell ref="DL131:DS132"/>
    <mergeCell ref="C133:D133"/>
    <mergeCell ref="AL133:AO133"/>
    <mergeCell ref="DH133:DK133"/>
    <mergeCell ref="DL133:DS133"/>
    <mergeCell ref="CR131:CT132"/>
    <mergeCell ref="CU131:CW132"/>
    <mergeCell ref="CX131:CZ132"/>
    <mergeCell ref="DA131:DC132"/>
    <mergeCell ref="DD131:DF132"/>
    <mergeCell ref="DH131:DK132"/>
    <mergeCell ref="BZ131:CB132"/>
    <mergeCell ref="CC131:CE132"/>
    <mergeCell ref="CF131:CH132"/>
    <mergeCell ref="CI131:CK132"/>
    <mergeCell ref="CL131:CN132"/>
    <mergeCell ref="CO131:CQ132"/>
    <mergeCell ref="BK131:BM132"/>
    <mergeCell ref="BQ139:BS140"/>
    <mergeCell ref="BT139:BV140"/>
    <mergeCell ref="DL135:DS136"/>
    <mergeCell ref="AL138:AO138"/>
    <mergeCell ref="C139:D140"/>
    <mergeCell ref="G139:R140"/>
    <mergeCell ref="T139:AJ140"/>
    <mergeCell ref="AL139:AO140"/>
    <mergeCell ref="CR135:CT136"/>
    <mergeCell ref="CU135:CW136"/>
    <mergeCell ref="CX135:CZ136"/>
    <mergeCell ref="DA135:DC136"/>
    <mergeCell ref="DD135:DF136"/>
    <mergeCell ref="DH135:DK136"/>
    <mergeCell ref="BZ135:CB136"/>
    <mergeCell ref="CC135:CE136"/>
    <mergeCell ref="CF135:CH136"/>
    <mergeCell ref="CI135:CK136"/>
    <mergeCell ref="CL135:CN136"/>
    <mergeCell ref="CO135:CQ136"/>
    <mergeCell ref="BK135:BM136"/>
    <mergeCell ref="BN135:BP136"/>
    <mergeCell ref="BQ135:BS136"/>
    <mergeCell ref="BT135:BV136"/>
    <mergeCell ref="C142:D142"/>
    <mergeCell ref="AL142:AO142"/>
    <mergeCell ref="DH142:DK142"/>
    <mergeCell ref="DL142:DS142"/>
    <mergeCell ref="DH139:DK140"/>
    <mergeCell ref="DL139:DS140"/>
    <mergeCell ref="C141:D141"/>
    <mergeCell ref="AL141:AO141"/>
    <mergeCell ref="DH141:DK141"/>
    <mergeCell ref="DL141:DS141"/>
    <mergeCell ref="CO139:CQ140"/>
    <mergeCell ref="CR139:CT140"/>
    <mergeCell ref="CU139:CW140"/>
    <mergeCell ref="CX139:CZ140"/>
    <mergeCell ref="DA139:DC140"/>
    <mergeCell ref="DD139:DF140"/>
    <mergeCell ref="BW139:BY140"/>
    <mergeCell ref="BZ139:CB140"/>
    <mergeCell ref="CC139:CE140"/>
    <mergeCell ref="CF139:CH140"/>
    <mergeCell ref="CI139:CK140"/>
    <mergeCell ref="CL139:CN140"/>
    <mergeCell ref="BK139:BM140"/>
    <mergeCell ref="BN139:BP140"/>
    <mergeCell ref="CL143:CN144"/>
    <mergeCell ref="BK143:BM144"/>
    <mergeCell ref="BN143:BP144"/>
    <mergeCell ref="BQ143:BS144"/>
    <mergeCell ref="BT143:BV144"/>
    <mergeCell ref="C143:D144"/>
    <mergeCell ref="G143:R144"/>
    <mergeCell ref="T143:AJ144"/>
    <mergeCell ref="AL143:AO144"/>
    <mergeCell ref="T147:AJ148"/>
    <mergeCell ref="AL147:AO148"/>
    <mergeCell ref="C146:D146"/>
    <mergeCell ref="AL146:AO146"/>
    <mergeCell ref="DH146:DK146"/>
    <mergeCell ref="DL146:DS146"/>
    <mergeCell ref="DH143:DK144"/>
    <mergeCell ref="DL143:DS144"/>
    <mergeCell ref="C145:D145"/>
    <mergeCell ref="AL145:AO145"/>
    <mergeCell ref="DH145:DK145"/>
    <mergeCell ref="DL145:DS145"/>
    <mergeCell ref="AR143:BG144"/>
    <mergeCell ref="CO143:CQ144"/>
    <mergeCell ref="CR143:CT144"/>
    <mergeCell ref="CU143:CW144"/>
    <mergeCell ref="CX143:CZ144"/>
    <mergeCell ref="DA143:DC144"/>
    <mergeCell ref="DD143:DF144"/>
    <mergeCell ref="BW143:BY144"/>
    <mergeCell ref="BZ143:CB144"/>
    <mergeCell ref="CC143:CE144"/>
    <mergeCell ref="CF143:CH144"/>
    <mergeCell ref="CI143:CK144"/>
    <mergeCell ref="DH147:DK148"/>
    <mergeCell ref="DL147:DS148"/>
    <mergeCell ref="C149:D149"/>
    <mergeCell ref="AL149:AO149"/>
    <mergeCell ref="DH149:DK149"/>
    <mergeCell ref="DL149:DS149"/>
    <mergeCell ref="AR147:BG148"/>
    <mergeCell ref="CO147:CQ148"/>
    <mergeCell ref="CR147:CT148"/>
    <mergeCell ref="CU147:CW148"/>
    <mergeCell ref="CX147:CZ148"/>
    <mergeCell ref="DA147:DC148"/>
    <mergeCell ref="DD147:DF148"/>
    <mergeCell ref="BW147:BY148"/>
    <mergeCell ref="BZ147:CB148"/>
    <mergeCell ref="CC147:CE148"/>
    <mergeCell ref="CF147:CH148"/>
    <mergeCell ref="CI147:CK148"/>
    <mergeCell ref="CL147:CN148"/>
    <mergeCell ref="BK147:BM148"/>
    <mergeCell ref="BN147:BP148"/>
    <mergeCell ref="BQ147:BS148"/>
    <mergeCell ref="BT147:BV148"/>
    <mergeCell ref="C147:D148"/>
    <mergeCell ref="BT151:BV152"/>
    <mergeCell ref="C151:D152"/>
    <mergeCell ref="G151:R152"/>
    <mergeCell ref="T151:AJ152"/>
    <mergeCell ref="AL151:AO152"/>
    <mergeCell ref="C150:D150"/>
    <mergeCell ref="AL150:AO150"/>
    <mergeCell ref="DH150:DK150"/>
    <mergeCell ref="DL150:DS150"/>
    <mergeCell ref="DH154:DK154"/>
    <mergeCell ref="DL154:DS154"/>
    <mergeCell ref="DH151:DK152"/>
    <mergeCell ref="DL151:DS152"/>
    <mergeCell ref="C153:D153"/>
    <mergeCell ref="AL153:AO153"/>
    <mergeCell ref="DH153:DK153"/>
    <mergeCell ref="DL153:DS153"/>
    <mergeCell ref="AR151:BG152"/>
    <mergeCell ref="CO151:CQ152"/>
    <mergeCell ref="CR151:CT152"/>
    <mergeCell ref="CU151:CW152"/>
    <mergeCell ref="CX151:CZ152"/>
    <mergeCell ref="DA151:DC152"/>
    <mergeCell ref="DD151:DF152"/>
    <mergeCell ref="BW151:BY152"/>
    <mergeCell ref="BZ151:CB152"/>
    <mergeCell ref="CC151:CE152"/>
    <mergeCell ref="CF151:CH152"/>
    <mergeCell ref="CI151:CK152"/>
    <mergeCell ref="CL151:CN152"/>
    <mergeCell ref="BK151:BM152"/>
    <mergeCell ref="BN151:BP152"/>
    <mergeCell ref="BQ151:BS152"/>
    <mergeCell ref="DH155:DK156"/>
    <mergeCell ref="DL155:DS156"/>
    <mergeCell ref="C157:D157"/>
    <mergeCell ref="AL157:AO157"/>
    <mergeCell ref="DH157:DK157"/>
    <mergeCell ref="DL157:DS157"/>
    <mergeCell ref="AR155:BG156"/>
    <mergeCell ref="CO155:CQ156"/>
    <mergeCell ref="CR155:CT156"/>
    <mergeCell ref="CU155:CW156"/>
    <mergeCell ref="CX155:CZ156"/>
    <mergeCell ref="DA155:DC156"/>
    <mergeCell ref="DD155:DF156"/>
    <mergeCell ref="BW155:BY156"/>
    <mergeCell ref="BZ155:CB156"/>
    <mergeCell ref="CC155:CE156"/>
    <mergeCell ref="CF155:CH156"/>
    <mergeCell ref="CI155:CK156"/>
    <mergeCell ref="CL155:CN156"/>
    <mergeCell ref="BK155:BM156"/>
    <mergeCell ref="BN155:BP156"/>
    <mergeCell ref="BQ155:BS156"/>
    <mergeCell ref="BT155:BV156"/>
    <mergeCell ref="C155:D156"/>
    <mergeCell ref="BT159:BV160"/>
    <mergeCell ref="C159:D160"/>
    <mergeCell ref="G159:R160"/>
    <mergeCell ref="T159:AJ160"/>
    <mergeCell ref="AL159:AO160"/>
    <mergeCell ref="C158:D158"/>
    <mergeCell ref="AL158:AO158"/>
    <mergeCell ref="DH158:DK158"/>
    <mergeCell ref="DL158:DS158"/>
    <mergeCell ref="DH162:DK162"/>
    <mergeCell ref="DL162:DS162"/>
    <mergeCell ref="DH159:DK160"/>
    <mergeCell ref="DL159:DS160"/>
    <mergeCell ref="C161:D161"/>
    <mergeCell ref="AL161:AO161"/>
    <mergeCell ref="DH161:DK161"/>
    <mergeCell ref="DL161:DS161"/>
    <mergeCell ref="AR159:BG160"/>
    <mergeCell ref="CO159:CQ160"/>
    <mergeCell ref="CR159:CT160"/>
    <mergeCell ref="CU159:CW160"/>
    <mergeCell ref="CX159:CZ160"/>
    <mergeCell ref="DA159:DC160"/>
    <mergeCell ref="DD159:DF160"/>
    <mergeCell ref="BW159:BY160"/>
    <mergeCell ref="BZ159:CB160"/>
    <mergeCell ref="CC159:CE160"/>
    <mergeCell ref="CF159:CH160"/>
    <mergeCell ref="CI159:CK160"/>
    <mergeCell ref="CL159:CN160"/>
    <mergeCell ref="BK159:BM160"/>
    <mergeCell ref="BN159:BP160"/>
    <mergeCell ref="BQ159:BS160"/>
    <mergeCell ref="CL163:CN164"/>
    <mergeCell ref="BK163:BM164"/>
    <mergeCell ref="BN163:BP164"/>
    <mergeCell ref="BQ163:BS164"/>
    <mergeCell ref="BT163:BV164"/>
    <mergeCell ref="C163:D164"/>
    <mergeCell ref="G163:R164"/>
    <mergeCell ref="T163:AJ164"/>
    <mergeCell ref="AL163:AO164"/>
    <mergeCell ref="DH166:DK166"/>
    <mergeCell ref="DL166:DS166"/>
    <mergeCell ref="C167:D168"/>
    <mergeCell ref="G167:R168"/>
    <mergeCell ref="T167:AJ168"/>
    <mergeCell ref="AL167:AO168"/>
    <mergeCell ref="DH163:DK164"/>
    <mergeCell ref="DL163:DS164"/>
    <mergeCell ref="C165:D165"/>
    <mergeCell ref="AL165:AO165"/>
    <mergeCell ref="DH165:DK165"/>
    <mergeCell ref="DL165:DS165"/>
    <mergeCell ref="AR163:BG164"/>
    <mergeCell ref="CO163:CQ164"/>
    <mergeCell ref="CR163:CT164"/>
    <mergeCell ref="CU163:CW164"/>
    <mergeCell ref="CX163:CZ164"/>
    <mergeCell ref="DA163:DC164"/>
    <mergeCell ref="DD163:DF164"/>
    <mergeCell ref="BW163:BY164"/>
    <mergeCell ref="BZ163:CB164"/>
    <mergeCell ref="CC163:CE164"/>
    <mergeCell ref="CF163:CH164"/>
    <mergeCell ref="CI163:CK164"/>
    <mergeCell ref="DD167:DF168"/>
    <mergeCell ref="DH167:DK168"/>
    <mergeCell ref="DL167:DS168"/>
    <mergeCell ref="AL169:AO169"/>
    <mergeCell ref="DH169:DK169"/>
    <mergeCell ref="DL169:DS169"/>
    <mergeCell ref="AR167:BG168"/>
    <mergeCell ref="CL167:CN168"/>
    <mergeCell ref="CO167:CQ168"/>
    <mergeCell ref="CR167:CT168"/>
    <mergeCell ref="CU167:CW168"/>
    <mergeCell ref="CX167:CZ168"/>
    <mergeCell ref="DA167:DC168"/>
    <mergeCell ref="BT167:BV168"/>
    <mergeCell ref="BW167:BY168"/>
    <mergeCell ref="BZ167:CB168"/>
    <mergeCell ref="CC167:CE168"/>
    <mergeCell ref="CF167:CH168"/>
    <mergeCell ref="CI167:CK168"/>
    <mergeCell ref="BK167:BM168"/>
    <mergeCell ref="BN167:BP168"/>
    <mergeCell ref="BQ167:BS168"/>
    <mergeCell ref="BN171:BP172"/>
    <mergeCell ref="BQ171:BS172"/>
    <mergeCell ref="AL170:AO170"/>
    <mergeCell ref="DH170:DK170"/>
    <mergeCell ref="DL170:DS170"/>
    <mergeCell ref="C171:D172"/>
    <mergeCell ref="G171:R172"/>
    <mergeCell ref="T171:AJ172"/>
    <mergeCell ref="AL171:AO172"/>
    <mergeCell ref="BK175:BM176"/>
    <mergeCell ref="AL174:AO174"/>
    <mergeCell ref="DH174:DK174"/>
    <mergeCell ref="DL174:DS174"/>
    <mergeCell ref="DD171:DF172"/>
    <mergeCell ref="DH171:DK172"/>
    <mergeCell ref="DL171:DS172"/>
    <mergeCell ref="AL173:AO173"/>
    <mergeCell ref="DH173:DK173"/>
    <mergeCell ref="DL173:DS173"/>
    <mergeCell ref="AR171:BG172"/>
    <mergeCell ref="CL171:CN172"/>
    <mergeCell ref="CO171:CQ172"/>
    <mergeCell ref="CR171:CT172"/>
    <mergeCell ref="CU171:CW172"/>
    <mergeCell ref="CX171:CZ172"/>
    <mergeCell ref="DA171:DC172"/>
    <mergeCell ref="BT171:BV172"/>
    <mergeCell ref="BW171:BY172"/>
    <mergeCell ref="BZ171:CB172"/>
    <mergeCell ref="CC171:CE172"/>
    <mergeCell ref="CF171:CH172"/>
    <mergeCell ref="CI171:CK172"/>
    <mergeCell ref="BK171:BM172"/>
    <mergeCell ref="DH182:DK182"/>
    <mergeCell ref="DL182:DS182"/>
    <mergeCell ref="BK179:BM180"/>
    <mergeCell ref="DH179:DK179"/>
    <mergeCell ref="DL179:DS179"/>
    <mergeCell ref="AR179:BG180"/>
    <mergeCell ref="C179:D180"/>
    <mergeCell ref="G179:R180"/>
    <mergeCell ref="T179:AJ180"/>
    <mergeCell ref="AL179:AO180"/>
    <mergeCell ref="C175:D176"/>
    <mergeCell ref="G175:R176"/>
    <mergeCell ref="T175:AJ176"/>
    <mergeCell ref="AL175:AO176"/>
    <mergeCell ref="A185:BI186"/>
    <mergeCell ref="A188:BI189"/>
    <mergeCell ref="AQ114:BH117"/>
    <mergeCell ref="AR119:BG120"/>
    <mergeCell ref="AR123:BG124"/>
    <mergeCell ref="AR127:BG128"/>
    <mergeCell ref="AR131:BG132"/>
    <mergeCell ref="AR135:BG136"/>
    <mergeCell ref="AR139:BG140"/>
    <mergeCell ref="AL182:AO182"/>
    <mergeCell ref="AR175:BG176"/>
    <mergeCell ref="AL166:AO166"/>
    <mergeCell ref="C162:D162"/>
    <mergeCell ref="AL162:AO162"/>
    <mergeCell ref="G155:R156"/>
    <mergeCell ref="T155:AJ156"/>
    <mergeCell ref="AL155:AO156"/>
    <mergeCell ref="C154:D154"/>
    <mergeCell ref="AL154:AO154"/>
    <mergeCell ref="G147:R148"/>
  </mergeCells>
  <dataValidations count="4">
    <dataValidation type="list" allowBlank="1" showInputMessage="1" showErrorMessage="1" sqref="AO31:AP33" xr:uid="{22EA2091-5CCC-4CB5-8421-CA1BD958DDAE}">
      <formula1>"10,15,20,25,30"</formula1>
    </dataValidation>
    <dataValidation type="list" allowBlank="1" showInputMessage="1" showErrorMessage="1" sqref="AO35:AV36" xr:uid="{38FB15B2-2DF9-4C0E-8206-DFF886799E21}">
      <formula1>$BK$1:$BK$26</formula1>
    </dataValidation>
    <dataValidation type="list" allowBlank="1" showInputMessage="1" showErrorMessage="1" sqref="N66" xr:uid="{73DF9B5B-CD1C-46D1-BE3E-A172D1A994E3}">
      <formula1>"Included,Not Included"</formula1>
    </dataValidation>
    <dataValidation type="list" allowBlank="1" showInputMessage="1" showErrorMessage="1" sqref="CI111:CN112" xr:uid="{AD53F1B2-6623-4FFC-A6B7-4D1D18C3331F}">
      <formula1>"EUR,USD,ZAR"</formula1>
    </dataValidation>
  </dataValidations>
  <pageMargins left="0.7" right="0.7" top="0.75" bottom="0.75" header="0.3" footer="0.3"/>
  <pageSetup paperSize="9" scale="85" fitToWidth="0" fitToHeight="0" orientation="portrait" r:id="rId1"/>
  <headerFooter>
    <oddFooter>&amp;R&amp;"Yu Gothic Medium,Regular"&amp;10Page &amp;P of &amp;N</oddFooter>
  </headerFooter>
  <rowBreaks count="1" manualBreakCount="1">
    <brk id="108" max="60"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6F099-C9F6-4313-9C9A-4EFFD24C4E9A}">
  <sheetPr codeName="Sheet41">
    <tabColor rgb="FF92D050"/>
  </sheetPr>
  <dimension ref="A1:DZ182"/>
  <sheetViews>
    <sheetView view="pageBreakPreview" zoomScale="74" zoomScaleNormal="100" zoomScaleSheetLayoutView="100" workbookViewId="0">
      <selection activeCell="BF76" sqref="BF76:BH77"/>
    </sheetView>
  </sheetViews>
  <sheetFormatPr defaultColWidth="1.54296875" defaultRowHeight="7.4" customHeight="1" x14ac:dyDescent="0.5"/>
  <cols>
    <col min="1" max="2" width="1.54296875" style="24"/>
    <col min="3" max="3" width="1.453125" style="24" customWidth="1"/>
    <col min="4" max="6" width="1.54296875" style="24"/>
    <col min="7" max="7" width="1.54296875" style="24" customWidth="1"/>
    <col min="8" max="19" width="1.54296875" style="24"/>
    <col min="20" max="20" width="1.453125" style="24" customWidth="1"/>
    <col min="21" max="22" width="1.54296875" style="24"/>
    <col min="23" max="23" width="1.54296875" style="24" customWidth="1"/>
    <col min="24" max="30" width="1.54296875" style="24"/>
    <col min="31" max="31" width="1.54296875" style="24" customWidth="1"/>
    <col min="32" max="38" width="1.54296875" style="24"/>
    <col min="39" max="39" width="1.54296875" style="24" customWidth="1"/>
    <col min="40" max="42" width="1.54296875" style="24"/>
    <col min="43" max="44" width="1.54296875" style="24" customWidth="1"/>
    <col min="45" max="47" width="1.54296875" style="24"/>
    <col min="48" max="52" width="1.54296875" style="24" customWidth="1"/>
    <col min="53" max="54" width="1.54296875" style="24"/>
    <col min="55" max="55" width="1.453125" style="24" customWidth="1"/>
    <col min="56" max="61" width="1.54296875" style="24"/>
    <col min="62" max="67" width="0" style="24" hidden="1" customWidth="1"/>
    <col min="68" max="68" width="1.453125" style="24" hidden="1" customWidth="1"/>
    <col min="69" max="92" width="0" style="24" hidden="1" customWidth="1"/>
    <col min="93" max="93" width="1.453125" style="24" hidden="1" customWidth="1"/>
    <col min="94" max="111" width="0" style="24" hidden="1" customWidth="1"/>
    <col min="112" max="116" width="0" style="75" hidden="1" customWidth="1"/>
    <col min="117" max="129" width="0" style="24" hidden="1" customWidth="1"/>
    <col min="130" max="130" width="1.54296875" style="24" hidden="1" customWidth="1"/>
    <col min="131" max="131" width="0" style="24" hidden="1" customWidth="1"/>
    <col min="132" max="16384" width="1.54296875" style="24"/>
  </cols>
  <sheetData>
    <row r="1" spans="1:63" ht="7.4" customHeight="1" x14ac:dyDescent="0.5">
      <c r="C1" s="333" t="e" vm="6">
        <v>#VALUE!</v>
      </c>
      <c r="D1" s="333"/>
      <c r="E1" s="333"/>
      <c r="F1" s="333"/>
      <c r="G1" s="333"/>
      <c r="H1" s="333"/>
      <c r="I1" s="333"/>
      <c r="J1" s="333"/>
      <c r="K1" s="333"/>
      <c r="L1" s="333"/>
      <c r="M1" s="333"/>
      <c r="N1" s="333"/>
      <c r="O1" s="333"/>
      <c r="P1" s="333"/>
      <c r="Q1" s="333"/>
      <c r="R1" s="333"/>
      <c r="S1" s="333"/>
      <c r="T1" s="333"/>
      <c r="U1" s="333"/>
      <c r="V1" s="333"/>
      <c r="W1" s="333"/>
      <c r="X1" s="333"/>
      <c r="Y1" s="333"/>
      <c r="Z1" s="333"/>
      <c r="AA1" s="333"/>
      <c r="AB1" s="333"/>
      <c r="AC1" s="333"/>
      <c r="AD1" s="333"/>
      <c r="AE1" s="333"/>
      <c r="AF1" s="333"/>
      <c r="AG1" s="333"/>
      <c r="AH1" s="333"/>
      <c r="AI1" s="333"/>
      <c r="AN1" s="405" t="s">
        <v>0</v>
      </c>
      <c r="AO1" s="405"/>
      <c r="AP1" s="405"/>
      <c r="AQ1" s="405"/>
      <c r="AR1" s="405"/>
      <c r="AS1" s="405"/>
      <c r="AT1" s="405"/>
      <c r="AU1" s="405"/>
      <c r="AV1" s="405"/>
      <c r="AW1" s="405"/>
      <c r="AX1" s="405"/>
      <c r="AY1" s="405"/>
      <c r="AZ1" s="405"/>
      <c r="BA1" s="405"/>
      <c r="BB1" s="405"/>
      <c r="BC1" s="405"/>
      <c r="BD1" s="405"/>
      <c r="BE1" s="405"/>
      <c r="BF1" s="405"/>
      <c r="BG1" s="405"/>
      <c r="BH1" s="405"/>
      <c r="BK1" s="24" t="s">
        <v>1</v>
      </c>
    </row>
    <row r="2" spans="1:63" ht="7.4" customHeight="1" x14ac:dyDescent="0.5">
      <c r="C2" s="333"/>
      <c r="D2" s="333"/>
      <c r="E2" s="333"/>
      <c r="F2" s="333"/>
      <c r="G2" s="333"/>
      <c r="H2" s="333"/>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N2" s="405"/>
      <c r="AO2" s="405"/>
      <c r="AP2" s="405"/>
      <c r="AQ2" s="405"/>
      <c r="AR2" s="405"/>
      <c r="AS2" s="405"/>
      <c r="AT2" s="405"/>
      <c r="AU2" s="405"/>
      <c r="AV2" s="405"/>
      <c r="AW2" s="405"/>
      <c r="AX2" s="405"/>
      <c r="AY2" s="405"/>
      <c r="AZ2" s="405"/>
      <c r="BA2" s="405"/>
      <c r="BB2" s="405"/>
      <c r="BC2" s="405"/>
      <c r="BD2" s="405"/>
      <c r="BE2" s="405"/>
      <c r="BF2" s="405"/>
      <c r="BG2" s="405"/>
      <c r="BH2" s="405"/>
      <c r="BK2" s="24" t="s">
        <v>2</v>
      </c>
    </row>
    <row r="3" spans="1:63" ht="7.4" customHeight="1" x14ac:dyDescent="0.5">
      <c r="C3" s="333"/>
      <c r="D3" s="333"/>
      <c r="E3" s="333"/>
      <c r="F3" s="333"/>
      <c r="G3" s="333"/>
      <c r="H3" s="333"/>
      <c r="I3" s="333"/>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N3" s="314" t="s">
        <v>3</v>
      </c>
      <c r="AO3" s="314"/>
      <c r="AP3" s="314"/>
      <c r="AQ3" s="314"/>
      <c r="AR3" s="314"/>
      <c r="AS3" s="314"/>
      <c r="AT3" s="314"/>
      <c r="AU3" s="314"/>
      <c r="AV3" s="314"/>
      <c r="AW3" s="314"/>
      <c r="AX3" s="314"/>
      <c r="AY3" s="314"/>
      <c r="AZ3" s="314"/>
      <c r="BA3" s="314"/>
      <c r="BB3" s="314"/>
      <c r="BC3" s="314"/>
      <c r="BD3" s="314"/>
      <c r="BE3" s="314"/>
      <c r="BF3" s="314"/>
      <c r="BG3" s="314"/>
      <c r="BH3" s="314"/>
      <c r="BK3" s="24" t="s">
        <v>4</v>
      </c>
    </row>
    <row r="4" spans="1:63" ht="7.4" customHeight="1" x14ac:dyDescent="0.5">
      <c r="C4" s="333"/>
      <c r="D4" s="333"/>
      <c r="E4" s="333"/>
      <c r="F4" s="333"/>
      <c r="G4" s="333"/>
      <c r="H4" s="333"/>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N4" s="314"/>
      <c r="AO4" s="314"/>
      <c r="AP4" s="314"/>
      <c r="AQ4" s="314"/>
      <c r="AR4" s="314"/>
      <c r="AS4" s="314"/>
      <c r="AT4" s="314"/>
      <c r="AU4" s="314"/>
      <c r="AV4" s="314"/>
      <c r="AW4" s="314"/>
      <c r="AX4" s="314"/>
      <c r="AY4" s="314"/>
      <c r="AZ4" s="314"/>
      <c r="BA4" s="314"/>
      <c r="BB4" s="314"/>
      <c r="BC4" s="314"/>
      <c r="BD4" s="314"/>
      <c r="BE4" s="314"/>
      <c r="BF4" s="314"/>
      <c r="BG4" s="314"/>
      <c r="BH4" s="314"/>
      <c r="BK4" s="24" t="s">
        <v>122</v>
      </c>
    </row>
    <row r="5" spans="1:63" ht="7.4" customHeight="1" x14ac:dyDescent="0.5">
      <c r="C5" s="333"/>
      <c r="D5" s="333"/>
      <c r="E5" s="333"/>
      <c r="F5" s="333"/>
      <c r="G5" s="333"/>
      <c r="H5" s="333"/>
      <c r="I5" s="333"/>
      <c r="J5" s="333"/>
      <c r="K5" s="333"/>
      <c r="L5" s="333"/>
      <c r="M5" s="333"/>
      <c r="N5" s="333"/>
      <c r="O5" s="333"/>
      <c r="P5" s="333"/>
      <c r="Q5" s="333"/>
      <c r="R5" s="333"/>
      <c r="S5" s="333"/>
      <c r="T5" s="333"/>
      <c r="U5" s="333"/>
      <c r="V5" s="333"/>
      <c r="W5" s="333"/>
      <c r="X5" s="333"/>
      <c r="Y5" s="333"/>
      <c r="Z5" s="333"/>
      <c r="AA5" s="333"/>
      <c r="AB5" s="333"/>
      <c r="AC5" s="333"/>
      <c r="AD5" s="333"/>
      <c r="AE5" s="333"/>
      <c r="AF5" s="333"/>
      <c r="AG5" s="333"/>
      <c r="AH5" s="333"/>
      <c r="AI5" s="333"/>
      <c r="AN5" s="406" t="s">
        <v>6</v>
      </c>
      <c r="AO5" s="314"/>
      <c r="AP5" s="314"/>
      <c r="AQ5" s="314"/>
      <c r="AR5" s="314"/>
      <c r="AS5" s="314"/>
      <c r="AT5" s="314"/>
      <c r="AU5" s="314"/>
      <c r="AV5" s="314"/>
      <c r="AW5" s="314"/>
      <c r="AX5" s="314"/>
      <c r="AY5" s="314"/>
      <c r="AZ5" s="314"/>
      <c r="BA5" s="314"/>
      <c r="BB5" s="314"/>
      <c r="BC5" s="314"/>
      <c r="BD5" s="314"/>
      <c r="BE5" s="314"/>
      <c r="BF5" s="314"/>
      <c r="BG5" s="314"/>
      <c r="BH5" s="314"/>
      <c r="BK5" s="24" t="s">
        <v>5</v>
      </c>
    </row>
    <row r="6" spans="1:63" ht="7.4" customHeight="1" x14ac:dyDescent="0.5">
      <c r="C6" s="333"/>
      <c r="D6" s="333"/>
      <c r="E6" s="333"/>
      <c r="F6" s="333"/>
      <c r="G6" s="333"/>
      <c r="H6" s="333"/>
      <c r="I6" s="333"/>
      <c r="J6" s="333"/>
      <c r="K6" s="333"/>
      <c r="L6" s="333"/>
      <c r="M6" s="333"/>
      <c r="N6" s="333"/>
      <c r="O6" s="333"/>
      <c r="P6" s="333"/>
      <c r="Q6" s="333"/>
      <c r="R6" s="333"/>
      <c r="S6" s="333"/>
      <c r="T6" s="333"/>
      <c r="U6" s="333"/>
      <c r="V6" s="333"/>
      <c r="W6" s="333"/>
      <c r="X6" s="333"/>
      <c r="Y6" s="333"/>
      <c r="Z6" s="333"/>
      <c r="AA6" s="333"/>
      <c r="AB6" s="333"/>
      <c r="AC6" s="333"/>
      <c r="AD6" s="333"/>
      <c r="AE6" s="333"/>
      <c r="AF6" s="333"/>
      <c r="AG6" s="333"/>
      <c r="AH6" s="333"/>
      <c r="AI6" s="333"/>
      <c r="AN6" s="314"/>
      <c r="AO6" s="314"/>
      <c r="AP6" s="314"/>
      <c r="AQ6" s="314"/>
      <c r="AR6" s="314"/>
      <c r="AS6" s="314"/>
      <c r="AT6" s="314"/>
      <c r="AU6" s="314"/>
      <c r="AV6" s="314"/>
      <c r="AW6" s="314"/>
      <c r="AX6" s="314"/>
      <c r="AY6" s="314"/>
      <c r="AZ6" s="314"/>
      <c r="BA6" s="314"/>
      <c r="BB6" s="314"/>
      <c r="BC6" s="314"/>
      <c r="BD6" s="314"/>
      <c r="BE6" s="314"/>
      <c r="BF6" s="314"/>
      <c r="BG6" s="314"/>
      <c r="BH6" s="314"/>
      <c r="BK6" s="24" t="s">
        <v>123</v>
      </c>
    </row>
    <row r="7" spans="1:63" ht="7.4" customHeight="1" x14ac:dyDescent="0.5">
      <c r="C7" s="333"/>
      <c r="D7" s="333"/>
      <c r="E7" s="333"/>
      <c r="F7" s="333"/>
      <c r="G7" s="333"/>
      <c r="H7" s="333"/>
      <c r="I7" s="333"/>
      <c r="J7" s="333"/>
      <c r="K7" s="333"/>
      <c r="L7" s="333"/>
      <c r="M7" s="333"/>
      <c r="N7" s="333"/>
      <c r="O7" s="333"/>
      <c r="P7" s="333"/>
      <c r="Q7" s="333"/>
      <c r="R7" s="333"/>
      <c r="S7" s="333"/>
      <c r="T7" s="333"/>
      <c r="U7" s="333"/>
      <c r="V7" s="333"/>
      <c r="W7" s="333"/>
      <c r="X7" s="333"/>
      <c r="Y7" s="333"/>
      <c r="Z7" s="333"/>
      <c r="AA7" s="333"/>
      <c r="AB7" s="333"/>
      <c r="AC7" s="333"/>
      <c r="AD7" s="333"/>
      <c r="AE7" s="333"/>
      <c r="AF7" s="333"/>
      <c r="AG7" s="333"/>
      <c r="AH7" s="333"/>
      <c r="AI7" s="333"/>
      <c r="AN7" s="405" t="s">
        <v>9</v>
      </c>
      <c r="AO7" s="405"/>
      <c r="AP7" s="405"/>
      <c r="AQ7" s="405"/>
      <c r="AR7" s="405"/>
      <c r="AS7" s="405"/>
      <c r="AT7" s="405"/>
      <c r="AU7" s="405"/>
      <c r="AV7" s="405"/>
      <c r="AW7" s="405"/>
      <c r="AX7" s="405"/>
      <c r="AY7" s="405"/>
      <c r="AZ7" s="405"/>
      <c r="BA7" s="405"/>
      <c r="BB7" s="405"/>
      <c r="BC7" s="405"/>
      <c r="BD7" s="405"/>
      <c r="BE7" s="405"/>
      <c r="BF7" s="405"/>
      <c r="BG7" s="405"/>
      <c r="BH7" s="405"/>
      <c r="BK7" s="24" t="s">
        <v>8</v>
      </c>
    </row>
    <row r="8" spans="1:63" ht="7.4" customHeight="1" x14ac:dyDescent="0.5">
      <c r="C8" s="333"/>
      <c r="D8" s="333"/>
      <c r="E8" s="333"/>
      <c r="F8" s="333"/>
      <c r="G8" s="333"/>
      <c r="H8" s="333"/>
      <c r="I8" s="333"/>
      <c r="J8" s="333"/>
      <c r="K8" s="333"/>
      <c r="L8" s="333"/>
      <c r="M8" s="333"/>
      <c r="N8" s="333"/>
      <c r="O8" s="333"/>
      <c r="P8" s="333"/>
      <c r="Q8" s="333"/>
      <c r="R8" s="333"/>
      <c r="S8" s="333"/>
      <c r="T8" s="333"/>
      <c r="U8" s="333"/>
      <c r="V8" s="333"/>
      <c r="W8" s="333"/>
      <c r="X8" s="333"/>
      <c r="Y8" s="333"/>
      <c r="Z8" s="333"/>
      <c r="AA8" s="333"/>
      <c r="AB8" s="333"/>
      <c r="AC8" s="333"/>
      <c r="AD8" s="333"/>
      <c r="AE8" s="333"/>
      <c r="AF8" s="333"/>
      <c r="AG8" s="333"/>
      <c r="AH8" s="333"/>
      <c r="AI8" s="333"/>
      <c r="AN8" s="405"/>
      <c r="AO8" s="405"/>
      <c r="AP8" s="405"/>
      <c r="AQ8" s="405"/>
      <c r="AR8" s="405"/>
      <c r="AS8" s="405"/>
      <c r="AT8" s="405"/>
      <c r="AU8" s="405"/>
      <c r="AV8" s="405"/>
      <c r="AW8" s="405"/>
      <c r="AX8" s="405"/>
      <c r="AY8" s="405"/>
      <c r="AZ8" s="405"/>
      <c r="BA8" s="405"/>
      <c r="BB8" s="405"/>
      <c r="BC8" s="405"/>
      <c r="BD8" s="405"/>
      <c r="BE8" s="405"/>
      <c r="BF8" s="405"/>
      <c r="BG8" s="405"/>
      <c r="BH8" s="405"/>
      <c r="BK8" s="24" t="s">
        <v>10</v>
      </c>
    </row>
    <row r="9" spans="1:63" ht="7.4" customHeight="1" x14ac:dyDescent="0.5">
      <c r="C9" s="404"/>
      <c r="D9" s="404"/>
      <c r="E9" s="404"/>
      <c r="F9" s="404"/>
      <c r="G9" s="404"/>
      <c r="H9" s="404"/>
      <c r="I9" s="404"/>
      <c r="J9" s="404"/>
      <c r="K9" s="404"/>
      <c r="L9" s="404"/>
      <c r="M9" s="404"/>
      <c r="N9" s="404"/>
      <c r="O9" s="404"/>
      <c r="P9" s="404"/>
      <c r="Q9" s="404"/>
      <c r="R9" s="404"/>
      <c r="S9" s="404"/>
      <c r="T9" s="404"/>
      <c r="U9" s="404"/>
      <c r="V9" s="404"/>
      <c r="W9" s="404"/>
      <c r="X9" s="404"/>
      <c r="Y9" s="404"/>
      <c r="Z9" s="404"/>
      <c r="AA9" s="404"/>
      <c r="AB9" s="404"/>
      <c r="AC9" s="404"/>
      <c r="AD9" s="404"/>
      <c r="AE9" s="404"/>
      <c r="AF9" s="404"/>
      <c r="AG9" s="404"/>
      <c r="AH9" s="404"/>
      <c r="AI9" s="404"/>
      <c r="BK9" s="24" t="s">
        <v>11</v>
      </c>
    </row>
    <row r="10" spans="1:63" ht="7.4" customHeight="1" x14ac:dyDescent="0.5">
      <c r="A10" s="407" t="s">
        <v>13</v>
      </c>
      <c r="B10" s="407"/>
      <c r="C10" s="407"/>
      <c r="D10" s="407"/>
      <c r="E10" s="407"/>
      <c r="F10" s="407"/>
      <c r="G10" s="407"/>
      <c r="H10" s="407"/>
      <c r="I10" s="407"/>
      <c r="J10" s="407"/>
      <c r="K10" s="407"/>
      <c r="L10" s="407"/>
      <c r="M10" s="407"/>
      <c r="N10" s="407"/>
      <c r="O10" s="407"/>
      <c r="P10" s="407"/>
      <c r="Q10" s="407"/>
      <c r="R10" s="407"/>
      <c r="S10" s="407"/>
      <c r="T10" s="407"/>
      <c r="U10" s="407"/>
      <c r="V10" s="407"/>
      <c r="W10" s="407"/>
      <c r="X10" s="407"/>
      <c r="Y10" s="407"/>
      <c r="Z10" s="407"/>
      <c r="AA10" s="407"/>
      <c r="AB10" s="407"/>
      <c r="AC10" s="407"/>
      <c r="AD10" s="407"/>
      <c r="AE10" s="407"/>
      <c r="AF10" s="407"/>
      <c r="AG10" s="407"/>
      <c r="AH10" s="407"/>
      <c r="AI10" s="407"/>
      <c r="AJ10" s="407"/>
      <c r="AK10" s="407"/>
      <c r="AL10" s="407"/>
      <c r="AM10" s="30"/>
      <c r="AN10" s="30"/>
      <c r="AO10" s="30"/>
      <c r="AP10" s="30"/>
      <c r="AQ10" s="30"/>
      <c r="AR10" s="30"/>
      <c r="AS10" s="30"/>
      <c r="AT10" s="30"/>
      <c r="AU10" s="30"/>
      <c r="AV10" s="30"/>
      <c r="AW10" s="30"/>
      <c r="AX10" s="30"/>
      <c r="AY10" s="30"/>
      <c r="AZ10" s="30"/>
      <c r="BA10" s="30"/>
      <c r="BB10" s="30"/>
      <c r="BC10" s="30"/>
      <c r="BD10" s="30"/>
      <c r="BE10" s="30"/>
      <c r="BF10" s="30"/>
      <c r="BG10" s="30"/>
      <c r="BH10" s="30"/>
      <c r="BI10" s="31"/>
      <c r="BK10" s="24" t="s">
        <v>12</v>
      </c>
    </row>
    <row r="11" spans="1:63" ht="7.4" customHeight="1" x14ac:dyDescent="0.5">
      <c r="A11" s="407"/>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407"/>
      <c r="AE11" s="407"/>
      <c r="AF11" s="407"/>
      <c r="AG11" s="407"/>
      <c r="AH11" s="407"/>
      <c r="AI11" s="407"/>
      <c r="AJ11" s="407"/>
      <c r="AK11" s="407"/>
      <c r="AL11" s="407"/>
      <c r="AM11" s="33"/>
      <c r="AN11" s="408" t="s">
        <v>15</v>
      </c>
      <c r="AO11" s="408"/>
      <c r="AP11" s="408"/>
      <c r="AQ11" s="408"/>
      <c r="AR11" s="408"/>
      <c r="AS11" s="408"/>
      <c r="AT11" s="408"/>
      <c r="AU11" s="408"/>
      <c r="AV11" s="408"/>
      <c r="AW11" s="33"/>
      <c r="AX11" s="409" t="s">
        <v>160</v>
      </c>
      <c r="AY11" s="409"/>
      <c r="AZ11" s="409"/>
      <c r="BA11" s="409"/>
      <c r="BB11" s="409"/>
      <c r="BC11" s="409"/>
      <c r="BD11" s="409"/>
      <c r="BE11" s="409"/>
      <c r="BF11" s="409"/>
      <c r="BG11" s="409"/>
      <c r="BH11" s="409"/>
      <c r="BI11" s="34"/>
      <c r="BK11" s="24" t="s">
        <v>125</v>
      </c>
    </row>
    <row r="12" spans="1:63" ht="7.4" customHeight="1" x14ac:dyDescent="0.5">
      <c r="A12" s="407"/>
      <c r="B12" s="407"/>
      <c r="C12" s="407"/>
      <c r="D12" s="407"/>
      <c r="E12" s="407"/>
      <c r="F12" s="407"/>
      <c r="G12" s="407"/>
      <c r="H12" s="407"/>
      <c r="I12" s="407"/>
      <c r="J12" s="407"/>
      <c r="K12" s="407"/>
      <c r="L12" s="407"/>
      <c r="M12" s="407"/>
      <c r="N12" s="407"/>
      <c r="O12" s="407"/>
      <c r="P12" s="407"/>
      <c r="Q12" s="407"/>
      <c r="R12" s="407"/>
      <c r="S12" s="407"/>
      <c r="T12" s="407"/>
      <c r="U12" s="407"/>
      <c r="V12" s="407"/>
      <c r="W12" s="407"/>
      <c r="X12" s="407"/>
      <c r="Y12" s="407"/>
      <c r="Z12" s="407"/>
      <c r="AA12" s="407"/>
      <c r="AB12" s="407"/>
      <c r="AC12" s="407"/>
      <c r="AD12" s="407"/>
      <c r="AE12" s="407"/>
      <c r="AF12" s="407"/>
      <c r="AG12" s="407"/>
      <c r="AH12" s="407"/>
      <c r="AI12" s="407"/>
      <c r="AJ12" s="407"/>
      <c r="AK12" s="407"/>
      <c r="AL12" s="407"/>
      <c r="AM12" s="33"/>
      <c r="AN12" s="408"/>
      <c r="AO12" s="408"/>
      <c r="AP12" s="408"/>
      <c r="AQ12" s="408"/>
      <c r="AR12" s="408"/>
      <c r="AS12" s="408"/>
      <c r="AT12" s="408"/>
      <c r="AU12" s="408"/>
      <c r="AV12" s="408"/>
      <c r="AW12" s="33"/>
      <c r="AX12" s="409"/>
      <c r="AY12" s="409"/>
      <c r="AZ12" s="409"/>
      <c r="BA12" s="409"/>
      <c r="BB12" s="409"/>
      <c r="BC12" s="409"/>
      <c r="BD12" s="409"/>
      <c r="BE12" s="409"/>
      <c r="BF12" s="409"/>
      <c r="BG12" s="409"/>
      <c r="BH12" s="409"/>
      <c r="BI12" s="34"/>
      <c r="BK12" s="24" t="s">
        <v>14</v>
      </c>
    </row>
    <row r="13" spans="1:63" ht="7.4" customHeight="1" x14ac:dyDescent="0.5">
      <c r="A13" s="407"/>
      <c r="B13" s="407"/>
      <c r="C13" s="407"/>
      <c r="D13" s="407"/>
      <c r="E13" s="407"/>
      <c r="F13" s="407"/>
      <c r="G13" s="407"/>
      <c r="H13" s="407"/>
      <c r="I13" s="407"/>
      <c r="J13" s="407"/>
      <c r="K13" s="407"/>
      <c r="L13" s="407"/>
      <c r="M13" s="407"/>
      <c r="N13" s="407"/>
      <c r="O13" s="407"/>
      <c r="P13" s="407"/>
      <c r="Q13" s="407"/>
      <c r="R13" s="407"/>
      <c r="S13" s="407"/>
      <c r="T13" s="407"/>
      <c r="U13" s="407"/>
      <c r="V13" s="407"/>
      <c r="W13" s="407"/>
      <c r="X13" s="407"/>
      <c r="Y13" s="407"/>
      <c r="Z13" s="407"/>
      <c r="AA13" s="407"/>
      <c r="AB13" s="407"/>
      <c r="AC13" s="407"/>
      <c r="AD13" s="407"/>
      <c r="AE13" s="407"/>
      <c r="AF13" s="407"/>
      <c r="AG13" s="407"/>
      <c r="AH13" s="407"/>
      <c r="AI13" s="407"/>
      <c r="AJ13" s="407"/>
      <c r="AK13" s="407"/>
      <c r="AL13" s="407"/>
      <c r="AM13" s="33"/>
      <c r="AN13" s="408" t="s">
        <v>19</v>
      </c>
      <c r="AO13" s="408"/>
      <c r="AP13" s="408"/>
      <c r="AQ13" s="408"/>
      <c r="AR13" s="408"/>
      <c r="AS13" s="408"/>
      <c r="AT13" s="408"/>
      <c r="AU13" s="408"/>
      <c r="AV13" s="408"/>
      <c r="AW13" s="33"/>
      <c r="AX13" s="410" t="s">
        <v>20</v>
      </c>
      <c r="AY13" s="410"/>
      <c r="AZ13" s="410"/>
      <c r="BA13" s="410"/>
      <c r="BB13" s="410"/>
      <c r="BC13" s="410"/>
      <c r="BD13" s="410"/>
      <c r="BE13" s="410"/>
      <c r="BF13" s="410"/>
      <c r="BG13" s="410"/>
      <c r="BH13" s="410"/>
      <c r="BI13" s="34"/>
      <c r="BK13" s="24" t="s">
        <v>126</v>
      </c>
    </row>
    <row r="14" spans="1:63" ht="7.4" customHeight="1" x14ac:dyDescent="0.5">
      <c r="A14" s="407"/>
      <c r="B14" s="407"/>
      <c r="C14" s="407"/>
      <c r="D14" s="407"/>
      <c r="E14" s="407"/>
      <c r="F14" s="407"/>
      <c r="G14" s="407"/>
      <c r="H14" s="407"/>
      <c r="I14" s="407"/>
      <c r="J14" s="407"/>
      <c r="K14" s="407"/>
      <c r="L14" s="407"/>
      <c r="M14" s="407"/>
      <c r="N14" s="407"/>
      <c r="O14" s="407"/>
      <c r="P14" s="407"/>
      <c r="Q14" s="407"/>
      <c r="R14" s="407"/>
      <c r="S14" s="407"/>
      <c r="T14" s="407"/>
      <c r="U14" s="407"/>
      <c r="V14" s="407"/>
      <c r="W14" s="407"/>
      <c r="X14" s="407"/>
      <c r="Y14" s="407"/>
      <c r="Z14" s="407"/>
      <c r="AA14" s="407"/>
      <c r="AB14" s="407"/>
      <c r="AC14" s="407"/>
      <c r="AD14" s="407"/>
      <c r="AE14" s="407"/>
      <c r="AF14" s="407"/>
      <c r="AG14" s="407"/>
      <c r="AH14" s="407"/>
      <c r="AI14" s="407"/>
      <c r="AJ14" s="407"/>
      <c r="AK14" s="407"/>
      <c r="AL14" s="407"/>
      <c r="AM14" s="33"/>
      <c r="AN14" s="408"/>
      <c r="AO14" s="408"/>
      <c r="AP14" s="408"/>
      <c r="AQ14" s="408"/>
      <c r="AR14" s="408"/>
      <c r="AS14" s="408"/>
      <c r="AT14" s="408"/>
      <c r="AU14" s="408"/>
      <c r="AV14" s="408"/>
      <c r="AW14" s="33"/>
      <c r="AX14" s="410"/>
      <c r="AY14" s="410"/>
      <c r="AZ14" s="410"/>
      <c r="BA14" s="410"/>
      <c r="BB14" s="410"/>
      <c r="BC14" s="410"/>
      <c r="BD14" s="410"/>
      <c r="BE14" s="410"/>
      <c r="BF14" s="410"/>
      <c r="BG14" s="410"/>
      <c r="BH14" s="410"/>
      <c r="BI14" s="34"/>
      <c r="BK14" s="24" t="s">
        <v>17</v>
      </c>
    </row>
    <row r="15" spans="1:63" ht="7.4" customHeight="1" x14ac:dyDescent="0.5">
      <c r="A15" s="407"/>
      <c r="B15" s="407"/>
      <c r="C15" s="407"/>
      <c r="D15" s="407"/>
      <c r="E15" s="407"/>
      <c r="F15" s="407"/>
      <c r="G15" s="407"/>
      <c r="H15" s="407"/>
      <c r="I15" s="407"/>
      <c r="J15" s="407"/>
      <c r="K15" s="407"/>
      <c r="L15" s="407"/>
      <c r="M15" s="407"/>
      <c r="N15" s="407"/>
      <c r="O15" s="407"/>
      <c r="P15" s="407"/>
      <c r="Q15" s="407"/>
      <c r="R15" s="407"/>
      <c r="S15" s="407"/>
      <c r="T15" s="407"/>
      <c r="U15" s="407"/>
      <c r="V15" s="407"/>
      <c r="W15" s="407"/>
      <c r="X15" s="407"/>
      <c r="Y15" s="407"/>
      <c r="Z15" s="407"/>
      <c r="AA15" s="407"/>
      <c r="AB15" s="407"/>
      <c r="AC15" s="407"/>
      <c r="AD15" s="407"/>
      <c r="AE15" s="407"/>
      <c r="AF15" s="407"/>
      <c r="AG15" s="407"/>
      <c r="AH15" s="407"/>
      <c r="AI15" s="407"/>
      <c r="AJ15" s="407"/>
      <c r="AK15" s="407"/>
      <c r="AL15" s="407"/>
      <c r="AM15" s="36"/>
      <c r="AN15" s="36"/>
      <c r="AO15" s="36"/>
      <c r="AP15" s="36"/>
      <c r="AQ15" s="36"/>
      <c r="AR15" s="36"/>
      <c r="AS15" s="36"/>
      <c r="AT15" s="36"/>
      <c r="AU15" s="36"/>
      <c r="AV15" s="36"/>
      <c r="AW15" s="36"/>
      <c r="AX15" s="36"/>
      <c r="AY15" s="36"/>
      <c r="AZ15" s="36"/>
      <c r="BA15" s="36"/>
      <c r="BB15" s="36"/>
      <c r="BC15" s="36"/>
      <c r="BD15" s="36"/>
      <c r="BE15" s="36"/>
      <c r="BF15" s="36"/>
      <c r="BG15" s="36"/>
      <c r="BH15" s="36"/>
      <c r="BI15" s="37"/>
      <c r="BK15" s="24" t="s">
        <v>127</v>
      </c>
    </row>
    <row r="16" spans="1:63" ht="7.4" customHeight="1" x14ac:dyDescent="0.5">
      <c r="A16" s="58"/>
      <c r="B16" s="59"/>
      <c r="C16" s="59"/>
      <c r="D16" s="59"/>
      <c r="E16" s="59"/>
      <c r="F16" s="59"/>
      <c r="G16" s="59"/>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60"/>
      <c r="BK16" s="24" t="s">
        <v>18</v>
      </c>
    </row>
    <row r="17" spans="1:70" ht="7.4" customHeight="1" x14ac:dyDescent="0.5">
      <c r="A17" s="61"/>
      <c r="B17" s="62"/>
      <c r="C17" s="400" t="s">
        <v>25</v>
      </c>
      <c r="D17" s="400"/>
      <c r="E17" s="400"/>
      <c r="F17" s="400"/>
      <c r="G17" s="401"/>
      <c r="H17" s="401"/>
      <c r="I17" s="401"/>
      <c r="J17" s="401"/>
      <c r="K17" s="401"/>
      <c r="L17" s="401"/>
      <c r="M17" s="401"/>
      <c r="N17" s="401"/>
      <c r="O17" s="401"/>
      <c r="P17" s="401"/>
      <c r="Q17" s="401"/>
      <c r="R17" s="401"/>
      <c r="S17" s="401"/>
      <c r="T17" s="401"/>
      <c r="U17" s="401"/>
      <c r="V17" s="401"/>
      <c r="W17" s="401"/>
      <c r="X17" s="401"/>
      <c r="Y17" s="400" t="s">
        <v>26</v>
      </c>
      <c r="Z17" s="400"/>
      <c r="AA17" s="400"/>
      <c r="AB17" s="400"/>
      <c r="AC17" s="400"/>
      <c r="AD17" s="401"/>
      <c r="AE17" s="401"/>
      <c r="AF17" s="401"/>
      <c r="AG17" s="401"/>
      <c r="AH17" s="401"/>
      <c r="AI17" s="401"/>
      <c r="AJ17" s="401"/>
      <c r="AK17" s="401"/>
      <c r="AL17" s="401"/>
      <c r="AM17" s="401"/>
      <c r="AN17" s="401"/>
      <c r="AO17" s="401"/>
      <c r="AP17" s="401"/>
      <c r="AQ17" s="401"/>
      <c r="AR17" s="401"/>
      <c r="AS17" s="401"/>
      <c r="AT17" s="400" t="s">
        <v>27</v>
      </c>
      <c r="AU17" s="400"/>
      <c r="AV17" s="400"/>
      <c r="AW17" s="400"/>
      <c r="AX17" s="402">
        <f ca="1">TODAY()</f>
        <v>45960</v>
      </c>
      <c r="AY17" s="402"/>
      <c r="AZ17" s="402"/>
      <c r="BA17" s="402"/>
      <c r="BB17" s="402"/>
      <c r="BC17" s="402"/>
      <c r="BD17" s="402"/>
      <c r="BE17" s="402"/>
      <c r="BF17" s="402"/>
      <c r="BG17" s="402"/>
      <c r="BH17" s="402"/>
      <c r="BI17" s="63"/>
      <c r="BK17" s="24" t="s">
        <v>21</v>
      </c>
    </row>
    <row r="18" spans="1:70" ht="7.4" customHeight="1" x14ac:dyDescent="0.5">
      <c r="A18" s="61"/>
      <c r="B18" s="62"/>
      <c r="C18" s="400"/>
      <c r="D18" s="400"/>
      <c r="E18" s="400"/>
      <c r="F18" s="400"/>
      <c r="G18" s="401"/>
      <c r="H18" s="401"/>
      <c r="I18" s="401"/>
      <c r="J18" s="401"/>
      <c r="K18" s="401"/>
      <c r="L18" s="401"/>
      <c r="M18" s="401"/>
      <c r="N18" s="401"/>
      <c r="O18" s="401"/>
      <c r="P18" s="401"/>
      <c r="Q18" s="401"/>
      <c r="R18" s="401"/>
      <c r="S18" s="401"/>
      <c r="T18" s="401"/>
      <c r="U18" s="401"/>
      <c r="V18" s="401"/>
      <c r="W18" s="401"/>
      <c r="X18" s="401"/>
      <c r="Y18" s="400"/>
      <c r="Z18" s="400"/>
      <c r="AA18" s="400"/>
      <c r="AB18" s="400"/>
      <c r="AC18" s="400"/>
      <c r="AD18" s="401"/>
      <c r="AE18" s="401"/>
      <c r="AF18" s="401"/>
      <c r="AG18" s="401"/>
      <c r="AH18" s="401"/>
      <c r="AI18" s="401"/>
      <c r="AJ18" s="401"/>
      <c r="AK18" s="401"/>
      <c r="AL18" s="401"/>
      <c r="AM18" s="401"/>
      <c r="AN18" s="401"/>
      <c r="AO18" s="401"/>
      <c r="AP18" s="401"/>
      <c r="AQ18" s="401"/>
      <c r="AR18" s="401"/>
      <c r="AS18" s="401"/>
      <c r="AT18" s="400"/>
      <c r="AU18" s="400"/>
      <c r="AV18" s="400"/>
      <c r="AW18" s="400"/>
      <c r="AX18" s="403"/>
      <c r="AY18" s="402"/>
      <c r="AZ18" s="402"/>
      <c r="BA18" s="402"/>
      <c r="BB18" s="402"/>
      <c r="BC18" s="402"/>
      <c r="BD18" s="402"/>
      <c r="BE18" s="402"/>
      <c r="BF18" s="402"/>
      <c r="BG18" s="402"/>
      <c r="BH18" s="402"/>
      <c r="BI18" s="63"/>
      <c r="BK18" s="24" t="s">
        <v>22</v>
      </c>
    </row>
    <row r="19" spans="1:70" ht="7.4" customHeight="1" x14ac:dyDescent="0.5">
      <c r="A19" s="64"/>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6"/>
      <c r="BK19" s="24" t="s">
        <v>23</v>
      </c>
    </row>
    <row r="20" spans="1:70" ht="7.4" customHeight="1" x14ac:dyDescent="0.5">
      <c r="A20" s="38"/>
      <c r="B20" s="39"/>
      <c r="C20" s="39"/>
      <c r="D20" s="39"/>
      <c r="E20" s="39"/>
      <c r="F20" s="39"/>
      <c r="G20" s="39"/>
      <c r="H20" s="39"/>
      <c r="I20" s="39"/>
      <c r="J20" s="39"/>
      <c r="K20" s="39"/>
      <c r="L20" s="39"/>
      <c r="M20" s="39"/>
      <c r="N20" s="39"/>
      <c r="O20" s="39"/>
      <c r="P20" s="39"/>
      <c r="Q20" s="39"/>
      <c r="R20" s="39"/>
      <c r="S20" s="67"/>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9"/>
      <c r="AR20" s="39"/>
      <c r="AS20" s="39"/>
      <c r="AT20" s="39"/>
      <c r="AU20" s="39"/>
      <c r="AV20" s="39"/>
      <c r="AW20" s="39"/>
      <c r="AX20" s="39"/>
      <c r="AY20" s="39"/>
      <c r="AZ20" s="39"/>
      <c r="BA20" s="39"/>
      <c r="BB20" s="39"/>
      <c r="BC20" s="39"/>
      <c r="BD20" s="39"/>
      <c r="BE20" s="39"/>
      <c r="BF20" s="39"/>
      <c r="BG20" s="39"/>
      <c r="BH20" s="39"/>
      <c r="BI20" s="40"/>
      <c r="BK20" s="24" t="s">
        <v>24</v>
      </c>
    </row>
    <row r="21" spans="1:70" ht="7.4" customHeight="1" x14ac:dyDescent="0.5">
      <c r="A21" s="42"/>
      <c r="S21" s="70"/>
      <c r="T21" s="509" t="str">
        <f>"Roof Top Angled Railless ("&amp;$AO$35&amp;")"</f>
        <v>Roof Top Angled Railless (IBR)</v>
      </c>
      <c r="U21" s="509"/>
      <c r="V21" s="509"/>
      <c r="W21" s="509"/>
      <c r="X21" s="509"/>
      <c r="Y21" s="509"/>
      <c r="Z21" s="509"/>
      <c r="AA21" s="509"/>
      <c r="AB21" s="509"/>
      <c r="AC21" s="509"/>
      <c r="AD21" s="509"/>
      <c r="AE21" s="509"/>
      <c r="AF21" s="509"/>
      <c r="AG21" s="509"/>
      <c r="AH21" s="509"/>
      <c r="AI21" s="509"/>
      <c r="AJ21" s="509"/>
      <c r="AK21" s="509"/>
      <c r="AL21" s="509"/>
      <c r="AM21" s="509"/>
      <c r="AN21" s="509"/>
      <c r="AO21" s="509"/>
      <c r="AP21" s="509"/>
      <c r="AQ21" s="71"/>
      <c r="BI21" s="41"/>
      <c r="BK21" s="24" t="s">
        <v>28</v>
      </c>
    </row>
    <row r="22" spans="1:70" ht="7.4" customHeight="1" x14ac:dyDescent="0.5">
      <c r="A22" s="42"/>
      <c r="S22" s="70"/>
      <c r="T22" s="509"/>
      <c r="U22" s="509"/>
      <c r="V22" s="509"/>
      <c r="W22" s="509"/>
      <c r="X22" s="509"/>
      <c r="Y22" s="509"/>
      <c r="Z22" s="509"/>
      <c r="AA22" s="509"/>
      <c r="AB22" s="509"/>
      <c r="AC22" s="509"/>
      <c r="AD22" s="509"/>
      <c r="AE22" s="509"/>
      <c r="AF22" s="509"/>
      <c r="AG22" s="509"/>
      <c r="AH22" s="509"/>
      <c r="AI22" s="509"/>
      <c r="AJ22" s="509"/>
      <c r="AK22" s="509"/>
      <c r="AL22" s="509"/>
      <c r="AM22" s="509"/>
      <c r="AN22" s="509"/>
      <c r="AO22" s="509"/>
      <c r="AP22" s="509"/>
      <c r="AQ22" s="71"/>
      <c r="BI22" s="41"/>
    </row>
    <row r="23" spans="1:70" ht="7.4" customHeight="1" x14ac:dyDescent="0.5">
      <c r="A23" s="42"/>
      <c r="S23" s="72"/>
      <c r="T23" s="73"/>
      <c r="U23" s="73"/>
      <c r="V23" s="73"/>
      <c r="W23" s="73"/>
      <c r="X23" s="73"/>
      <c r="Y23" s="73"/>
      <c r="Z23" s="73"/>
      <c r="AA23" s="73"/>
      <c r="AB23" s="73"/>
      <c r="AC23" s="73"/>
      <c r="AD23" s="73"/>
      <c r="AE23" s="73"/>
      <c r="AF23" s="73"/>
      <c r="AG23" s="73"/>
      <c r="AH23" s="73"/>
      <c r="AI23" s="73"/>
      <c r="AJ23" s="73"/>
      <c r="AK23" s="73"/>
      <c r="AL23" s="73"/>
      <c r="AM23" s="73"/>
      <c r="AN23" s="73"/>
      <c r="AO23" s="73"/>
      <c r="AP23" s="73"/>
      <c r="AQ23" s="74"/>
      <c r="BI23" s="41"/>
    </row>
    <row r="24" spans="1:70" ht="7.4" customHeight="1" x14ac:dyDescent="0.5">
      <c r="A24" s="42"/>
      <c r="BI24" s="41"/>
    </row>
    <row r="25" spans="1:70" ht="7.4" customHeight="1" x14ac:dyDescent="0.5">
      <c r="A25" s="42"/>
      <c r="B25" s="29"/>
      <c r="C25" s="363" t="s">
        <v>59</v>
      </c>
      <c r="D25" s="363"/>
      <c r="E25" s="363"/>
      <c r="F25" s="363"/>
      <c r="G25" s="363"/>
      <c r="H25" s="363"/>
      <c r="I25" s="363"/>
      <c r="J25" s="363"/>
      <c r="K25" s="363"/>
      <c r="L25" s="363"/>
      <c r="M25" s="363"/>
      <c r="N25" s="363"/>
      <c r="O25" s="363"/>
      <c r="P25" s="363"/>
      <c r="Q25" s="363"/>
      <c r="R25" s="363"/>
      <c r="S25" s="363"/>
      <c r="T25" s="363"/>
      <c r="U25" s="363"/>
      <c r="V25" s="363"/>
      <c r="W25" s="363"/>
      <c r="X25" s="363"/>
      <c r="Y25" s="363"/>
      <c r="Z25" s="363"/>
      <c r="AA25" s="363"/>
      <c r="AB25" s="363"/>
      <c r="AC25" s="31"/>
      <c r="AE25" s="29"/>
      <c r="AF25" s="363" t="s">
        <v>60</v>
      </c>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1"/>
      <c r="BI25" s="41"/>
    </row>
    <row r="26" spans="1:70" ht="7.4" customHeight="1" x14ac:dyDescent="0.5">
      <c r="A26" s="42"/>
      <c r="B26" s="32"/>
      <c r="C26" s="366"/>
      <c r="D26" s="366"/>
      <c r="E26" s="366"/>
      <c r="F26" s="366"/>
      <c r="G26" s="366"/>
      <c r="H26" s="366"/>
      <c r="I26" s="366"/>
      <c r="J26" s="366"/>
      <c r="K26" s="366"/>
      <c r="L26" s="366"/>
      <c r="M26" s="366"/>
      <c r="N26" s="366"/>
      <c r="O26" s="366"/>
      <c r="P26" s="366"/>
      <c r="Q26" s="366"/>
      <c r="R26" s="366"/>
      <c r="S26" s="366"/>
      <c r="T26" s="366"/>
      <c r="U26" s="366"/>
      <c r="V26" s="366"/>
      <c r="W26" s="366"/>
      <c r="X26" s="366"/>
      <c r="Y26" s="366"/>
      <c r="Z26" s="366"/>
      <c r="AA26" s="366"/>
      <c r="AB26" s="366"/>
      <c r="AC26" s="34"/>
      <c r="AE26" s="32"/>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4"/>
      <c r="BI26" s="41"/>
    </row>
    <row r="27" spans="1:70" ht="7.4" customHeight="1" x14ac:dyDescent="0.5">
      <c r="A27" s="42"/>
      <c r="B27" s="32"/>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7"/>
      <c r="AE27" s="32"/>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7"/>
      <c r="BI27" s="41"/>
    </row>
    <row r="28" spans="1:70" ht="7.4" customHeight="1" x14ac:dyDescent="0.5">
      <c r="A28" s="42"/>
      <c r="B28" s="58"/>
      <c r="C28" s="503" t="s">
        <v>61</v>
      </c>
      <c r="D28" s="503"/>
      <c r="E28" s="503"/>
      <c r="F28" s="503"/>
      <c r="G28" s="503"/>
      <c r="H28" s="503"/>
      <c r="I28" s="503"/>
      <c r="J28" s="503"/>
      <c r="K28" s="503"/>
      <c r="L28" s="503"/>
      <c r="M28" s="503"/>
      <c r="N28" s="503"/>
      <c r="O28" s="503"/>
      <c r="P28" s="503"/>
      <c r="Q28" s="503"/>
      <c r="R28" s="504"/>
      <c r="S28" s="39"/>
      <c r="T28" s="380" t="str">
        <f>(J43*BC43)/1000 &amp; " kWp"</f>
        <v>60 kWp</v>
      </c>
      <c r="U28" s="380"/>
      <c r="V28" s="380"/>
      <c r="W28" s="380"/>
      <c r="X28" s="380"/>
      <c r="Y28" s="380"/>
      <c r="Z28" s="380"/>
      <c r="AA28" s="380"/>
      <c r="AB28" s="380"/>
      <c r="AC28" s="381"/>
      <c r="AD28" s="108"/>
      <c r="AE28" s="137"/>
      <c r="AF28" s="503" t="s">
        <v>62</v>
      </c>
      <c r="AG28" s="503"/>
      <c r="AH28" s="503"/>
      <c r="AI28" s="503"/>
      <c r="AJ28" s="503"/>
      <c r="AK28" s="503"/>
      <c r="AL28" s="503"/>
      <c r="AM28" s="504"/>
      <c r="AN28" s="77"/>
      <c r="AO28" s="489" t="s">
        <v>63</v>
      </c>
      <c r="AP28" s="489"/>
      <c r="AQ28" s="489"/>
      <c r="AR28" s="489"/>
      <c r="AS28" s="489"/>
      <c r="AT28" s="489"/>
      <c r="AU28" s="489"/>
      <c r="AV28" s="489"/>
      <c r="AW28" s="489"/>
      <c r="AX28" s="489"/>
      <c r="AY28" s="489"/>
      <c r="AZ28" s="489"/>
      <c r="BA28" s="489"/>
      <c r="BB28" s="489"/>
      <c r="BC28" s="489"/>
      <c r="BD28" s="489"/>
      <c r="BE28" s="489"/>
      <c r="BF28" s="489"/>
      <c r="BG28" s="489"/>
      <c r="BH28" s="490"/>
      <c r="BI28" s="124"/>
    </row>
    <row r="29" spans="1:70" ht="7.4" customHeight="1" x14ac:dyDescent="0.5">
      <c r="A29" s="42"/>
      <c r="B29" s="61"/>
      <c r="C29" s="400"/>
      <c r="D29" s="400"/>
      <c r="E29" s="400"/>
      <c r="F29" s="400"/>
      <c r="G29" s="400"/>
      <c r="H29" s="400"/>
      <c r="I29" s="400"/>
      <c r="J29" s="400"/>
      <c r="K29" s="400"/>
      <c r="L29" s="400"/>
      <c r="M29" s="400"/>
      <c r="N29" s="400"/>
      <c r="O29" s="400"/>
      <c r="P29" s="400"/>
      <c r="Q29" s="400"/>
      <c r="R29" s="448"/>
      <c r="S29" s="108"/>
      <c r="T29" s="382"/>
      <c r="U29" s="382"/>
      <c r="V29" s="382"/>
      <c r="W29" s="382"/>
      <c r="X29" s="382"/>
      <c r="Y29" s="382"/>
      <c r="Z29" s="382"/>
      <c r="AA29" s="382"/>
      <c r="AB29" s="382"/>
      <c r="AC29" s="383"/>
      <c r="AD29" s="25"/>
      <c r="AE29" s="139"/>
      <c r="AF29" s="400"/>
      <c r="AG29" s="400"/>
      <c r="AH29" s="400"/>
      <c r="AI29" s="400"/>
      <c r="AJ29" s="400"/>
      <c r="AK29" s="400"/>
      <c r="AL29" s="400"/>
      <c r="AM29" s="448"/>
      <c r="AN29" s="25"/>
      <c r="AO29" s="405"/>
      <c r="AP29" s="405"/>
      <c r="AQ29" s="405"/>
      <c r="AR29" s="405"/>
      <c r="AS29" s="405"/>
      <c r="AT29" s="405"/>
      <c r="AU29" s="405"/>
      <c r="AV29" s="405"/>
      <c r="AW29" s="405"/>
      <c r="AX29" s="405"/>
      <c r="AY29" s="405"/>
      <c r="AZ29" s="405"/>
      <c r="BA29" s="405"/>
      <c r="BB29" s="405"/>
      <c r="BC29" s="405"/>
      <c r="BD29" s="405"/>
      <c r="BE29" s="405"/>
      <c r="BF29" s="405"/>
      <c r="BG29" s="405"/>
      <c r="BH29" s="411"/>
      <c r="BI29" s="41"/>
    </row>
    <row r="30" spans="1:70" ht="7.4" customHeight="1" x14ac:dyDescent="0.5">
      <c r="A30" s="42"/>
      <c r="B30" s="61"/>
      <c r="C30" s="400"/>
      <c r="D30" s="400"/>
      <c r="E30" s="400"/>
      <c r="F30" s="400"/>
      <c r="G30" s="400"/>
      <c r="H30" s="400"/>
      <c r="I30" s="400"/>
      <c r="J30" s="400"/>
      <c r="K30" s="400"/>
      <c r="L30" s="400"/>
      <c r="M30" s="400"/>
      <c r="N30" s="400"/>
      <c r="O30" s="400"/>
      <c r="P30" s="400"/>
      <c r="Q30" s="400"/>
      <c r="R30" s="448"/>
      <c r="T30" s="388"/>
      <c r="U30" s="388"/>
      <c r="V30" s="388"/>
      <c r="W30" s="388"/>
      <c r="X30" s="388"/>
      <c r="Y30" s="388"/>
      <c r="Z30" s="388"/>
      <c r="AA30" s="388"/>
      <c r="AB30" s="388"/>
      <c r="AC30" s="389"/>
      <c r="AD30" s="25"/>
      <c r="AE30" s="139"/>
      <c r="AF30" s="400"/>
      <c r="AG30" s="400"/>
      <c r="AH30" s="400"/>
      <c r="AI30" s="400"/>
      <c r="AJ30" s="400"/>
      <c r="AK30" s="400"/>
      <c r="AL30" s="400"/>
      <c r="AM30" s="448"/>
      <c r="AN30" s="79"/>
      <c r="AO30" s="491"/>
      <c r="AP30" s="491"/>
      <c r="AQ30" s="491"/>
      <c r="AR30" s="491"/>
      <c r="AS30" s="491"/>
      <c r="AT30" s="491"/>
      <c r="AU30" s="491"/>
      <c r="AV30" s="491"/>
      <c r="AW30" s="491"/>
      <c r="AX30" s="491"/>
      <c r="AY30" s="491"/>
      <c r="AZ30" s="491"/>
      <c r="BA30" s="491"/>
      <c r="BB30" s="491"/>
      <c r="BC30" s="491"/>
      <c r="BD30" s="491"/>
      <c r="BE30" s="491"/>
      <c r="BF30" s="491"/>
      <c r="BG30" s="491"/>
      <c r="BH30" s="492"/>
      <c r="BI30" s="41"/>
      <c r="BK30" s="311">
        <v>10</v>
      </c>
      <c r="BL30" s="311"/>
      <c r="BM30" s="311">
        <v>1198</v>
      </c>
      <c r="BN30" s="311"/>
      <c r="BO30" s="311"/>
      <c r="BP30" s="311">
        <v>1351</v>
      </c>
      <c r="BQ30" s="311"/>
      <c r="BR30" s="311"/>
    </row>
    <row r="31" spans="1:70" ht="7.4" customHeight="1" x14ac:dyDescent="0.5">
      <c r="A31" s="42"/>
      <c r="B31" s="61"/>
      <c r="C31" s="400" t="s">
        <v>65</v>
      </c>
      <c r="D31" s="400"/>
      <c r="E31" s="400"/>
      <c r="F31" s="400"/>
      <c r="G31" s="400"/>
      <c r="H31" s="400"/>
      <c r="I31" s="400"/>
      <c r="J31" s="400"/>
      <c r="K31" s="400"/>
      <c r="L31" s="400"/>
      <c r="M31" s="400"/>
      <c r="N31" s="400"/>
      <c r="O31" s="400"/>
      <c r="P31" s="400"/>
      <c r="Q31" s="400"/>
      <c r="R31" s="448"/>
      <c r="S31" s="39"/>
      <c r="T31" s="489" t="s">
        <v>161</v>
      </c>
      <c r="U31" s="489"/>
      <c r="V31" s="489"/>
      <c r="W31" s="489"/>
      <c r="X31" s="489"/>
      <c r="Y31" s="489"/>
      <c r="Z31" s="489"/>
      <c r="AA31" s="489"/>
      <c r="AB31" s="489"/>
      <c r="AC31" s="490"/>
      <c r="AD31" s="25"/>
      <c r="AE31" s="139"/>
      <c r="AF31" s="400" t="s">
        <v>67</v>
      </c>
      <c r="AG31" s="400"/>
      <c r="AH31" s="400"/>
      <c r="AI31" s="400"/>
      <c r="AJ31" s="400"/>
      <c r="AK31" s="400"/>
      <c r="AL31" s="400"/>
      <c r="AM31" s="448"/>
      <c r="AN31" s="77"/>
      <c r="AO31" s="493">
        <v>10</v>
      </c>
      <c r="AP31" s="493"/>
      <c r="AQ31" s="495" t="s">
        <v>68</v>
      </c>
      <c r="AR31" s="495"/>
      <c r="AS31" s="495"/>
      <c r="AT31" s="495"/>
      <c r="AU31" s="495"/>
      <c r="AV31" s="495"/>
      <c r="AW31" s="495"/>
      <c r="AX31" s="380">
        <f>LOOKUP(AO31,BK30:BK35,IF(AE45&lt;1150,BM30:BM35,BP30:BP35))</f>
        <v>1198</v>
      </c>
      <c r="AY31" s="380"/>
      <c r="AZ31" s="380"/>
      <c r="BA31" s="497" t="s">
        <v>69</v>
      </c>
      <c r="BB31" s="497"/>
      <c r="BC31" s="481" t="s">
        <v>130</v>
      </c>
      <c r="BD31" s="481"/>
      <c r="BE31" s="481"/>
      <c r="BF31" s="481"/>
      <c r="BG31" s="481"/>
      <c r="BH31" s="482"/>
      <c r="BI31" s="41"/>
      <c r="BK31" s="311">
        <v>15</v>
      </c>
      <c r="BL31" s="311"/>
      <c r="BM31" s="311">
        <v>1222</v>
      </c>
      <c r="BN31" s="311"/>
      <c r="BO31" s="311"/>
      <c r="BP31" s="311">
        <v>1377</v>
      </c>
      <c r="BQ31" s="311"/>
      <c r="BR31" s="311"/>
    </row>
    <row r="32" spans="1:70" ht="7.4" customHeight="1" x14ac:dyDescent="0.5">
      <c r="A32" s="42"/>
      <c r="B32" s="61"/>
      <c r="C32" s="400"/>
      <c r="D32" s="400"/>
      <c r="E32" s="400"/>
      <c r="F32" s="400"/>
      <c r="G32" s="400"/>
      <c r="H32" s="400"/>
      <c r="I32" s="400"/>
      <c r="J32" s="400"/>
      <c r="K32" s="400"/>
      <c r="L32" s="400"/>
      <c r="M32" s="400"/>
      <c r="N32" s="400"/>
      <c r="O32" s="400"/>
      <c r="P32" s="400"/>
      <c r="Q32" s="400"/>
      <c r="R32" s="448"/>
      <c r="S32" s="25"/>
      <c r="T32" s="405"/>
      <c r="U32" s="405"/>
      <c r="V32" s="405"/>
      <c r="W32" s="405"/>
      <c r="X32" s="405"/>
      <c r="Y32" s="405"/>
      <c r="Z32" s="405"/>
      <c r="AA32" s="405"/>
      <c r="AB32" s="405"/>
      <c r="AC32" s="411"/>
      <c r="AD32" s="25"/>
      <c r="AE32" s="139"/>
      <c r="AF32" s="400"/>
      <c r="AG32" s="400"/>
      <c r="AH32" s="400"/>
      <c r="AI32" s="400"/>
      <c r="AJ32" s="400"/>
      <c r="AK32" s="400"/>
      <c r="AL32" s="400"/>
      <c r="AM32" s="448"/>
      <c r="AN32" s="25"/>
      <c r="AO32" s="480"/>
      <c r="AP32" s="480"/>
      <c r="AQ32" s="314"/>
      <c r="AR32" s="314"/>
      <c r="AS32" s="314"/>
      <c r="AT32" s="314"/>
      <c r="AU32" s="314"/>
      <c r="AV32" s="314"/>
      <c r="AW32" s="314"/>
      <c r="AX32" s="382"/>
      <c r="AY32" s="382"/>
      <c r="AZ32" s="382"/>
      <c r="BA32" s="498"/>
      <c r="BB32" s="498"/>
      <c r="BC32" s="483"/>
      <c r="BD32" s="483"/>
      <c r="BE32" s="483"/>
      <c r="BF32" s="483"/>
      <c r="BG32" s="483"/>
      <c r="BH32" s="484"/>
      <c r="BI32" s="41"/>
      <c r="BK32" s="311">
        <v>20</v>
      </c>
      <c r="BL32" s="311"/>
      <c r="BM32" s="311">
        <v>1256</v>
      </c>
      <c r="BN32" s="311"/>
      <c r="BO32" s="311"/>
      <c r="BP32" s="311">
        <v>1415</v>
      </c>
      <c r="BQ32" s="311"/>
      <c r="BR32" s="311"/>
    </row>
    <row r="33" spans="1:70" ht="7.4" customHeight="1" x14ac:dyDescent="0.5">
      <c r="A33" s="42"/>
      <c r="B33" s="64"/>
      <c r="C33" s="487"/>
      <c r="D33" s="487"/>
      <c r="E33" s="487"/>
      <c r="F33" s="487"/>
      <c r="G33" s="487"/>
      <c r="H33" s="487"/>
      <c r="I33" s="487"/>
      <c r="J33" s="487"/>
      <c r="K33" s="487"/>
      <c r="L33" s="487"/>
      <c r="M33" s="487"/>
      <c r="N33" s="487"/>
      <c r="O33" s="487"/>
      <c r="P33" s="487"/>
      <c r="Q33" s="487"/>
      <c r="R33" s="488"/>
      <c r="S33" s="51"/>
      <c r="T33" s="491"/>
      <c r="U33" s="491"/>
      <c r="V33" s="491"/>
      <c r="W33" s="491"/>
      <c r="X33" s="491"/>
      <c r="Y33" s="491"/>
      <c r="Z33" s="491"/>
      <c r="AA33" s="491"/>
      <c r="AB33" s="491"/>
      <c r="AC33" s="492"/>
      <c r="AD33" s="25"/>
      <c r="AE33" s="139"/>
      <c r="AF33" s="400"/>
      <c r="AG33" s="400"/>
      <c r="AH33" s="400"/>
      <c r="AI33" s="400"/>
      <c r="AJ33" s="400"/>
      <c r="AK33" s="400"/>
      <c r="AL33" s="400"/>
      <c r="AM33" s="448"/>
      <c r="AN33" s="135"/>
      <c r="AO33" s="494"/>
      <c r="AP33" s="494"/>
      <c r="AQ33" s="496"/>
      <c r="AR33" s="496"/>
      <c r="AS33" s="496"/>
      <c r="AT33" s="496"/>
      <c r="AU33" s="496"/>
      <c r="AV33" s="496"/>
      <c r="AW33" s="496"/>
      <c r="AX33" s="388"/>
      <c r="AY33" s="388"/>
      <c r="AZ33" s="388"/>
      <c r="BA33" s="499"/>
      <c r="BB33" s="499"/>
      <c r="BC33" s="485"/>
      <c r="BD33" s="485"/>
      <c r="BE33" s="485"/>
      <c r="BF33" s="485"/>
      <c r="BG33" s="485"/>
      <c r="BH33" s="486"/>
      <c r="BI33" s="41"/>
      <c r="BK33" s="311">
        <v>25</v>
      </c>
      <c r="BL33" s="311"/>
      <c r="BM33" s="311">
        <v>1302</v>
      </c>
      <c r="BN33" s="311"/>
      <c r="BO33" s="311"/>
      <c r="BP33" s="311">
        <v>1467</v>
      </c>
      <c r="BQ33" s="311"/>
      <c r="BR33" s="311"/>
    </row>
    <row r="34" spans="1:70" ht="7.4" customHeight="1" x14ac:dyDescent="0.5">
      <c r="A34" s="42"/>
      <c r="C34" s="79"/>
      <c r="D34" s="79"/>
      <c r="E34" s="79"/>
      <c r="F34" s="79"/>
      <c r="G34" s="79"/>
      <c r="H34" s="79"/>
      <c r="I34" s="79"/>
      <c r="J34" s="79"/>
      <c r="K34" s="79"/>
      <c r="L34" s="79"/>
      <c r="M34" s="79"/>
      <c r="N34" s="79"/>
      <c r="O34" s="79"/>
      <c r="P34" s="79"/>
      <c r="Q34" s="79"/>
      <c r="R34" s="79"/>
      <c r="T34" s="141"/>
      <c r="U34" s="141"/>
      <c r="V34" s="141"/>
      <c r="W34" s="141"/>
      <c r="X34" s="141"/>
      <c r="Y34" s="141"/>
      <c r="Z34" s="141"/>
      <c r="AA34" s="141"/>
      <c r="AB34" s="141"/>
      <c r="AC34" s="141"/>
      <c r="AD34" s="108"/>
      <c r="AE34" s="142"/>
      <c r="AF34" s="400" t="s">
        <v>132</v>
      </c>
      <c r="AG34" s="400"/>
      <c r="AH34" s="400"/>
      <c r="AI34" s="400"/>
      <c r="AJ34" s="400"/>
      <c r="AK34" s="400"/>
      <c r="AL34" s="400"/>
      <c r="AM34" s="448"/>
      <c r="AN34" s="79"/>
      <c r="AO34" s="79"/>
      <c r="AP34" s="79"/>
      <c r="AQ34" s="79"/>
      <c r="AR34" s="79"/>
      <c r="AS34" s="79"/>
      <c r="AT34" s="79"/>
      <c r="AU34" s="79"/>
      <c r="AV34" s="79"/>
      <c r="AW34" s="79"/>
      <c r="AX34" s="79"/>
      <c r="AY34" s="79"/>
      <c r="AZ34" s="79"/>
      <c r="BA34" s="79"/>
      <c r="BB34" s="79"/>
      <c r="BC34" s="143"/>
      <c r="BD34" s="143"/>
      <c r="BE34" s="143"/>
      <c r="BF34" s="143"/>
      <c r="BG34" s="143"/>
      <c r="BH34" s="144"/>
      <c r="BI34" s="124"/>
      <c r="BK34" s="311">
        <v>30</v>
      </c>
      <c r="BL34" s="311"/>
      <c r="BM34" s="311">
        <v>1363</v>
      </c>
      <c r="BN34" s="311"/>
      <c r="BO34" s="311"/>
      <c r="BP34" s="311">
        <v>1536</v>
      </c>
      <c r="BQ34" s="311"/>
      <c r="BR34" s="311"/>
    </row>
    <row r="35" spans="1:70" ht="7.4" customHeight="1" x14ac:dyDescent="0.5">
      <c r="A35" s="42"/>
      <c r="C35" s="79"/>
      <c r="D35" s="79"/>
      <c r="E35" s="79"/>
      <c r="F35" s="79"/>
      <c r="G35" s="79"/>
      <c r="H35" s="79"/>
      <c r="I35" s="79"/>
      <c r="J35" s="79"/>
      <c r="K35" s="79"/>
      <c r="L35" s="79"/>
      <c r="M35" s="79"/>
      <c r="N35" s="79"/>
      <c r="O35" s="79"/>
      <c r="P35" s="79"/>
      <c r="Q35" s="79"/>
      <c r="R35" s="79"/>
      <c r="S35" s="293"/>
      <c r="T35" s="141"/>
      <c r="U35" s="141"/>
      <c r="V35" s="141"/>
      <c r="W35" s="141"/>
      <c r="X35" s="141"/>
      <c r="Y35" s="141"/>
      <c r="Z35" s="141"/>
      <c r="AA35" s="141"/>
      <c r="AB35" s="141"/>
      <c r="AC35" s="141"/>
      <c r="AD35" s="25"/>
      <c r="AE35" s="139"/>
      <c r="AF35" s="400"/>
      <c r="AG35" s="400"/>
      <c r="AH35" s="400"/>
      <c r="AI35" s="400"/>
      <c r="AJ35" s="400"/>
      <c r="AK35" s="400"/>
      <c r="AL35" s="400"/>
      <c r="AM35" s="448"/>
      <c r="AN35" s="25"/>
      <c r="AO35" s="347" t="s">
        <v>14</v>
      </c>
      <c r="AP35" s="347"/>
      <c r="AQ35" s="347"/>
      <c r="AR35" s="347"/>
      <c r="AS35" s="347"/>
      <c r="AT35" s="347"/>
      <c r="AU35" s="347"/>
      <c r="AV35" s="347"/>
      <c r="AX35" s="108"/>
      <c r="AY35" s="108"/>
      <c r="AZ35" s="108"/>
      <c r="BA35" s="224"/>
      <c r="BB35" s="224"/>
      <c r="BC35" s="225"/>
      <c r="BD35" s="225"/>
      <c r="BE35" s="225"/>
      <c r="BF35" s="225"/>
      <c r="BG35" s="225"/>
      <c r="BH35" s="226"/>
      <c r="BI35" s="41"/>
      <c r="BK35" s="311"/>
      <c r="BL35" s="311"/>
      <c r="BM35" s="311"/>
      <c r="BN35" s="311"/>
      <c r="BO35" s="311"/>
      <c r="BP35" s="311"/>
      <c r="BQ35" s="311"/>
      <c r="BR35" s="311"/>
    </row>
    <row r="36" spans="1:70" ht="7.4" customHeight="1" x14ac:dyDescent="0.5">
      <c r="A36" s="42"/>
      <c r="C36" s="79"/>
      <c r="D36" s="79"/>
      <c r="E36" s="79"/>
      <c r="F36" s="79"/>
      <c r="G36" s="79"/>
      <c r="H36" s="79"/>
      <c r="I36" s="79"/>
      <c r="J36" s="79"/>
      <c r="K36" s="79"/>
      <c r="L36" s="79"/>
      <c r="M36" s="79"/>
      <c r="N36" s="79"/>
      <c r="O36" s="79"/>
      <c r="P36" s="79"/>
      <c r="Q36" s="79"/>
      <c r="R36" s="79"/>
      <c r="S36" s="293"/>
      <c r="T36" s="141"/>
      <c r="U36" s="141"/>
      <c r="V36" s="141"/>
      <c r="W36" s="141"/>
      <c r="X36" s="141"/>
      <c r="Y36" s="141"/>
      <c r="Z36" s="141"/>
      <c r="AA36" s="141"/>
      <c r="AB36" s="141"/>
      <c r="AC36" s="141"/>
      <c r="AD36" s="25"/>
      <c r="AE36" s="139"/>
      <c r="AF36" s="400"/>
      <c r="AG36" s="400"/>
      <c r="AH36" s="400"/>
      <c r="AI36" s="400"/>
      <c r="AJ36" s="400"/>
      <c r="AK36" s="400"/>
      <c r="AL36" s="400"/>
      <c r="AM36" s="448"/>
      <c r="AN36" s="25"/>
      <c r="AO36" s="347"/>
      <c r="AP36" s="347"/>
      <c r="AQ36" s="347"/>
      <c r="AR36" s="347"/>
      <c r="AS36" s="347"/>
      <c r="AT36" s="347"/>
      <c r="AU36" s="347"/>
      <c r="AV36" s="347"/>
      <c r="AX36" s="108"/>
      <c r="AY36" s="108"/>
      <c r="AZ36" s="108"/>
      <c r="BA36" s="224"/>
      <c r="BB36" s="224"/>
      <c r="BC36" s="225"/>
      <c r="BD36" s="225"/>
      <c r="BE36" s="225"/>
      <c r="BF36" s="225"/>
      <c r="BG36" s="225"/>
      <c r="BH36" s="226"/>
      <c r="BI36" s="41"/>
      <c r="BK36" s="75"/>
      <c r="BL36" s="75"/>
      <c r="BM36" s="75"/>
      <c r="BN36" s="75"/>
      <c r="BO36" s="75"/>
      <c r="BP36" s="75"/>
      <c r="BQ36" s="75"/>
      <c r="BR36" s="75"/>
    </row>
    <row r="37" spans="1:70" ht="7.4" customHeight="1" x14ac:dyDescent="0.5">
      <c r="A37" s="42"/>
      <c r="C37" s="79"/>
      <c r="D37" s="79"/>
      <c r="E37" s="79"/>
      <c r="F37" s="79"/>
      <c r="G37" s="79"/>
      <c r="H37" s="79"/>
      <c r="I37" s="79"/>
      <c r="J37" s="79"/>
      <c r="K37" s="79"/>
      <c r="L37" s="79"/>
      <c r="M37" s="79"/>
      <c r="N37" s="79"/>
      <c r="O37" s="79"/>
      <c r="P37" s="79"/>
      <c r="Q37" s="79"/>
      <c r="R37" s="79"/>
      <c r="T37" s="141"/>
      <c r="U37" s="141"/>
      <c r="V37" s="141"/>
      <c r="W37" s="141"/>
      <c r="X37" s="141"/>
      <c r="Y37" s="141"/>
      <c r="Z37" s="141"/>
      <c r="AA37" s="141"/>
      <c r="AB37" s="141"/>
      <c r="AC37" s="141"/>
      <c r="AD37" s="25"/>
      <c r="AE37" s="145"/>
      <c r="AF37" s="487"/>
      <c r="AG37" s="487"/>
      <c r="AH37" s="487"/>
      <c r="AI37" s="487"/>
      <c r="AJ37" s="487"/>
      <c r="AK37" s="487"/>
      <c r="AL37" s="487"/>
      <c r="AM37" s="488"/>
      <c r="AN37" s="135"/>
      <c r="AO37" s="135"/>
      <c r="AP37" s="135"/>
      <c r="AQ37" s="51"/>
      <c r="AR37" s="51"/>
      <c r="AS37" s="135"/>
      <c r="AT37" s="135"/>
      <c r="AU37" s="135"/>
      <c r="AV37" s="135"/>
      <c r="AW37" s="135"/>
      <c r="AX37" s="135"/>
      <c r="AY37" s="135"/>
      <c r="AZ37" s="135"/>
      <c r="BA37" s="135"/>
      <c r="BB37" s="135"/>
      <c r="BC37" s="146"/>
      <c r="BD37" s="146"/>
      <c r="BE37" s="146"/>
      <c r="BF37" s="146"/>
      <c r="BG37" s="146"/>
      <c r="BH37" s="147"/>
      <c r="BI37" s="41"/>
    </row>
    <row r="38" spans="1:70" ht="7.4" customHeight="1" x14ac:dyDescent="0.5">
      <c r="A38" s="42"/>
      <c r="X38" s="25"/>
      <c r="Y38" s="25"/>
      <c r="Z38" s="25"/>
      <c r="AA38" s="25"/>
      <c r="AB38" s="25"/>
      <c r="AC38" s="25"/>
      <c r="AD38" s="25"/>
      <c r="AE38" s="25"/>
      <c r="AF38" s="25"/>
      <c r="AG38" s="25"/>
      <c r="AH38" s="25"/>
      <c r="AI38" s="25"/>
      <c r="AJ38" s="25"/>
      <c r="AL38" s="79"/>
      <c r="AM38" s="79"/>
      <c r="AN38" s="79"/>
      <c r="AO38" s="79"/>
      <c r="AP38" s="79"/>
      <c r="AQ38" s="79"/>
      <c r="AR38" s="79"/>
      <c r="AS38" s="79"/>
      <c r="AV38" s="79"/>
      <c r="AW38" s="79"/>
      <c r="AX38" s="79"/>
      <c r="AY38" s="79"/>
      <c r="AZ38" s="79"/>
      <c r="BA38" s="79"/>
      <c r="BB38" s="79"/>
      <c r="BC38" s="79"/>
      <c r="BD38" s="79"/>
      <c r="BE38" s="79"/>
      <c r="BF38" s="79"/>
      <c r="BG38" s="79"/>
      <c r="BH38" s="79"/>
      <c r="BI38" s="41"/>
    </row>
    <row r="39" spans="1:70" ht="7.4" customHeight="1" x14ac:dyDescent="0.5">
      <c r="A39" s="42"/>
      <c r="B39" s="299" t="s">
        <v>73</v>
      </c>
      <c r="C39" s="363"/>
      <c r="D39" s="363"/>
      <c r="E39" s="363"/>
      <c r="F39" s="363"/>
      <c r="G39" s="363"/>
      <c r="H39" s="363"/>
      <c r="I39" s="363"/>
      <c r="J39" s="363"/>
      <c r="K39" s="363"/>
      <c r="L39" s="363"/>
      <c r="M39" s="363"/>
      <c r="N39" s="363"/>
      <c r="O39" s="363"/>
      <c r="P39" s="363"/>
      <c r="Q39" s="363"/>
      <c r="R39" s="363"/>
      <c r="S39" s="363"/>
      <c r="T39" s="363"/>
      <c r="U39" s="363"/>
      <c r="V39" s="363"/>
      <c r="W39" s="363"/>
      <c r="X39" s="363"/>
      <c r="Y39" s="363"/>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363"/>
      <c r="BC39" s="363"/>
      <c r="BD39" s="363"/>
      <c r="BE39" s="363"/>
      <c r="BF39" s="363"/>
      <c r="BG39" s="363"/>
      <c r="BH39" s="364"/>
      <c r="BI39" s="41"/>
    </row>
    <row r="40" spans="1:70" ht="7.4" customHeight="1" x14ac:dyDescent="0.5">
      <c r="A40" s="42"/>
      <c r="B40" s="365"/>
      <c r="C40" s="366"/>
      <c r="D40" s="366"/>
      <c r="E40" s="366"/>
      <c r="F40" s="366"/>
      <c r="G40" s="366"/>
      <c r="H40" s="366"/>
      <c r="I40" s="366"/>
      <c r="J40" s="366"/>
      <c r="K40" s="366"/>
      <c r="L40" s="366"/>
      <c r="M40" s="366"/>
      <c r="N40" s="366"/>
      <c r="O40" s="366"/>
      <c r="P40" s="366"/>
      <c r="Q40" s="366"/>
      <c r="R40" s="366"/>
      <c r="S40" s="366"/>
      <c r="T40" s="366"/>
      <c r="U40" s="366"/>
      <c r="V40" s="366"/>
      <c r="W40" s="366"/>
      <c r="X40" s="366"/>
      <c r="Y40" s="366"/>
      <c r="Z40" s="366"/>
      <c r="AA40" s="366"/>
      <c r="AB40" s="366"/>
      <c r="AC40" s="366"/>
      <c r="AD40" s="366"/>
      <c r="AE40" s="366"/>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7"/>
      <c r="BI40" s="41"/>
    </row>
    <row r="41" spans="1:70" ht="7.4" customHeight="1" x14ac:dyDescent="0.5">
      <c r="A41" s="42"/>
      <c r="B41" s="368"/>
      <c r="C41" s="369"/>
      <c r="D41" s="369"/>
      <c r="E41" s="369"/>
      <c r="F41" s="369"/>
      <c r="G41" s="369"/>
      <c r="H41" s="369"/>
      <c r="I41" s="369"/>
      <c r="J41" s="369"/>
      <c r="K41" s="369"/>
      <c r="L41" s="369"/>
      <c r="M41" s="369"/>
      <c r="N41" s="369"/>
      <c r="O41" s="369"/>
      <c r="P41" s="369"/>
      <c r="Q41" s="369"/>
      <c r="R41" s="369"/>
      <c r="S41" s="369"/>
      <c r="T41" s="369"/>
      <c r="U41" s="369"/>
      <c r="V41" s="369"/>
      <c r="W41" s="369"/>
      <c r="X41" s="369"/>
      <c r="Y41" s="369"/>
      <c r="Z41" s="369"/>
      <c r="AA41" s="369"/>
      <c r="AB41" s="369"/>
      <c r="AC41" s="369"/>
      <c r="AD41" s="369"/>
      <c r="AE41" s="369"/>
      <c r="AF41" s="369"/>
      <c r="AG41" s="369"/>
      <c r="AH41" s="369"/>
      <c r="AI41" s="369"/>
      <c r="AJ41" s="369"/>
      <c r="AK41" s="369"/>
      <c r="AL41" s="369"/>
      <c r="AM41" s="369"/>
      <c r="AN41" s="369"/>
      <c r="AO41" s="369"/>
      <c r="AP41" s="369"/>
      <c r="AQ41" s="369"/>
      <c r="AR41" s="369"/>
      <c r="AS41" s="369"/>
      <c r="AT41" s="369"/>
      <c r="AU41" s="369"/>
      <c r="AV41" s="369"/>
      <c r="AW41" s="369"/>
      <c r="AX41" s="369"/>
      <c r="AY41" s="369"/>
      <c r="AZ41" s="369"/>
      <c r="BA41" s="369"/>
      <c r="BB41" s="369"/>
      <c r="BC41" s="369"/>
      <c r="BD41" s="369"/>
      <c r="BE41" s="369"/>
      <c r="BF41" s="369"/>
      <c r="BG41" s="369"/>
      <c r="BH41" s="370"/>
      <c r="BI41" s="41"/>
    </row>
    <row r="42" spans="1:70" ht="7.4" customHeight="1" x14ac:dyDescent="0.5">
      <c r="A42" s="42"/>
      <c r="B42" s="58"/>
      <c r="C42" s="59"/>
      <c r="D42" s="59"/>
      <c r="E42" s="59"/>
      <c r="F42" s="59"/>
      <c r="G42" s="59"/>
      <c r="H42" s="60"/>
      <c r="I42" s="38"/>
      <c r="J42" s="39"/>
      <c r="K42" s="39"/>
      <c r="L42" s="39"/>
      <c r="M42" s="39"/>
      <c r="N42" s="39"/>
      <c r="O42" s="39"/>
      <c r="P42" s="58"/>
      <c r="Q42" s="59"/>
      <c r="R42" s="59"/>
      <c r="S42" s="148"/>
      <c r="T42" s="148"/>
      <c r="U42" s="149"/>
      <c r="V42" s="39"/>
      <c r="W42" s="89"/>
      <c r="X42" s="89"/>
      <c r="Y42" s="89"/>
      <c r="Z42" s="89"/>
      <c r="AA42" s="39"/>
      <c r="AB42" s="39"/>
      <c r="AC42" s="89"/>
      <c r="AD42" s="89"/>
      <c r="AE42" s="89"/>
      <c r="AF42" s="89"/>
      <c r="AG42" s="89"/>
      <c r="AH42" s="39"/>
      <c r="AI42" s="77"/>
      <c r="AJ42" s="77"/>
      <c r="AK42" s="77"/>
      <c r="AL42" s="77"/>
      <c r="AM42" s="77"/>
      <c r="AN42" s="77"/>
      <c r="AO42" s="77"/>
      <c r="AP42" s="77"/>
      <c r="AQ42" s="39"/>
      <c r="AR42" s="39"/>
      <c r="AS42" s="77"/>
      <c r="AT42" s="77"/>
      <c r="AU42" s="58"/>
      <c r="AV42" s="59"/>
      <c r="AW42" s="59"/>
      <c r="AX42" s="148"/>
      <c r="AY42" s="148"/>
      <c r="AZ42" s="148"/>
      <c r="BA42" s="150"/>
      <c r="BB42" s="39"/>
      <c r="BC42" s="39"/>
      <c r="BD42" s="39"/>
      <c r="BE42" s="77"/>
      <c r="BF42" s="77"/>
      <c r="BG42" s="77"/>
      <c r="BH42" s="138"/>
      <c r="BI42" s="41"/>
    </row>
    <row r="43" spans="1:70" ht="7.4" customHeight="1" x14ac:dyDescent="0.5">
      <c r="A43" s="42"/>
      <c r="B43" s="61"/>
      <c r="C43" s="344" t="s">
        <v>74</v>
      </c>
      <c r="D43" s="344"/>
      <c r="E43" s="344"/>
      <c r="F43" s="344"/>
      <c r="G43" s="344"/>
      <c r="H43" s="63"/>
      <c r="I43" s="42"/>
      <c r="J43" s="311">
        <f>M54*M58+P54*P58+S54*S58+V54*V58+Y54*Y58+AB54*AB58+AE54*AE58+AH54*AH58+AK54*AK58+AN54*AN58+AQ54*AQ58+AT54*AT58+AW54*AW58+AZ54*AZ58+BC54*BC58+BF54*BF58</f>
        <v>100</v>
      </c>
      <c r="K43" s="311"/>
      <c r="L43" s="311"/>
      <c r="M43" s="311"/>
      <c r="N43" s="311"/>
      <c r="P43" s="61"/>
      <c r="Q43" s="344" t="s">
        <v>75</v>
      </c>
      <c r="R43" s="344"/>
      <c r="S43" s="344"/>
      <c r="T43" s="344"/>
      <c r="U43" s="151"/>
      <c r="W43" s="453" t="s">
        <v>134</v>
      </c>
      <c r="X43" s="453"/>
      <c r="Y43" s="453"/>
      <c r="Z43" s="453"/>
      <c r="AA43" s="453"/>
      <c r="AB43" s="453"/>
      <c r="AC43" s="453"/>
      <c r="AD43" s="453"/>
      <c r="AE43" s="453"/>
      <c r="AF43" s="453"/>
      <c r="AG43" s="453"/>
      <c r="AH43" s="453"/>
      <c r="AI43" s="453"/>
      <c r="AJ43" s="453"/>
      <c r="AK43" s="453"/>
      <c r="AL43" s="453"/>
      <c r="AM43" s="453"/>
      <c r="AN43" s="453"/>
      <c r="AO43" s="453"/>
      <c r="AP43" s="453"/>
      <c r="AQ43" s="453"/>
      <c r="AR43" s="453"/>
      <c r="AS43" s="453"/>
      <c r="AT43" s="79"/>
      <c r="AU43" s="61"/>
      <c r="AV43" s="400" t="s">
        <v>77</v>
      </c>
      <c r="AW43" s="400"/>
      <c r="AX43" s="400"/>
      <c r="AY43" s="400"/>
      <c r="AZ43" s="400"/>
      <c r="BA43" s="152"/>
      <c r="BC43" s="471">
        <v>600</v>
      </c>
      <c r="BD43" s="471"/>
      <c r="BE43" s="471"/>
      <c r="BF43" s="471"/>
      <c r="BG43" s="471"/>
      <c r="BH43" s="124"/>
      <c r="BI43" s="41"/>
    </row>
    <row r="44" spans="1:70" ht="7.4" customHeight="1" x14ac:dyDescent="0.5">
      <c r="A44" s="42"/>
      <c r="B44" s="61"/>
      <c r="C44" s="344"/>
      <c r="D44" s="344"/>
      <c r="E44" s="344"/>
      <c r="F44" s="344"/>
      <c r="G44" s="344"/>
      <c r="H44" s="63"/>
      <c r="I44" s="42"/>
      <c r="J44" s="311"/>
      <c r="K44" s="311"/>
      <c r="L44" s="311"/>
      <c r="M44" s="311"/>
      <c r="N44" s="311"/>
      <c r="P44" s="61"/>
      <c r="Q44" s="344"/>
      <c r="R44" s="344"/>
      <c r="S44" s="344"/>
      <c r="T44" s="344"/>
      <c r="U44" s="151"/>
      <c r="W44" s="453"/>
      <c r="X44" s="453"/>
      <c r="Y44" s="453"/>
      <c r="Z44" s="453"/>
      <c r="AA44" s="453"/>
      <c r="AB44" s="453"/>
      <c r="AC44" s="453"/>
      <c r="AD44" s="453"/>
      <c r="AE44" s="453"/>
      <c r="AF44" s="453"/>
      <c r="AG44" s="453"/>
      <c r="AH44" s="453"/>
      <c r="AI44" s="453"/>
      <c r="AJ44" s="453"/>
      <c r="AK44" s="453"/>
      <c r="AL44" s="453"/>
      <c r="AM44" s="453"/>
      <c r="AN44" s="453"/>
      <c r="AO44" s="453"/>
      <c r="AP44" s="453"/>
      <c r="AQ44" s="453"/>
      <c r="AR44" s="453"/>
      <c r="AS44" s="453"/>
      <c r="AT44" s="79"/>
      <c r="AU44" s="61"/>
      <c r="AV44" s="400"/>
      <c r="AW44" s="400"/>
      <c r="AX44" s="400"/>
      <c r="AY44" s="400"/>
      <c r="AZ44" s="400"/>
      <c r="BA44" s="152"/>
      <c r="BC44" s="471"/>
      <c r="BD44" s="471"/>
      <c r="BE44" s="471"/>
      <c r="BF44" s="471"/>
      <c r="BG44" s="471"/>
      <c r="BH44" s="124"/>
      <c r="BI44" s="41"/>
    </row>
    <row r="45" spans="1:70" ht="7.4" customHeight="1" x14ac:dyDescent="0.5">
      <c r="A45" s="42"/>
      <c r="B45" s="61"/>
      <c r="C45" s="344"/>
      <c r="D45" s="344"/>
      <c r="E45" s="344"/>
      <c r="F45" s="344"/>
      <c r="G45" s="344"/>
      <c r="H45" s="63"/>
      <c r="I45" s="42"/>
      <c r="J45" s="311"/>
      <c r="K45" s="311"/>
      <c r="L45" s="311"/>
      <c r="M45" s="311"/>
      <c r="N45" s="311"/>
      <c r="P45" s="61"/>
      <c r="Q45" s="344"/>
      <c r="R45" s="344"/>
      <c r="S45" s="344"/>
      <c r="T45" s="344"/>
      <c r="U45" s="151"/>
      <c r="W45" s="472">
        <v>2278</v>
      </c>
      <c r="X45" s="472"/>
      <c r="Y45" s="472"/>
      <c r="Z45" s="472"/>
      <c r="AA45" s="153" t="s">
        <v>78</v>
      </c>
      <c r="AB45" s="153"/>
      <c r="AC45" s="154"/>
      <c r="AD45" s="154"/>
      <c r="AE45" s="472">
        <v>1134</v>
      </c>
      <c r="AF45" s="472"/>
      <c r="AG45" s="472"/>
      <c r="AH45" s="472"/>
      <c r="AI45" s="155" t="s">
        <v>79</v>
      </c>
      <c r="AJ45" s="155"/>
      <c r="AK45" s="155"/>
      <c r="AL45" s="155"/>
      <c r="AM45" s="472">
        <v>30</v>
      </c>
      <c r="AN45" s="472"/>
      <c r="AO45" s="472"/>
      <c r="AP45" s="472"/>
      <c r="AQ45" s="153" t="s">
        <v>80</v>
      </c>
      <c r="AR45" s="153"/>
      <c r="AS45" s="155"/>
      <c r="AT45" s="79"/>
      <c r="AU45" s="61"/>
      <c r="AV45" s="400"/>
      <c r="AW45" s="400"/>
      <c r="AX45" s="400"/>
      <c r="AY45" s="400"/>
      <c r="AZ45" s="400"/>
      <c r="BA45" s="152"/>
      <c r="BC45" s="471"/>
      <c r="BD45" s="471"/>
      <c r="BE45" s="471"/>
      <c r="BF45" s="471"/>
      <c r="BG45" s="471"/>
      <c r="BH45" s="124"/>
      <c r="BI45" s="41"/>
    </row>
    <row r="46" spans="1:70" ht="7.4" customHeight="1" x14ac:dyDescent="0.5">
      <c r="A46" s="42"/>
      <c r="B46" s="64"/>
      <c r="C46" s="65"/>
      <c r="D46" s="65"/>
      <c r="E46" s="65"/>
      <c r="F46" s="65"/>
      <c r="G46" s="65"/>
      <c r="H46" s="66"/>
      <c r="I46" s="50"/>
      <c r="J46" s="51"/>
      <c r="K46" s="51"/>
      <c r="L46" s="51"/>
      <c r="M46" s="51"/>
      <c r="N46" s="51"/>
      <c r="O46" s="51"/>
      <c r="P46" s="64"/>
      <c r="Q46" s="65"/>
      <c r="R46" s="65"/>
      <c r="S46" s="96"/>
      <c r="T46" s="96"/>
      <c r="U46" s="156"/>
      <c r="V46" s="51"/>
      <c r="W46" s="97"/>
      <c r="X46" s="97"/>
      <c r="Y46" s="97"/>
      <c r="Z46" s="97"/>
      <c r="AA46" s="51"/>
      <c r="AB46" s="51"/>
      <c r="AC46" s="97"/>
      <c r="AD46" s="97"/>
      <c r="AE46" s="97"/>
      <c r="AF46" s="97"/>
      <c r="AG46" s="97"/>
      <c r="AH46" s="51"/>
      <c r="AI46" s="135"/>
      <c r="AJ46" s="135"/>
      <c r="AK46" s="135"/>
      <c r="AL46" s="135"/>
      <c r="AM46" s="135"/>
      <c r="AN46" s="135"/>
      <c r="AO46" s="135"/>
      <c r="AP46" s="135"/>
      <c r="AQ46" s="51"/>
      <c r="AR46" s="51"/>
      <c r="AS46" s="135"/>
      <c r="AT46" s="135"/>
      <c r="AU46" s="64"/>
      <c r="AV46" s="65"/>
      <c r="AW46" s="65"/>
      <c r="AX46" s="96"/>
      <c r="AY46" s="96"/>
      <c r="AZ46" s="96"/>
      <c r="BA46" s="157"/>
      <c r="BB46" s="51"/>
      <c r="BC46" s="51"/>
      <c r="BD46" s="51"/>
      <c r="BE46" s="135"/>
      <c r="BF46" s="135"/>
      <c r="BG46" s="135"/>
      <c r="BH46" s="158"/>
      <c r="BI46" s="41"/>
    </row>
    <row r="47" spans="1:70" ht="7.4" customHeight="1" x14ac:dyDescent="0.5">
      <c r="A47" s="42"/>
      <c r="X47" s="25"/>
      <c r="Y47" s="25"/>
      <c r="Z47" s="25"/>
      <c r="AA47" s="25"/>
      <c r="AB47" s="25"/>
      <c r="AC47" s="25"/>
      <c r="AD47" s="25"/>
      <c r="AE47" s="25"/>
      <c r="AF47" s="25"/>
      <c r="AG47" s="25"/>
      <c r="AI47" s="79"/>
      <c r="AJ47" s="79"/>
      <c r="AK47" s="79"/>
      <c r="AL47" s="79"/>
      <c r="AM47" s="79"/>
      <c r="AN47" s="79"/>
      <c r="AO47" s="79"/>
      <c r="AP47" s="79"/>
      <c r="AS47" s="79"/>
      <c r="AT47" s="79"/>
      <c r="AU47" s="79"/>
      <c r="AV47" s="79"/>
      <c r="AW47" s="79"/>
      <c r="AX47" s="79"/>
      <c r="AY47" s="79"/>
      <c r="AZ47" s="79"/>
      <c r="BA47" s="79"/>
      <c r="BB47" s="79"/>
      <c r="BC47" s="79"/>
      <c r="BD47" s="79"/>
      <c r="BE47" s="79"/>
      <c r="BF47" s="79"/>
      <c r="BG47" s="79"/>
      <c r="BH47" s="79"/>
      <c r="BI47" s="41"/>
    </row>
    <row r="48" spans="1:70" ht="7.4" customHeight="1" x14ac:dyDescent="0.5">
      <c r="A48" s="42"/>
      <c r="B48" s="299" t="s">
        <v>81</v>
      </c>
      <c r="C48" s="363"/>
      <c r="D48" s="363"/>
      <c r="E48" s="363"/>
      <c r="F48" s="363"/>
      <c r="G48" s="363"/>
      <c r="H48" s="363"/>
      <c r="I48" s="363"/>
      <c r="J48" s="363"/>
      <c r="K48" s="363"/>
      <c r="L48" s="363"/>
      <c r="M48" s="363"/>
      <c r="N48" s="363"/>
      <c r="O48" s="363"/>
      <c r="P48" s="363"/>
      <c r="Q48" s="363"/>
      <c r="R48" s="363"/>
      <c r="S48" s="363"/>
      <c r="T48" s="363"/>
      <c r="U48" s="363"/>
      <c r="V48" s="363"/>
      <c r="W48" s="363"/>
      <c r="X48" s="363"/>
      <c r="Y48" s="363"/>
      <c r="Z48" s="363"/>
      <c r="AA48" s="363"/>
      <c r="AB48" s="363"/>
      <c r="AC48" s="363"/>
      <c r="AD48" s="363"/>
      <c r="AE48" s="363"/>
      <c r="AF48" s="363"/>
      <c r="AG48" s="363"/>
      <c r="AH48" s="363"/>
      <c r="AI48" s="363"/>
      <c r="AJ48" s="363"/>
      <c r="AK48" s="363"/>
      <c r="AL48" s="363"/>
      <c r="AM48" s="363"/>
      <c r="AN48" s="363"/>
      <c r="AO48" s="363"/>
      <c r="AP48" s="363"/>
      <c r="AQ48" s="363"/>
      <c r="AR48" s="363"/>
      <c r="AS48" s="363"/>
      <c r="AT48" s="363"/>
      <c r="AU48" s="363"/>
      <c r="AV48" s="363"/>
      <c r="AW48" s="363"/>
      <c r="AX48" s="363"/>
      <c r="AY48" s="363"/>
      <c r="AZ48" s="363"/>
      <c r="BA48" s="363"/>
      <c r="BB48" s="363"/>
      <c r="BC48" s="363"/>
      <c r="BD48" s="363"/>
      <c r="BE48" s="363"/>
      <c r="BF48" s="363"/>
      <c r="BG48" s="363"/>
      <c r="BH48" s="364"/>
      <c r="BI48" s="41"/>
    </row>
    <row r="49" spans="1:61" ht="7.4" customHeight="1" x14ac:dyDescent="0.5">
      <c r="A49" s="42"/>
      <c r="B49" s="365"/>
      <c r="C49" s="366"/>
      <c r="D49" s="366"/>
      <c r="E49" s="366"/>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7"/>
      <c r="BI49" s="41"/>
    </row>
    <row r="50" spans="1:61" ht="7.4" customHeight="1" x14ac:dyDescent="0.5">
      <c r="A50" s="42"/>
      <c r="B50" s="368"/>
      <c r="C50" s="369"/>
      <c r="D50" s="369"/>
      <c r="E50" s="369"/>
      <c r="F50" s="369"/>
      <c r="G50" s="369"/>
      <c r="H50" s="369"/>
      <c r="I50" s="369"/>
      <c r="J50" s="369"/>
      <c r="K50" s="369"/>
      <c r="L50" s="369"/>
      <c r="M50" s="369"/>
      <c r="N50" s="369"/>
      <c r="O50" s="369"/>
      <c r="P50" s="369"/>
      <c r="Q50" s="369"/>
      <c r="R50" s="369"/>
      <c r="S50" s="369"/>
      <c r="T50" s="369"/>
      <c r="U50" s="369"/>
      <c r="V50" s="369"/>
      <c r="W50" s="369"/>
      <c r="X50" s="369"/>
      <c r="Y50" s="369"/>
      <c r="Z50" s="369"/>
      <c r="AA50" s="369"/>
      <c r="AB50" s="369"/>
      <c r="AC50" s="369"/>
      <c r="AD50" s="369"/>
      <c r="AE50" s="369"/>
      <c r="AF50" s="369"/>
      <c r="AG50" s="369"/>
      <c r="AH50" s="369"/>
      <c r="AI50" s="369"/>
      <c r="AJ50" s="369"/>
      <c r="AK50" s="369"/>
      <c r="AL50" s="369"/>
      <c r="AM50" s="369"/>
      <c r="AN50" s="369"/>
      <c r="AO50" s="369"/>
      <c r="AP50" s="369"/>
      <c r="AQ50" s="369"/>
      <c r="AR50" s="369"/>
      <c r="AS50" s="369"/>
      <c r="AT50" s="369"/>
      <c r="AU50" s="369"/>
      <c r="AV50" s="369"/>
      <c r="AW50" s="369"/>
      <c r="AX50" s="369"/>
      <c r="AY50" s="369"/>
      <c r="AZ50" s="369"/>
      <c r="BA50" s="369"/>
      <c r="BB50" s="369"/>
      <c r="BC50" s="369"/>
      <c r="BD50" s="369"/>
      <c r="BE50" s="369"/>
      <c r="BF50" s="369"/>
      <c r="BG50" s="369"/>
      <c r="BH50" s="370"/>
      <c r="BI50" s="41"/>
    </row>
    <row r="51" spans="1:61" ht="7.4" customHeight="1" x14ac:dyDescent="0.5">
      <c r="A51" s="42"/>
      <c r="B51" s="61"/>
      <c r="C51" s="159"/>
      <c r="D51" s="159"/>
      <c r="E51" s="159"/>
      <c r="F51" s="159"/>
      <c r="G51" s="159"/>
      <c r="H51" s="159"/>
      <c r="I51" s="159"/>
      <c r="J51" s="159"/>
      <c r="K51" s="159"/>
      <c r="L51" s="151"/>
      <c r="M51" s="473">
        <v>1</v>
      </c>
      <c r="N51" s="474"/>
      <c r="O51" s="475"/>
      <c r="P51" s="473">
        <v>2</v>
      </c>
      <c r="Q51" s="474"/>
      <c r="R51" s="475"/>
      <c r="S51" s="473">
        <v>3</v>
      </c>
      <c r="T51" s="474"/>
      <c r="U51" s="475"/>
      <c r="V51" s="473">
        <v>4</v>
      </c>
      <c r="W51" s="474"/>
      <c r="X51" s="475"/>
      <c r="Y51" s="473">
        <v>5</v>
      </c>
      <c r="Z51" s="474"/>
      <c r="AA51" s="475"/>
      <c r="AB51" s="473">
        <v>6</v>
      </c>
      <c r="AC51" s="474"/>
      <c r="AD51" s="475"/>
      <c r="AE51" s="473">
        <v>7</v>
      </c>
      <c r="AF51" s="474"/>
      <c r="AG51" s="475"/>
      <c r="AH51" s="473">
        <v>8</v>
      </c>
      <c r="AI51" s="474"/>
      <c r="AJ51" s="475"/>
      <c r="AK51" s="473">
        <v>9</v>
      </c>
      <c r="AL51" s="474"/>
      <c r="AM51" s="475"/>
      <c r="AN51" s="473">
        <v>10</v>
      </c>
      <c r="AO51" s="474"/>
      <c r="AP51" s="475"/>
      <c r="AQ51" s="473">
        <v>11</v>
      </c>
      <c r="AR51" s="474"/>
      <c r="AS51" s="475"/>
      <c r="AT51" s="473">
        <v>12</v>
      </c>
      <c r="AU51" s="474"/>
      <c r="AV51" s="475"/>
      <c r="AW51" s="473">
        <v>13</v>
      </c>
      <c r="AX51" s="474"/>
      <c r="AY51" s="475"/>
      <c r="AZ51" s="473">
        <v>14</v>
      </c>
      <c r="BA51" s="474"/>
      <c r="BB51" s="475"/>
      <c r="BC51" s="473">
        <v>15</v>
      </c>
      <c r="BD51" s="474"/>
      <c r="BE51" s="475"/>
      <c r="BF51" s="473">
        <v>16</v>
      </c>
      <c r="BG51" s="474"/>
      <c r="BH51" s="475"/>
      <c r="BI51" s="41"/>
    </row>
    <row r="52" spans="1:61" ht="7.4" customHeight="1" x14ac:dyDescent="0.5">
      <c r="A52" s="42"/>
      <c r="B52" s="61"/>
      <c r="C52" s="159"/>
      <c r="D52" s="159"/>
      <c r="E52" s="159"/>
      <c r="F52" s="159"/>
      <c r="G52" s="159"/>
      <c r="H52" s="159"/>
      <c r="I52" s="159"/>
      <c r="J52" s="159"/>
      <c r="K52" s="159"/>
      <c r="L52" s="151"/>
      <c r="M52" s="473"/>
      <c r="N52" s="474"/>
      <c r="O52" s="475"/>
      <c r="P52" s="473"/>
      <c r="Q52" s="474"/>
      <c r="R52" s="475"/>
      <c r="S52" s="473"/>
      <c r="T52" s="474"/>
      <c r="U52" s="475"/>
      <c r="V52" s="473"/>
      <c r="W52" s="474"/>
      <c r="X52" s="475"/>
      <c r="Y52" s="473"/>
      <c r="Z52" s="474"/>
      <c r="AA52" s="475"/>
      <c r="AB52" s="473"/>
      <c r="AC52" s="474"/>
      <c r="AD52" s="475"/>
      <c r="AE52" s="473"/>
      <c r="AF52" s="474"/>
      <c r="AG52" s="475"/>
      <c r="AH52" s="473"/>
      <c r="AI52" s="474"/>
      <c r="AJ52" s="475"/>
      <c r="AK52" s="473"/>
      <c r="AL52" s="474"/>
      <c r="AM52" s="475"/>
      <c r="AN52" s="473"/>
      <c r="AO52" s="474"/>
      <c r="AP52" s="475"/>
      <c r="AQ52" s="473"/>
      <c r="AR52" s="474"/>
      <c r="AS52" s="475"/>
      <c r="AT52" s="473"/>
      <c r="AU52" s="474"/>
      <c r="AV52" s="475"/>
      <c r="AW52" s="473"/>
      <c r="AX52" s="474"/>
      <c r="AY52" s="475"/>
      <c r="AZ52" s="473"/>
      <c r="BA52" s="474"/>
      <c r="BB52" s="475"/>
      <c r="BC52" s="473"/>
      <c r="BD52" s="474"/>
      <c r="BE52" s="475"/>
      <c r="BF52" s="473"/>
      <c r="BG52" s="474"/>
      <c r="BH52" s="475"/>
      <c r="BI52" s="41"/>
    </row>
    <row r="53" spans="1:61" ht="7.4" customHeight="1" x14ac:dyDescent="0.5">
      <c r="A53" s="42"/>
      <c r="B53" s="61"/>
      <c r="C53" s="159"/>
      <c r="D53" s="159"/>
      <c r="E53" s="159"/>
      <c r="F53" s="159"/>
      <c r="G53" s="62"/>
      <c r="H53" s="160"/>
      <c r="I53" s="160"/>
      <c r="J53" s="160"/>
      <c r="K53" s="160"/>
      <c r="L53" s="152"/>
      <c r="M53" s="81"/>
      <c r="N53" s="77"/>
      <c r="O53" s="40"/>
      <c r="P53" s="81"/>
      <c r="Q53" s="77"/>
      <c r="R53" s="40"/>
      <c r="S53" s="81"/>
      <c r="T53" s="77"/>
      <c r="U53" s="40"/>
      <c r="V53" s="81"/>
      <c r="W53" s="77"/>
      <c r="X53" s="40"/>
      <c r="Y53" s="81"/>
      <c r="Z53" s="77"/>
      <c r="AA53" s="40"/>
      <c r="AB53" s="81"/>
      <c r="AC53" s="77"/>
      <c r="AD53" s="40"/>
      <c r="AE53" s="81"/>
      <c r="AF53" s="77"/>
      <c r="AG53" s="40"/>
      <c r="AH53" s="81"/>
      <c r="AI53" s="77"/>
      <c r="AJ53" s="40"/>
      <c r="AK53" s="81"/>
      <c r="AL53" s="77"/>
      <c r="AM53" s="40"/>
      <c r="AN53" s="81"/>
      <c r="AO53" s="77"/>
      <c r="AP53" s="40"/>
      <c r="AQ53" s="81"/>
      <c r="AR53" s="77"/>
      <c r="AS53" s="40"/>
      <c r="AT53" s="81"/>
      <c r="AU53" s="77"/>
      <c r="AV53" s="40"/>
      <c r="AW53" s="81"/>
      <c r="AX53" s="77"/>
      <c r="AY53" s="40"/>
      <c r="AZ53" s="81"/>
      <c r="BA53" s="77"/>
      <c r="BB53" s="40"/>
      <c r="BC53" s="81"/>
      <c r="BD53" s="77"/>
      <c r="BE53" s="40"/>
      <c r="BF53" s="81"/>
      <c r="BG53" s="77"/>
      <c r="BH53" s="40"/>
      <c r="BI53" s="41"/>
    </row>
    <row r="54" spans="1:61" ht="7.4" customHeight="1" x14ac:dyDescent="0.5">
      <c r="A54" s="42"/>
      <c r="B54" s="61"/>
      <c r="C54" s="400" t="s">
        <v>135</v>
      </c>
      <c r="D54" s="400"/>
      <c r="E54" s="400"/>
      <c r="F54" s="400"/>
      <c r="G54" s="400"/>
      <c r="H54" s="400"/>
      <c r="I54" s="400"/>
      <c r="J54" s="400"/>
      <c r="K54" s="400"/>
      <c r="L54" s="448"/>
      <c r="M54" s="349">
        <v>10</v>
      </c>
      <c r="N54" s="318"/>
      <c r="O54" s="350"/>
      <c r="P54" s="349">
        <v>0</v>
      </c>
      <c r="Q54" s="318"/>
      <c r="R54" s="350"/>
      <c r="S54" s="349">
        <v>0</v>
      </c>
      <c r="T54" s="318"/>
      <c r="U54" s="350"/>
      <c r="V54" s="349">
        <v>0</v>
      </c>
      <c r="W54" s="318"/>
      <c r="X54" s="350"/>
      <c r="Y54" s="349">
        <v>0</v>
      </c>
      <c r="Z54" s="318"/>
      <c r="AA54" s="350"/>
      <c r="AB54" s="349">
        <v>0</v>
      </c>
      <c r="AC54" s="318"/>
      <c r="AD54" s="350"/>
      <c r="AE54" s="349">
        <v>0</v>
      </c>
      <c r="AF54" s="318"/>
      <c r="AG54" s="350"/>
      <c r="AH54" s="349">
        <v>0</v>
      </c>
      <c r="AI54" s="318"/>
      <c r="AJ54" s="350"/>
      <c r="AK54" s="349">
        <v>0</v>
      </c>
      <c r="AL54" s="318"/>
      <c r="AM54" s="350"/>
      <c r="AN54" s="349">
        <v>0</v>
      </c>
      <c r="AO54" s="318"/>
      <c r="AP54" s="350"/>
      <c r="AQ54" s="349">
        <v>0</v>
      </c>
      <c r="AR54" s="318"/>
      <c r="AS54" s="350"/>
      <c r="AT54" s="349">
        <v>0</v>
      </c>
      <c r="AU54" s="318"/>
      <c r="AV54" s="350"/>
      <c r="AW54" s="349">
        <v>0</v>
      </c>
      <c r="AX54" s="318"/>
      <c r="AY54" s="350"/>
      <c r="AZ54" s="349">
        <v>0</v>
      </c>
      <c r="BA54" s="318"/>
      <c r="BB54" s="350"/>
      <c r="BC54" s="349">
        <v>0</v>
      </c>
      <c r="BD54" s="318"/>
      <c r="BE54" s="350"/>
      <c r="BF54" s="349">
        <v>0</v>
      </c>
      <c r="BG54" s="318"/>
      <c r="BH54" s="350"/>
      <c r="BI54" s="41"/>
    </row>
    <row r="55" spans="1:61" ht="7.4" customHeight="1" x14ac:dyDescent="0.5">
      <c r="A55" s="42"/>
      <c r="B55" s="61"/>
      <c r="C55" s="400"/>
      <c r="D55" s="400"/>
      <c r="E55" s="400"/>
      <c r="F55" s="400"/>
      <c r="G55" s="400"/>
      <c r="H55" s="400"/>
      <c r="I55" s="400"/>
      <c r="J55" s="400"/>
      <c r="K55" s="400"/>
      <c r="L55" s="448"/>
      <c r="M55" s="349"/>
      <c r="N55" s="318"/>
      <c r="O55" s="350"/>
      <c r="P55" s="349"/>
      <c r="Q55" s="318"/>
      <c r="R55" s="350"/>
      <c r="S55" s="349"/>
      <c r="T55" s="318"/>
      <c r="U55" s="350"/>
      <c r="V55" s="349"/>
      <c r="W55" s="318"/>
      <c r="X55" s="350"/>
      <c r="Y55" s="349"/>
      <c r="Z55" s="318"/>
      <c r="AA55" s="350"/>
      <c r="AB55" s="349"/>
      <c r="AC55" s="318"/>
      <c r="AD55" s="350"/>
      <c r="AE55" s="349"/>
      <c r="AF55" s="318"/>
      <c r="AG55" s="350"/>
      <c r="AH55" s="349"/>
      <c r="AI55" s="318"/>
      <c r="AJ55" s="350"/>
      <c r="AK55" s="349"/>
      <c r="AL55" s="318"/>
      <c r="AM55" s="350"/>
      <c r="AN55" s="349"/>
      <c r="AO55" s="318"/>
      <c r="AP55" s="350"/>
      <c r="AQ55" s="349"/>
      <c r="AR55" s="318"/>
      <c r="AS55" s="350"/>
      <c r="AT55" s="349"/>
      <c r="AU55" s="318"/>
      <c r="AV55" s="350"/>
      <c r="AW55" s="349"/>
      <c r="AX55" s="318"/>
      <c r="AY55" s="350"/>
      <c r="AZ55" s="349"/>
      <c r="BA55" s="318"/>
      <c r="BB55" s="350"/>
      <c r="BC55" s="349"/>
      <c r="BD55" s="318"/>
      <c r="BE55" s="350"/>
      <c r="BF55" s="349"/>
      <c r="BG55" s="318"/>
      <c r="BH55" s="350"/>
      <c r="BI55" s="41"/>
    </row>
    <row r="56" spans="1:61" ht="7.4" customHeight="1" x14ac:dyDescent="0.5">
      <c r="A56" s="42"/>
      <c r="B56" s="61"/>
      <c r="C56" s="159"/>
      <c r="D56" s="159"/>
      <c r="E56" s="159"/>
      <c r="F56" s="159"/>
      <c r="G56" s="62"/>
      <c r="H56" s="160"/>
      <c r="I56" s="160"/>
      <c r="J56" s="160"/>
      <c r="K56" s="160"/>
      <c r="L56" s="152"/>
      <c r="M56" s="161"/>
      <c r="N56" s="162"/>
      <c r="O56" s="163"/>
      <c r="P56" s="161"/>
      <c r="Q56" s="162"/>
      <c r="R56" s="163"/>
      <c r="S56" s="161"/>
      <c r="T56" s="162"/>
      <c r="U56" s="163"/>
      <c r="V56" s="161"/>
      <c r="W56" s="162"/>
      <c r="X56" s="163"/>
      <c r="Y56" s="161"/>
      <c r="Z56" s="162"/>
      <c r="AA56" s="163"/>
      <c r="AB56" s="164"/>
      <c r="AC56" s="165"/>
      <c r="AD56" s="166"/>
      <c r="AE56" s="164"/>
      <c r="AF56" s="165"/>
      <c r="AG56" s="166"/>
      <c r="AH56" s="164"/>
      <c r="AI56" s="165"/>
      <c r="AJ56" s="166"/>
      <c r="AK56" s="164"/>
      <c r="AL56" s="165"/>
      <c r="AM56" s="166"/>
      <c r="AN56" s="164"/>
      <c r="AO56" s="165"/>
      <c r="AP56" s="166"/>
      <c r="AQ56" s="164"/>
      <c r="AR56" s="165"/>
      <c r="AS56" s="166"/>
      <c r="AT56" s="164"/>
      <c r="AU56" s="165"/>
      <c r="AV56" s="166"/>
      <c r="AW56" s="164"/>
      <c r="AX56" s="165"/>
      <c r="AY56" s="166"/>
      <c r="AZ56" s="164"/>
      <c r="BA56" s="165"/>
      <c r="BB56" s="166"/>
      <c r="BC56" s="164"/>
      <c r="BD56" s="165"/>
      <c r="BE56" s="166"/>
      <c r="BF56" s="164"/>
      <c r="BG56" s="165"/>
      <c r="BH56" s="166"/>
      <c r="BI56" s="41"/>
    </row>
    <row r="57" spans="1:61" ht="7.4" customHeight="1" x14ac:dyDescent="0.5">
      <c r="A57" s="42"/>
      <c r="B57" s="61"/>
      <c r="C57" s="159"/>
      <c r="D57" s="159"/>
      <c r="E57" s="159"/>
      <c r="F57" s="159"/>
      <c r="G57" s="62"/>
      <c r="H57" s="160"/>
      <c r="I57" s="160"/>
      <c r="J57" s="160"/>
      <c r="K57" s="160"/>
      <c r="L57" s="152"/>
      <c r="M57" s="167"/>
      <c r="N57" s="168"/>
      <c r="O57" s="169"/>
      <c r="P57" s="167"/>
      <c r="Q57" s="168"/>
      <c r="R57" s="169"/>
      <c r="S57" s="167"/>
      <c r="T57" s="168"/>
      <c r="U57" s="169"/>
      <c r="V57" s="167"/>
      <c r="W57" s="168"/>
      <c r="X57" s="169"/>
      <c r="Y57" s="167"/>
      <c r="Z57" s="168"/>
      <c r="AA57" s="169"/>
      <c r="AB57" s="170"/>
      <c r="AC57" s="171"/>
      <c r="AD57" s="172"/>
      <c r="AE57" s="170"/>
      <c r="AF57" s="171"/>
      <c r="AG57" s="172"/>
      <c r="AH57" s="170"/>
      <c r="AI57" s="171"/>
      <c r="AJ57" s="172"/>
      <c r="AK57" s="170"/>
      <c r="AL57" s="171"/>
      <c r="AM57" s="172"/>
      <c r="AN57" s="170"/>
      <c r="AO57" s="171"/>
      <c r="AP57" s="172"/>
      <c r="AQ57" s="170"/>
      <c r="AR57" s="171"/>
      <c r="AS57" s="172"/>
      <c r="AT57" s="170"/>
      <c r="AU57" s="171"/>
      <c r="AV57" s="172"/>
      <c r="AW57" s="170"/>
      <c r="AX57" s="171"/>
      <c r="AY57" s="172"/>
      <c r="AZ57" s="170"/>
      <c r="BA57" s="171"/>
      <c r="BB57" s="172"/>
      <c r="BC57" s="170"/>
      <c r="BD57" s="171"/>
      <c r="BE57" s="172"/>
      <c r="BF57" s="170"/>
      <c r="BG57" s="171"/>
      <c r="BH57" s="172"/>
      <c r="BI57" s="41"/>
    </row>
    <row r="58" spans="1:61" ht="7.4" customHeight="1" x14ac:dyDescent="0.5">
      <c r="A58" s="42"/>
      <c r="B58" s="61"/>
      <c r="C58" s="400" t="s">
        <v>136</v>
      </c>
      <c r="D58" s="400"/>
      <c r="E58" s="400"/>
      <c r="F58" s="400"/>
      <c r="G58" s="400"/>
      <c r="H58" s="400"/>
      <c r="I58" s="400"/>
      <c r="J58" s="400"/>
      <c r="K58" s="400"/>
      <c r="L58" s="448"/>
      <c r="M58" s="349">
        <v>10</v>
      </c>
      <c r="N58" s="318"/>
      <c r="O58" s="350"/>
      <c r="P58" s="349">
        <v>0</v>
      </c>
      <c r="Q58" s="318"/>
      <c r="R58" s="350"/>
      <c r="S58" s="349">
        <v>0</v>
      </c>
      <c r="T58" s="318"/>
      <c r="U58" s="350"/>
      <c r="V58" s="349">
        <v>0</v>
      </c>
      <c r="W58" s="318"/>
      <c r="X58" s="350"/>
      <c r="Y58" s="349">
        <v>0</v>
      </c>
      <c r="Z58" s="318"/>
      <c r="AA58" s="350"/>
      <c r="AB58" s="349">
        <v>0</v>
      </c>
      <c r="AC58" s="318"/>
      <c r="AD58" s="350"/>
      <c r="AE58" s="349">
        <v>0</v>
      </c>
      <c r="AF58" s="318"/>
      <c r="AG58" s="350"/>
      <c r="AH58" s="349">
        <v>0</v>
      </c>
      <c r="AI58" s="318"/>
      <c r="AJ58" s="350"/>
      <c r="AK58" s="349">
        <v>0</v>
      </c>
      <c r="AL58" s="318"/>
      <c r="AM58" s="350"/>
      <c r="AN58" s="349">
        <v>0</v>
      </c>
      <c r="AO58" s="318"/>
      <c r="AP58" s="350"/>
      <c r="AQ58" s="349">
        <v>0</v>
      </c>
      <c r="AR58" s="318"/>
      <c r="AS58" s="350"/>
      <c r="AT58" s="349">
        <v>0</v>
      </c>
      <c r="AU58" s="318"/>
      <c r="AV58" s="350"/>
      <c r="AW58" s="349">
        <v>0</v>
      </c>
      <c r="AX58" s="318"/>
      <c r="AY58" s="350"/>
      <c r="AZ58" s="349">
        <v>0</v>
      </c>
      <c r="BA58" s="318"/>
      <c r="BB58" s="350"/>
      <c r="BC58" s="349">
        <v>0</v>
      </c>
      <c r="BD58" s="318"/>
      <c r="BE58" s="350"/>
      <c r="BF58" s="349">
        <v>0</v>
      </c>
      <c r="BG58" s="318"/>
      <c r="BH58" s="350"/>
      <c r="BI58" s="41"/>
    </row>
    <row r="59" spans="1:61" ht="7.4" customHeight="1" x14ac:dyDescent="0.5">
      <c r="A59" s="42"/>
      <c r="B59" s="61"/>
      <c r="C59" s="400"/>
      <c r="D59" s="400"/>
      <c r="E59" s="400"/>
      <c r="F59" s="400"/>
      <c r="G59" s="400"/>
      <c r="H59" s="400"/>
      <c r="I59" s="400"/>
      <c r="J59" s="400"/>
      <c r="K59" s="400"/>
      <c r="L59" s="448"/>
      <c r="M59" s="349"/>
      <c r="N59" s="318"/>
      <c r="O59" s="350"/>
      <c r="P59" s="349"/>
      <c r="Q59" s="318"/>
      <c r="R59" s="350"/>
      <c r="S59" s="349"/>
      <c r="T59" s="318"/>
      <c r="U59" s="350"/>
      <c r="V59" s="349"/>
      <c r="W59" s="318"/>
      <c r="X59" s="350"/>
      <c r="Y59" s="349"/>
      <c r="Z59" s="318"/>
      <c r="AA59" s="350"/>
      <c r="AB59" s="349"/>
      <c r="AC59" s="318"/>
      <c r="AD59" s="350"/>
      <c r="AE59" s="349"/>
      <c r="AF59" s="318"/>
      <c r="AG59" s="350"/>
      <c r="AH59" s="349"/>
      <c r="AI59" s="318"/>
      <c r="AJ59" s="350"/>
      <c r="AK59" s="349"/>
      <c r="AL59" s="318"/>
      <c r="AM59" s="350"/>
      <c r="AN59" s="349"/>
      <c r="AO59" s="318"/>
      <c r="AP59" s="350"/>
      <c r="AQ59" s="349"/>
      <c r="AR59" s="318"/>
      <c r="AS59" s="350"/>
      <c r="AT59" s="349"/>
      <c r="AU59" s="318"/>
      <c r="AV59" s="350"/>
      <c r="AW59" s="349"/>
      <c r="AX59" s="318"/>
      <c r="AY59" s="350"/>
      <c r="AZ59" s="349"/>
      <c r="BA59" s="318"/>
      <c r="BB59" s="350"/>
      <c r="BC59" s="349"/>
      <c r="BD59" s="318"/>
      <c r="BE59" s="350"/>
      <c r="BF59" s="349"/>
      <c r="BG59" s="318"/>
      <c r="BH59" s="350"/>
      <c r="BI59" s="41"/>
    </row>
    <row r="60" spans="1:61" ht="7.4" customHeight="1" x14ac:dyDescent="0.5">
      <c r="A60" s="42"/>
      <c r="B60" s="64"/>
      <c r="C60" s="96"/>
      <c r="D60" s="96"/>
      <c r="E60" s="96"/>
      <c r="F60" s="96"/>
      <c r="G60" s="65"/>
      <c r="H60" s="173"/>
      <c r="I60" s="173"/>
      <c r="J60" s="173"/>
      <c r="K60" s="173"/>
      <c r="L60" s="157"/>
      <c r="M60" s="174"/>
      <c r="N60" s="135"/>
      <c r="O60" s="52"/>
      <c r="P60" s="174"/>
      <c r="Q60" s="135"/>
      <c r="R60" s="52"/>
      <c r="S60" s="174"/>
      <c r="T60" s="135"/>
      <c r="U60" s="52"/>
      <c r="V60" s="174"/>
      <c r="W60" s="135"/>
      <c r="X60" s="52"/>
      <c r="Y60" s="174"/>
      <c r="Z60" s="135"/>
      <c r="AA60" s="52"/>
      <c r="AB60" s="174"/>
      <c r="AC60" s="135"/>
      <c r="AD60" s="52"/>
      <c r="AE60" s="174"/>
      <c r="AF60" s="135"/>
      <c r="AG60" s="52"/>
      <c r="AH60" s="174"/>
      <c r="AI60" s="135"/>
      <c r="AJ60" s="52"/>
      <c r="AK60" s="174"/>
      <c r="AL60" s="135"/>
      <c r="AM60" s="52"/>
      <c r="AN60" s="174"/>
      <c r="AO60" s="135"/>
      <c r="AP60" s="52"/>
      <c r="AQ60" s="174"/>
      <c r="AR60" s="135"/>
      <c r="AS60" s="52"/>
      <c r="AT60" s="174"/>
      <c r="AU60" s="135"/>
      <c r="AV60" s="52"/>
      <c r="AW60" s="174"/>
      <c r="AX60" s="135"/>
      <c r="AY60" s="52"/>
      <c r="AZ60" s="174"/>
      <c r="BA60" s="135"/>
      <c r="BB60" s="52"/>
      <c r="BC60" s="174"/>
      <c r="BD60" s="135"/>
      <c r="BE60" s="52"/>
      <c r="BF60" s="174"/>
      <c r="BG60" s="135"/>
      <c r="BH60" s="52"/>
      <c r="BI60" s="41"/>
    </row>
    <row r="61" spans="1:61" ht="7.4" customHeight="1" x14ac:dyDescent="0.5">
      <c r="A61" s="42"/>
      <c r="R61" s="25"/>
      <c r="S61" s="25"/>
      <c r="T61" s="25"/>
      <c r="U61" s="25"/>
      <c r="V61" s="25"/>
      <c r="W61" s="25"/>
      <c r="X61" s="25"/>
      <c r="Y61" s="25"/>
      <c r="Z61" s="25"/>
      <c r="AS61" s="79"/>
      <c r="AT61" s="79"/>
      <c r="AU61" s="79"/>
      <c r="AV61" s="79"/>
      <c r="AW61" s="79"/>
      <c r="AX61" s="79"/>
      <c r="AY61" s="79"/>
      <c r="AZ61" s="79"/>
      <c r="BA61" s="79"/>
      <c r="BB61" s="79"/>
      <c r="BE61" s="79"/>
      <c r="BF61" s="79"/>
      <c r="BG61" s="79"/>
      <c r="BH61" s="79"/>
      <c r="BI61" s="41"/>
    </row>
    <row r="62" spans="1:61" ht="7.4" customHeight="1" x14ac:dyDescent="0.5">
      <c r="A62" s="42"/>
      <c r="B62" s="299" t="s">
        <v>83</v>
      </c>
      <c r="C62" s="363"/>
      <c r="D62" s="363"/>
      <c r="E62" s="363"/>
      <c r="F62" s="363"/>
      <c r="G62" s="363"/>
      <c r="H62" s="363"/>
      <c r="I62" s="363"/>
      <c r="J62" s="363"/>
      <c r="K62" s="363"/>
      <c r="L62" s="363"/>
      <c r="M62" s="363"/>
      <c r="N62" s="363"/>
      <c r="O62" s="363"/>
      <c r="P62" s="363"/>
      <c r="Q62" s="363"/>
      <c r="R62" s="363"/>
      <c r="S62" s="363"/>
      <c r="T62" s="363"/>
      <c r="U62" s="364"/>
      <c r="AQ62" s="79"/>
      <c r="AR62" s="299" t="s">
        <v>37</v>
      </c>
      <c r="AS62" s="363"/>
      <c r="AT62" s="363"/>
      <c r="AU62" s="363"/>
      <c r="AV62" s="363"/>
      <c r="AW62" s="363"/>
      <c r="AX62" s="363"/>
      <c r="AY62" s="363"/>
      <c r="AZ62" s="363"/>
      <c r="BA62" s="363"/>
      <c r="BB62" s="363"/>
      <c r="BC62" s="363"/>
      <c r="BD62" s="363"/>
      <c r="BE62" s="363"/>
      <c r="BF62" s="363"/>
      <c r="BG62" s="363"/>
      <c r="BH62" s="364"/>
      <c r="BI62" s="41"/>
    </row>
    <row r="63" spans="1:61" ht="7.4" customHeight="1" x14ac:dyDescent="0.5">
      <c r="A63" s="42"/>
      <c r="B63" s="365"/>
      <c r="C63" s="366"/>
      <c r="D63" s="366"/>
      <c r="E63" s="366"/>
      <c r="F63" s="366"/>
      <c r="G63" s="366"/>
      <c r="H63" s="366"/>
      <c r="I63" s="366"/>
      <c r="J63" s="366"/>
      <c r="K63" s="366"/>
      <c r="L63" s="366"/>
      <c r="M63" s="366"/>
      <c r="N63" s="366"/>
      <c r="O63" s="366"/>
      <c r="P63" s="366"/>
      <c r="Q63" s="366"/>
      <c r="R63" s="366"/>
      <c r="S63" s="366"/>
      <c r="T63" s="366"/>
      <c r="U63" s="367"/>
      <c r="AQ63" s="79"/>
      <c r="AR63" s="365"/>
      <c r="AS63" s="366"/>
      <c r="AT63" s="366"/>
      <c r="AU63" s="366"/>
      <c r="AV63" s="366"/>
      <c r="AW63" s="366"/>
      <c r="AX63" s="366"/>
      <c r="AY63" s="366"/>
      <c r="AZ63" s="366"/>
      <c r="BA63" s="366"/>
      <c r="BB63" s="366"/>
      <c r="BC63" s="366"/>
      <c r="BD63" s="366"/>
      <c r="BE63" s="366"/>
      <c r="BF63" s="366"/>
      <c r="BG63" s="366"/>
      <c r="BH63" s="367"/>
      <c r="BI63" s="41"/>
    </row>
    <row r="64" spans="1:61" ht="7.4" customHeight="1" x14ac:dyDescent="0.5">
      <c r="A64" s="42"/>
      <c r="B64" s="368"/>
      <c r="C64" s="369"/>
      <c r="D64" s="369"/>
      <c r="E64" s="369"/>
      <c r="F64" s="369"/>
      <c r="G64" s="369"/>
      <c r="H64" s="369"/>
      <c r="I64" s="369"/>
      <c r="J64" s="369"/>
      <c r="K64" s="369"/>
      <c r="L64" s="369"/>
      <c r="M64" s="369"/>
      <c r="N64" s="369"/>
      <c r="O64" s="369"/>
      <c r="P64" s="369"/>
      <c r="Q64" s="369"/>
      <c r="R64" s="369"/>
      <c r="S64" s="369"/>
      <c r="T64" s="369"/>
      <c r="U64" s="370"/>
      <c r="AQ64" s="79"/>
      <c r="AR64" s="368"/>
      <c r="AS64" s="369"/>
      <c r="AT64" s="369"/>
      <c r="AU64" s="369"/>
      <c r="AV64" s="369"/>
      <c r="AW64" s="369"/>
      <c r="AX64" s="369"/>
      <c r="AY64" s="369"/>
      <c r="AZ64" s="369"/>
      <c r="BA64" s="369"/>
      <c r="BB64" s="369"/>
      <c r="BC64" s="369"/>
      <c r="BD64" s="369"/>
      <c r="BE64" s="369"/>
      <c r="BF64" s="369"/>
      <c r="BG64" s="369"/>
      <c r="BH64" s="370"/>
      <c r="BI64" s="41"/>
    </row>
    <row r="65" spans="1:61" ht="7.4" customHeight="1" x14ac:dyDescent="0.5">
      <c r="A65" s="42"/>
      <c r="B65" s="58"/>
      <c r="C65" s="511" t="s">
        <v>91</v>
      </c>
      <c r="D65" s="511"/>
      <c r="E65" s="511"/>
      <c r="F65" s="511"/>
      <c r="G65" s="511"/>
      <c r="H65" s="511"/>
      <c r="I65" s="511"/>
      <c r="J65" s="511"/>
      <c r="K65" s="511"/>
      <c r="L65" s="511"/>
      <c r="M65" s="512"/>
      <c r="N65" s="38"/>
      <c r="O65" s="39"/>
      <c r="P65" s="39"/>
      <c r="Q65" s="39"/>
      <c r="R65" s="89"/>
      <c r="S65" s="89"/>
      <c r="T65" s="89"/>
      <c r="U65" s="176"/>
      <c r="AQ65" s="79"/>
      <c r="AR65" s="61"/>
      <c r="AS65" s="62"/>
      <c r="AT65" s="62"/>
      <c r="AU65" s="62"/>
      <c r="AV65" s="62"/>
      <c r="AW65" s="62"/>
      <c r="AX65" s="62"/>
      <c r="AY65" s="62"/>
      <c r="AZ65" s="62"/>
      <c r="BA65" s="62"/>
      <c r="BB65" s="62"/>
      <c r="BC65" s="62"/>
      <c r="BD65" s="62"/>
      <c r="BE65" s="38"/>
      <c r="BF65" s="39"/>
      <c r="BG65" s="39"/>
      <c r="BH65" s="40"/>
      <c r="BI65" s="41"/>
    </row>
    <row r="66" spans="1:61" ht="7.4" customHeight="1" x14ac:dyDescent="0.5">
      <c r="A66" s="42"/>
      <c r="B66" s="61"/>
      <c r="C66" s="455"/>
      <c r="D66" s="455"/>
      <c r="E66" s="455"/>
      <c r="F66" s="455"/>
      <c r="G66" s="455"/>
      <c r="H66" s="455"/>
      <c r="I66" s="455"/>
      <c r="J66" s="455"/>
      <c r="K66" s="455"/>
      <c r="L66" s="455"/>
      <c r="M66" s="458"/>
      <c r="N66" s="452" t="s">
        <v>42</v>
      </c>
      <c r="O66" s="453"/>
      <c r="P66" s="453"/>
      <c r="Q66" s="453"/>
      <c r="R66" s="453"/>
      <c r="S66" s="453"/>
      <c r="T66" s="453"/>
      <c r="U66" s="454"/>
      <c r="AQ66" s="79"/>
      <c r="AR66" s="61"/>
      <c r="AS66" s="400" t="s">
        <v>89</v>
      </c>
      <c r="AT66" s="400"/>
      <c r="AU66" s="400"/>
      <c r="AV66" s="400"/>
      <c r="AW66" s="400"/>
      <c r="AX66" s="400"/>
      <c r="AY66" s="400"/>
      <c r="AZ66" s="400"/>
      <c r="BA66" s="400"/>
      <c r="BB66" s="400"/>
      <c r="BC66" s="400"/>
      <c r="BD66" s="400"/>
      <c r="BE66" s="42"/>
      <c r="BF66" s="518">
        <v>0.02</v>
      </c>
      <c r="BG66" s="518"/>
      <c r="BH66" s="450"/>
      <c r="BI66" s="41"/>
    </row>
    <row r="67" spans="1:61" ht="7.4" customHeight="1" x14ac:dyDescent="0.5">
      <c r="A67" s="42"/>
      <c r="B67" s="61"/>
      <c r="C67" s="455"/>
      <c r="D67" s="455"/>
      <c r="E67" s="455"/>
      <c r="F67" s="455"/>
      <c r="G67" s="455"/>
      <c r="H67" s="455"/>
      <c r="I67" s="455"/>
      <c r="J67" s="455"/>
      <c r="K67" s="455"/>
      <c r="L67" s="455"/>
      <c r="M67" s="458"/>
      <c r="N67" s="452"/>
      <c r="O67" s="453"/>
      <c r="P67" s="453"/>
      <c r="Q67" s="453"/>
      <c r="R67" s="453"/>
      <c r="S67" s="453"/>
      <c r="T67" s="453"/>
      <c r="U67" s="454"/>
      <c r="AQ67" s="79"/>
      <c r="AR67" s="61"/>
      <c r="AS67" s="400"/>
      <c r="AT67" s="400"/>
      <c r="AU67" s="400"/>
      <c r="AV67" s="400"/>
      <c r="AW67" s="400"/>
      <c r="AX67" s="400"/>
      <c r="AY67" s="400"/>
      <c r="AZ67" s="400"/>
      <c r="BA67" s="400"/>
      <c r="BB67" s="400"/>
      <c r="BC67" s="400"/>
      <c r="BD67" s="400"/>
      <c r="BE67" s="42"/>
      <c r="BF67" s="518"/>
      <c r="BG67" s="518"/>
      <c r="BH67" s="450"/>
      <c r="BI67" s="41"/>
    </row>
    <row r="68" spans="1:61" ht="7.4" customHeight="1" x14ac:dyDescent="0.5">
      <c r="A68" s="42"/>
      <c r="B68" s="61"/>
      <c r="C68" s="62"/>
      <c r="D68" s="62"/>
      <c r="E68" s="62"/>
      <c r="F68" s="62"/>
      <c r="G68" s="62"/>
      <c r="H68" s="62"/>
      <c r="I68" s="62"/>
      <c r="J68" s="62"/>
      <c r="K68" s="62"/>
      <c r="L68" s="62"/>
      <c r="M68" s="63"/>
      <c r="N68" s="50"/>
      <c r="O68" s="51"/>
      <c r="P68" s="51"/>
      <c r="Q68" s="51"/>
      <c r="R68" s="97"/>
      <c r="S68" s="97"/>
      <c r="T68" s="97"/>
      <c r="U68" s="98"/>
      <c r="AQ68" s="79"/>
      <c r="AR68" s="61"/>
      <c r="AS68" s="400" t="s">
        <v>90</v>
      </c>
      <c r="AT68" s="400"/>
      <c r="AU68" s="400"/>
      <c r="AV68" s="400"/>
      <c r="AW68" s="400"/>
      <c r="AX68" s="400"/>
      <c r="AY68" s="400"/>
      <c r="AZ68" s="400"/>
      <c r="BA68" s="400"/>
      <c r="BB68" s="400"/>
      <c r="BC68" s="400"/>
      <c r="BD68" s="400"/>
      <c r="BE68" s="42"/>
      <c r="BF68" s="518"/>
      <c r="BG68" s="518"/>
      <c r="BH68" s="450"/>
      <c r="BI68" s="41"/>
    </row>
    <row r="69" spans="1:61" ht="7.4" customHeight="1" x14ac:dyDescent="0.5">
      <c r="A69" s="42"/>
      <c r="B69" s="61"/>
      <c r="C69" s="455" t="s">
        <v>94</v>
      </c>
      <c r="D69" s="455"/>
      <c r="E69" s="455"/>
      <c r="F69" s="455"/>
      <c r="G69" s="455"/>
      <c r="H69" s="455"/>
      <c r="I69" s="455"/>
      <c r="J69" s="455"/>
      <c r="K69" s="455"/>
      <c r="L69" s="455"/>
      <c r="M69" s="458"/>
      <c r="N69" s="38"/>
      <c r="O69" s="39"/>
      <c r="P69" s="39"/>
      <c r="Q69" s="39"/>
      <c r="R69" s="89"/>
      <c r="S69" s="89"/>
      <c r="T69" s="89"/>
      <c r="U69" s="176"/>
      <c r="AQ69" s="79"/>
      <c r="AR69" s="61"/>
      <c r="AS69" s="400"/>
      <c r="AT69" s="400"/>
      <c r="AU69" s="400"/>
      <c r="AV69" s="400"/>
      <c r="AW69" s="400"/>
      <c r="AX69" s="400"/>
      <c r="AY69" s="400"/>
      <c r="AZ69" s="400"/>
      <c r="BA69" s="400"/>
      <c r="BB69" s="400"/>
      <c r="BC69" s="400"/>
      <c r="BD69" s="400"/>
      <c r="BE69" s="42"/>
      <c r="BF69" s="518"/>
      <c r="BG69" s="518"/>
      <c r="BH69" s="450"/>
      <c r="BI69" s="41"/>
    </row>
    <row r="70" spans="1:61" ht="7.4" customHeight="1" x14ac:dyDescent="0.5">
      <c r="A70" s="42"/>
      <c r="B70" s="61"/>
      <c r="C70" s="455"/>
      <c r="D70" s="455"/>
      <c r="E70" s="455"/>
      <c r="F70" s="455"/>
      <c r="G70" s="455"/>
      <c r="H70" s="455"/>
      <c r="I70" s="455"/>
      <c r="J70" s="455"/>
      <c r="K70" s="455"/>
      <c r="L70" s="455"/>
      <c r="M70" s="458"/>
      <c r="N70" s="452" t="s">
        <v>143</v>
      </c>
      <c r="O70" s="453"/>
      <c r="P70" s="453"/>
      <c r="Q70" s="453"/>
      <c r="R70" s="453"/>
      <c r="S70" s="453"/>
      <c r="T70" s="453"/>
      <c r="U70" s="454"/>
      <c r="AQ70" s="79"/>
      <c r="AR70" s="61"/>
      <c r="AS70" s="62"/>
      <c r="AT70" s="62"/>
      <c r="AU70" s="62"/>
      <c r="AV70" s="62"/>
      <c r="AW70" s="62"/>
      <c r="AX70" s="62"/>
      <c r="AY70" s="62"/>
      <c r="AZ70" s="62"/>
      <c r="BA70" s="62"/>
      <c r="BB70" s="62"/>
      <c r="BC70" s="62"/>
      <c r="BD70" s="62"/>
      <c r="BE70" s="50"/>
      <c r="BF70" s="51"/>
      <c r="BG70" s="51"/>
      <c r="BH70" s="52"/>
      <c r="BI70" s="41"/>
    </row>
    <row r="71" spans="1:61" ht="7.4" customHeight="1" x14ac:dyDescent="0.5">
      <c r="A71" s="42"/>
      <c r="B71" s="61"/>
      <c r="C71" s="455"/>
      <c r="D71" s="455"/>
      <c r="E71" s="455"/>
      <c r="F71" s="455"/>
      <c r="G71" s="455"/>
      <c r="H71" s="455"/>
      <c r="I71" s="455"/>
      <c r="J71" s="455"/>
      <c r="K71" s="455"/>
      <c r="L71" s="455"/>
      <c r="M71" s="458"/>
      <c r="N71" s="452"/>
      <c r="O71" s="453"/>
      <c r="P71" s="453"/>
      <c r="Q71" s="453"/>
      <c r="R71" s="453"/>
      <c r="S71" s="453"/>
      <c r="T71" s="453"/>
      <c r="U71" s="454"/>
      <c r="AQ71" s="79"/>
      <c r="AR71" s="61"/>
      <c r="AS71" s="62"/>
      <c r="AT71" s="62"/>
      <c r="AU71" s="62"/>
      <c r="AV71" s="62"/>
      <c r="AW71" s="62"/>
      <c r="AX71" s="62"/>
      <c r="AY71" s="62"/>
      <c r="AZ71" s="62"/>
      <c r="BA71" s="62"/>
      <c r="BB71" s="62"/>
      <c r="BC71" s="62"/>
      <c r="BD71" s="63"/>
      <c r="BH71" s="41"/>
      <c r="BI71" s="41"/>
    </row>
    <row r="72" spans="1:61" ht="7.4" customHeight="1" x14ac:dyDescent="0.5">
      <c r="A72" s="42"/>
      <c r="B72" s="64"/>
      <c r="C72" s="65"/>
      <c r="D72" s="65"/>
      <c r="E72" s="65"/>
      <c r="F72" s="65"/>
      <c r="G72" s="65"/>
      <c r="H72" s="65"/>
      <c r="I72" s="65"/>
      <c r="J72" s="65"/>
      <c r="K72" s="65"/>
      <c r="L72" s="65"/>
      <c r="M72" s="66"/>
      <c r="N72" s="50"/>
      <c r="O72" s="51"/>
      <c r="P72" s="51"/>
      <c r="Q72" s="51"/>
      <c r="R72" s="97"/>
      <c r="S72" s="97"/>
      <c r="T72" s="97"/>
      <c r="U72" s="98"/>
      <c r="AQ72" s="79"/>
      <c r="AR72" s="61"/>
      <c r="AS72" s="400" t="s">
        <v>93</v>
      </c>
      <c r="AT72" s="400"/>
      <c r="AU72" s="400"/>
      <c r="AV72" s="400"/>
      <c r="AW72" s="400"/>
      <c r="AX72" s="400"/>
      <c r="AY72" s="400"/>
      <c r="AZ72" s="400"/>
      <c r="BA72" s="400"/>
      <c r="BB72" s="400"/>
      <c r="BC72" s="400"/>
      <c r="BD72" s="448"/>
      <c r="BF72" s="518">
        <v>0.04</v>
      </c>
      <c r="BG72" s="518"/>
      <c r="BH72" s="450"/>
      <c r="BI72" s="41"/>
    </row>
    <row r="73" spans="1:61" ht="7.4" customHeight="1" x14ac:dyDescent="0.5">
      <c r="A73" s="42"/>
      <c r="AQ73" s="79"/>
      <c r="AR73" s="61"/>
      <c r="AS73" s="400"/>
      <c r="AT73" s="400"/>
      <c r="AU73" s="400"/>
      <c r="AV73" s="400"/>
      <c r="AW73" s="400"/>
      <c r="AX73" s="400"/>
      <c r="AY73" s="400"/>
      <c r="AZ73" s="400"/>
      <c r="BA73" s="400"/>
      <c r="BB73" s="400"/>
      <c r="BC73" s="400"/>
      <c r="BD73" s="448"/>
      <c r="BF73" s="518"/>
      <c r="BG73" s="518"/>
      <c r="BH73" s="450"/>
      <c r="BI73" s="41"/>
    </row>
    <row r="74" spans="1:61" ht="7.4" customHeight="1" x14ac:dyDescent="0.5">
      <c r="A74" s="42"/>
      <c r="AQ74" s="79"/>
      <c r="AR74" s="61"/>
      <c r="AS74" s="62"/>
      <c r="AT74" s="62"/>
      <c r="AU74" s="62"/>
      <c r="AV74" s="62"/>
      <c r="AW74" s="62"/>
      <c r="AX74" s="62"/>
      <c r="AY74" s="62"/>
      <c r="AZ74" s="62"/>
      <c r="BA74" s="62"/>
      <c r="BB74" s="62"/>
      <c r="BC74" s="62"/>
      <c r="BD74" s="63"/>
      <c r="BE74" s="51"/>
      <c r="BF74" s="51"/>
      <c r="BG74" s="51"/>
      <c r="BH74" s="52"/>
      <c r="BI74" s="41"/>
    </row>
    <row r="75" spans="1:61" ht="7.4" customHeight="1" x14ac:dyDescent="0.5">
      <c r="A75" s="42"/>
      <c r="AR75" s="61"/>
      <c r="AS75" s="62"/>
      <c r="AT75" s="62"/>
      <c r="AU75" s="62"/>
      <c r="AV75" s="62"/>
      <c r="AW75" s="62"/>
      <c r="AX75" s="62"/>
      <c r="AY75" s="62"/>
      <c r="AZ75" s="62"/>
      <c r="BA75" s="62"/>
      <c r="BB75" s="62"/>
      <c r="BC75" s="62"/>
      <c r="BD75" s="63"/>
      <c r="BE75" s="39"/>
      <c r="BF75" s="39"/>
      <c r="BG75" s="39"/>
      <c r="BH75" s="40"/>
      <c r="BI75" s="41"/>
    </row>
    <row r="76" spans="1:61" ht="7.4" customHeight="1" x14ac:dyDescent="0.5">
      <c r="A76" s="42"/>
      <c r="AQ76" s="79"/>
      <c r="AR76" s="61"/>
      <c r="AS76" s="400" t="s">
        <v>97</v>
      </c>
      <c r="AT76" s="400"/>
      <c r="AU76" s="400"/>
      <c r="AV76" s="400"/>
      <c r="AW76" s="400"/>
      <c r="AX76" s="400"/>
      <c r="AY76" s="400"/>
      <c r="AZ76" s="400"/>
      <c r="BA76" s="400"/>
      <c r="BB76" s="400"/>
      <c r="BC76" s="400"/>
      <c r="BD76" s="448"/>
      <c r="BF76" s="518">
        <v>0.03</v>
      </c>
      <c r="BG76" s="518"/>
      <c r="BH76" s="450"/>
      <c r="BI76" s="41"/>
    </row>
    <row r="77" spans="1:61" ht="7.4" customHeight="1" x14ac:dyDescent="0.5">
      <c r="A77" s="42"/>
      <c r="AQ77" s="79"/>
      <c r="AR77" s="61"/>
      <c r="AS77" s="400"/>
      <c r="AT77" s="400"/>
      <c r="AU77" s="400"/>
      <c r="AV77" s="400"/>
      <c r="AW77" s="400"/>
      <c r="AX77" s="400"/>
      <c r="AY77" s="400"/>
      <c r="AZ77" s="400"/>
      <c r="BA77" s="400"/>
      <c r="BB77" s="400"/>
      <c r="BC77" s="400"/>
      <c r="BD77" s="448"/>
      <c r="BF77" s="518"/>
      <c r="BG77" s="518"/>
      <c r="BH77" s="450"/>
      <c r="BI77" s="41"/>
    </row>
    <row r="78" spans="1:61" ht="7.4" customHeight="1" x14ac:dyDescent="0.5">
      <c r="A78" s="42"/>
      <c r="Y78" s="25"/>
      <c r="Z78" s="25"/>
      <c r="AA78" s="25"/>
      <c r="AB78" s="25"/>
      <c r="AC78" s="25"/>
      <c r="AD78" s="25"/>
      <c r="AE78" s="25"/>
      <c r="AF78" s="25"/>
      <c r="AG78" s="25"/>
      <c r="AH78" s="25"/>
      <c r="AJ78" s="79"/>
      <c r="AK78" s="79"/>
      <c r="AL78" s="79"/>
      <c r="AM78" s="79"/>
      <c r="AN78" s="79"/>
      <c r="AO78" s="79"/>
      <c r="AP78" s="79"/>
      <c r="AQ78" s="79"/>
      <c r="AR78" s="64"/>
      <c r="AS78" s="65"/>
      <c r="AT78" s="65"/>
      <c r="AU78" s="65"/>
      <c r="AV78" s="65"/>
      <c r="AW78" s="65"/>
      <c r="AX78" s="65"/>
      <c r="AY78" s="65"/>
      <c r="AZ78" s="65"/>
      <c r="BA78" s="65"/>
      <c r="BB78" s="65"/>
      <c r="BC78" s="65"/>
      <c r="BD78" s="66"/>
      <c r="BE78" s="51"/>
      <c r="BF78" s="51"/>
      <c r="BG78" s="51"/>
      <c r="BH78" s="52"/>
      <c r="BI78" s="41"/>
    </row>
    <row r="79" spans="1:61" ht="7.4" customHeight="1" x14ac:dyDescent="0.5">
      <c r="A79" s="50"/>
      <c r="B79" s="51"/>
      <c r="C79" s="51"/>
      <c r="D79" s="135"/>
      <c r="E79" s="135"/>
      <c r="F79" s="135"/>
      <c r="G79" s="135"/>
      <c r="H79" s="135"/>
      <c r="I79" s="135"/>
      <c r="J79" s="135"/>
      <c r="K79" s="135"/>
      <c r="L79" s="135"/>
      <c r="M79" s="135"/>
      <c r="N79" s="135"/>
      <c r="O79" s="135"/>
      <c r="P79" s="135"/>
      <c r="Q79" s="135"/>
      <c r="R79" s="135"/>
      <c r="S79" s="135"/>
      <c r="T79" s="135"/>
      <c r="U79" s="135"/>
      <c r="V79" s="135"/>
      <c r="W79" s="135"/>
      <c r="X79" s="135"/>
      <c r="Y79" s="135"/>
      <c r="Z79" s="135"/>
      <c r="AA79" s="135"/>
      <c r="AB79" s="135"/>
      <c r="AC79" s="135"/>
      <c r="AD79" s="135"/>
      <c r="AE79" s="135"/>
      <c r="AF79" s="135"/>
      <c r="AG79" s="135"/>
      <c r="AH79" s="135"/>
      <c r="AI79" s="135"/>
      <c r="AJ79" s="135"/>
      <c r="AK79" s="135"/>
      <c r="AL79" s="135"/>
      <c r="AM79" s="135"/>
      <c r="AN79" s="135"/>
      <c r="AO79" s="135"/>
      <c r="AP79" s="135"/>
      <c r="AQ79" s="135"/>
      <c r="AR79" s="135"/>
      <c r="AS79" s="135"/>
      <c r="AT79" s="135"/>
      <c r="AU79" s="135"/>
      <c r="AV79" s="135"/>
      <c r="AW79" s="135"/>
      <c r="AX79" s="135"/>
      <c r="AY79" s="135"/>
      <c r="AZ79" s="135"/>
      <c r="BA79" s="135"/>
      <c r="BB79" s="135"/>
      <c r="BC79" s="135"/>
      <c r="BD79" s="135"/>
      <c r="BE79" s="135"/>
      <c r="BF79" s="135"/>
      <c r="BG79" s="135"/>
      <c r="BH79" s="135"/>
      <c r="BI79" s="52"/>
    </row>
    <row r="80" spans="1:61" ht="7.4" customHeight="1" x14ac:dyDescent="0.5">
      <c r="D80" s="79"/>
      <c r="E80" s="79"/>
      <c r="F80" s="79"/>
      <c r="G80" s="79"/>
      <c r="H80" s="79"/>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79"/>
      <c r="AS80" s="79"/>
      <c r="AT80" s="79"/>
      <c r="AU80" s="79"/>
      <c r="AV80" s="79"/>
      <c r="AW80" s="79"/>
      <c r="AX80" s="79"/>
      <c r="AY80" s="79"/>
      <c r="AZ80" s="79"/>
      <c r="BA80" s="79"/>
      <c r="BB80" s="79"/>
      <c r="BC80" s="79"/>
      <c r="BD80" s="79"/>
      <c r="BE80" s="79"/>
      <c r="BF80" s="79"/>
      <c r="BG80" s="79"/>
      <c r="BH80" s="79"/>
    </row>
    <row r="81" spans="1:61" ht="7.4" customHeight="1" x14ac:dyDescent="0.5">
      <c r="A81" s="337" t="s">
        <v>46</v>
      </c>
      <c r="B81" s="337"/>
      <c r="C81" s="337"/>
      <c r="D81" s="337"/>
      <c r="E81" s="337"/>
      <c r="F81" s="337"/>
      <c r="G81" s="337"/>
      <c r="H81" s="337"/>
      <c r="I81" s="337"/>
      <c r="J81" s="337"/>
      <c r="K81" s="337"/>
      <c r="L81" s="337"/>
      <c r="M81" s="337"/>
      <c r="N81" s="337"/>
      <c r="O81" s="337"/>
      <c r="P81" s="337"/>
      <c r="Q81" s="337"/>
      <c r="R81" s="337"/>
      <c r="S81" s="337"/>
      <c r="T81" s="337"/>
      <c r="U81" s="337"/>
      <c r="V81" s="337"/>
      <c r="W81" s="337"/>
      <c r="X81" s="337"/>
      <c r="Y81" s="337"/>
      <c r="Z81" s="337"/>
      <c r="AA81" s="337"/>
      <c r="AB81" s="337"/>
      <c r="AC81" s="337"/>
      <c r="AD81" s="337"/>
      <c r="AE81" s="337"/>
      <c r="AF81" s="337"/>
      <c r="AG81" s="337"/>
      <c r="AH81" s="337"/>
      <c r="AI81" s="337"/>
      <c r="AJ81" s="337"/>
      <c r="AK81" s="337"/>
      <c r="AL81" s="337"/>
      <c r="AM81" s="337"/>
      <c r="AN81" s="337"/>
      <c r="AO81" s="337"/>
      <c r="AP81" s="337"/>
      <c r="AQ81" s="337"/>
      <c r="AR81" s="337"/>
      <c r="AS81" s="337"/>
      <c r="AT81" s="337"/>
      <c r="AU81" s="337"/>
      <c r="AV81" s="337"/>
      <c r="AW81" s="337"/>
      <c r="AX81" s="337"/>
      <c r="AY81" s="337"/>
      <c r="AZ81" s="337"/>
      <c r="BA81" s="337"/>
      <c r="BB81" s="337"/>
      <c r="BC81" s="337"/>
      <c r="BD81" s="337"/>
      <c r="BE81" s="337"/>
      <c r="BF81" s="337"/>
      <c r="BG81" s="337"/>
      <c r="BH81" s="337"/>
      <c r="BI81" s="337"/>
    </row>
    <row r="82" spans="1:61" ht="7.4" customHeight="1" x14ac:dyDescent="0.5">
      <c r="A82" s="337"/>
      <c r="B82" s="337"/>
      <c r="C82" s="337"/>
      <c r="D82" s="337"/>
      <c r="E82" s="337"/>
      <c r="F82" s="337"/>
      <c r="G82" s="337"/>
      <c r="H82" s="337"/>
      <c r="I82" s="337"/>
      <c r="J82" s="337"/>
      <c r="K82" s="337"/>
      <c r="L82" s="337"/>
      <c r="M82" s="337"/>
      <c r="N82" s="337"/>
      <c r="O82" s="337"/>
      <c r="P82" s="337"/>
      <c r="Q82" s="337"/>
      <c r="R82" s="337"/>
      <c r="S82" s="337"/>
      <c r="T82" s="337"/>
      <c r="U82" s="337"/>
      <c r="V82" s="337"/>
      <c r="W82" s="337"/>
      <c r="X82" s="337"/>
      <c r="Y82" s="337"/>
      <c r="Z82" s="337"/>
      <c r="AA82" s="337"/>
      <c r="AB82" s="337"/>
      <c r="AC82" s="337"/>
      <c r="AD82" s="337"/>
      <c r="AE82" s="337"/>
      <c r="AF82" s="337"/>
      <c r="AG82" s="337"/>
      <c r="AH82" s="337"/>
      <c r="AI82" s="337"/>
      <c r="AJ82" s="337"/>
      <c r="AK82" s="337"/>
      <c r="AL82" s="337"/>
      <c r="AM82" s="337"/>
      <c r="AN82" s="337"/>
      <c r="AO82" s="337"/>
      <c r="AP82" s="337"/>
      <c r="AQ82" s="337"/>
      <c r="AR82" s="337"/>
      <c r="AS82" s="337"/>
      <c r="AT82" s="337"/>
      <c r="AU82" s="337"/>
      <c r="AV82" s="337"/>
      <c r="AW82" s="337"/>
      <c r="AX82" s="337"/>
      <c r="AY82" s="337"/>
      <c r="AZ82" s="337"/>
      <c r="BA82" s="337"/>
      <c r="BB82" s="337"/>
      <c r="BC82" s="337"/>
      <c r="BD82" s="337"/>
      <c r="BE82" s="337"/>
      <c r="BF82" s="337"/>
      <c r="BG82" s="337"/>
      <c r="BH82" s="337"/>
      <c r="BI82" s="337"/>
    </row>
    <row r="83" spans="1:61" ht="7.4" customHeight="1" x14ac:dyDescent="0.5">
      <c r="D83" s="79"/>
      <c r="E83" s="79"/>
      <c r="F83" s="79"/>
      <c r="G83" s="79"/>
      <c r="H83" s="79"/>
      <c r="I83" s="79"/>
      <c r="J83" s="79"/>
      <c r="K83" s="79"/>
      <c r="L83" s="79"/>
      <c r="M83" s="79"/>
      <c r="N83" s="79"/>
      <c r="O83" s="79"/>
      <c r="P83" s="79"/>
      <c r="Q83" s="79"/>
      <c r="R83" s="79"/>
      <c r="S83" s="79"/>
      <c r="T83" s="79"/>
      <c r="U83" s="79"/>
      <c r="V83" s="79"/>
      <c r="W83" s="79"/>
      <c r="X83" s="79"/>
      <c r="Y83" s="79"/>
      <c r="Z83" s="79"/>
      <c r="AA83" s="79"/>
      <c r="AB83" s="79"/>
      <c r="AC83" s="79"/>
      <c r="AD83" s="79"/>
      <c r="AE83" s="79"/>
      <c r="AF83" s="79"/>
      <c r="AG83" s="79"/>
      <c r="AH83" s="79"/>
      <c r="AI83" s="79"/>
      <c r="AJ83" s="79"/>
      <c r="AK83" s="79"/>
      <c r="AL83" s="79"/>
      <c r="AM83" s="79"/>
      <c r="AN83" s="79"/>
      <c r="AO83" s="79"/>
      <c r="AP83" s="79"/>
      <c r="AQ83" s="79"/>
      <c r="AR83" s="79"/>
      <c r="AS83" s="79"/>
      <c r="AT83" s="79"/>
      <c r="AU83" s="79"/>
      <c r="AV83" s="79"/>
      <c r="AW83" s="79"/>
      <c r="AX83" s="79"/>
      <c r="AY83" s="79"/>
      <c r="AZ83" s="79"/>
      <c r="BA83" s="79"/>
      <c r="BB83" s="79"/>
      <c r="BC83" s="79"/>
      <c r="BD83" s="79"/>
      <c r="BE83" s="79"/>
      <c r="BF83" s="79"/>
      <c r="BG83" s="79"/>
      <c r="BH83" s="79"/>
    </row>
    <row r="84" spans="1:61" ht="7.4" customHeight="1" x14ac:dyDescent="0.5">
      <c r="D84" s="79"/>
      <c r="E84" s="79"/>
      <c r="F84" s="79"/>
      <c r="G84" s="79"/>
      <c r="H84" s="79"/>
      <c r="I84" s="79"/>
      <c r="J84" s="79"/>
      <c r="K84" s="79"/>
      <c r="L84" s="79"/>
      <c r="M84" s="79"/>
      <c r="N84" s="79"/>
      <c r="O84" s="79"/>
      <c r="P84" s="79"/>
      <c r="Q84" s="79"/>
      <c r="R84" s="79"/>
      <c r="S84" s="79"/>
      <c r="T84" s="79"/>
      <c r="U84" s="79"/>
      <c r="V84" s="79"/>
      <c r="W84" s="79"/>
      <c r="X84" s="79"/>
      <c r="Y84" s="79"/>
      <c r="Z84" s="79"/>
      <c r="AA84" s="79"/>
      <c r="AB84" s="79"/>
      <c r="AC84" s="79"/>
      <c r="AD84" s="79"/>
      <c r="AE84" s="79"/>
      <c r="AF84" s="79"/>
      <c r="AG84" s="79"/>
      <c r="AH84" s="79"/>
      <c r="AI84" s="79"/>
      <c r="AJ84" s="79"/>
      <c r="AK84" s="79"/>
      <c r="AL84" s="79"/>
      <c r="AM84" s="79"/>
      <c r="AN84" s="79"/>
      <c r="AO84" s="79"/>
      <c r="AP84" s="79"/>
      <c r="AQ84" s="79"/>
      <c r="AR84" s="79"/>
      <c r="AS84" s="79"/>
      <c r="AT84" s="79"/>
      <c r="AU84" s="79"/>
      <c r="AV84" s="79"/>
      <c r="AW84" s="79"/>
      <c r="AX84" s="79"/>
      <c r="AY84" s="79"/>
      <c r="AZ84" s="79"/>
      <c r="BA84" s="79"/>
      <c r="BB84" s="79"/>
      <c r="BC84" s="79"/>
      <c r="BD84" s="79"/>
      <c r="BE84" s="79"/>
      <c r="BF84" s="79"/>
      <c r="BG84" s="79"/>
      <c r="BH84" s="79"/>
    </row>
    <row r="85" spans="1:61" ht="7.4" customHeight="1" x14ac:dyDescent="0.5">
      <c r="D85" s="79"/>
      <c r="E85" s="79"/>
      <c r="F85" s="79"/>
      <c r="G85" s="79"/>
      <c r="H85" s="79"/>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79"/>
      <c r="AM85" s="79"/>
      <c r="AN85" s="79"/>
      <c r="AO85" s="79"/>
      <c r="AP85" s="79"/>
      <c r="AQ85" s="79"/>
      <c r="AR85" s="79"/>
      <c r="AS85" s="79"/>
      <c r="AT85" s="79"/>
      <c r="AU85" s="79"/>
      <c r="AV85" s="79"/>
      <c r="AW85" s="79"/>
      <c r="AX85" s="79"/>
      <c r="AY85" s="79"/>
      <c r="AZ85" s="79"/>
      <c r="BA85" s="79"/>
      <c r="BB85" s="79"/>
      <c r="BC85" s="79"/>
      <c r="BD85" s="79"/>
      <c r="BE85" s="79"/>
      <c r="BF85" s="79"/>
      <c r="BG85" s="79"/>
      <c r="BH85" s="79"/>
    </row>
    <row r="88" spans="1:61" ht="7.4" customHeight="1" x14ac:dyDescent="0.5">
      <c r="D88" s="79"/>
      <c r="E88" s="79"/>
      <c r="F88" s="79"/>
      <c r="G88" s="79"/>
      <c r="H88" s="79"/>
      <c r="I88" s="79"/>
      <c r="J88" s="79"/>
      <c r="K88" s="79"/>
      <c r="L88" s="79"/>
      <c r="M88" s="79"/>
      <c r="N88" s="79"/>
      <c r="O88" s="79"/>
      <c r="P88" s="79"/>
      <c r="Q88" s="79"/>
      <c r="R88" s="79"/>
      <c r="S88" s="79"/>
      <c r="T88" s="79"/>
      <c r="U88" s="79"/>
      <c r="V88" s="79"/>
      <c r="W88" s="79"/>
      <c r="X88" s="79"/>
      <c r="Y88" s="79"/>
      <c r="Z88" s="79"/>
      <c r="AA88" s="79"/>
      <c r="AB88" s="79"/>
      <c r="AC88" s="79"/>
      <c r="AD88" s="79"/>
      <c r="AE88" s="79"/>
      <c r="AF88" s="79"/>
      <c r="AG88" s="79"/>
      <c r="AH88" s="79"/>
      <c r="AI88" s="79"/>
      <c r="AJ88" s="79"/>
      <c r="AK88" s="79"/>
      <c r="AL88" s="79"/>
      <c r="AM88" s="79"/>
      <c r="AN88" s="79"/>
      <c r="AO88" s="79"/>
      <c r="AP88" s="79"/>
      <c r="AQ88" s="79"/>
      <c r="AR88" s="79"/>
      <c r="AS88" s="79"/>
      <c r="AT88" s="79"/>
      <c r="AU88" s="79"/>
      <c r="AV88" s="79"/>
      <c r="AW88" s="79"/>
      <c r="AX88" s="79"/>
      <c r="AY88" s="79"/>
      <c r="AZ88" s="79"/>
      <c r="BA88" s="79"/>
      <c r="BB88" s="79"/>
      <c r="BC88" s="79"/>
      <c r="BD88" s="79"/>
      <c r="BE88" s="79"/>
      <c r="BF88" s="79"/>
      <c r="BG88" s="79"/>
      <c r="BH88" s="79"/>
    </row>
    <row r="89" spans="1:61" ht="7.4" customHeight="1" x14ac:dyDescent="0.5">
      <c r="D89" s="79"/>
      <c r="E89" s="79"/>
      <c r="F89" s="79"/>
      <c r="G89" s="79"/>
      <c r="H89" s="79"/>
      <c r="I89" s="79"/>
      <c r="J89" s="79"/>
      <c r="K89" s="79"/>
      <c r="L89" s="79"/>
      <c r="M89" s="79"/>
      <c r="N89" s="79"/>
      <c r="O89" s="79"/>
      <c r="P89" s="79"/>
      <c r="Q89" s="79"/>
      <c r="R89" s="79"/>
      <c r="S89" s="79"/>
      <c r="T89" s="79"/>
      <c r="U89" s="79"/>
      <c r="V89" s="79"/>
      <c r="W89" s="79"/>
      <c r="X89" s="79"/>
      <c r="Y89" s="79"/>
      <c r="Z89" s="79"/>
      <c r="AA89" s="79"/>
      <c r="AB89" s="79"/>
      <c r="AC89" s="79"/>
      <c r="AD89" s="79"/>
      <c r="AE89" s="79"/>
      <c r="AF89" s="79"/>
      <c r="AG89" s="79"/>
      <c r="AH89" s="79"/>
      <c r="AI89" s="79"/>
      <c r="AJ89" s="79"/>
      <c r="AK89" s="79"/>
      <c r="AL89" s="79"/>
      <c r="AM89" s="79"/>
      <c r="AN89" s="79"/>
      <c r="AO89" s="79"/>
      <c r="AP89" s="79"/>
      <c r="AQ89" s="79"/>
      <c r="AR89" s="79"/>
      <c r="AS89" s="79"/>
      <c r="AT89" s="79"/>
      <c r="AU89" s="79"/>
      <c r="AV89" s="79"/>
      <c r="AW89" s="79"/>
      <c r="AX89" s="79"/>
      <c r="AY89" s="79"/>
      <c r="AZ89" s="79"/>
      <c r="BA89" s="79"/>
      <c r="BB89" s="79"/>
      <c r="BC89" s="79"/>
      <c r="BD89" s="79"/>
      <c r="BE89" s="79"/>
      <c r="BF89" s="79"/>
      <c r="BG89" s="79"/>
      <c r="BH89" s="79"/>
    </row>
    <row r="90" spans="1:61" ht="7.4" customHeight="1" x14ac:dyDescent="0.5">
      <c r="D90" s="79"/>
      <c r="E90" s="79"/>
      <c r="F90" s="79"/>
      <c r="G90" s="79"/>
      <c r="H90" s="79"/>
      <c r="I90" s="79"/>
      <c r="J90" s="79"/>
      <c r="K90" s="79"/>
      <c r="L90" s="79"/>
      <c r="M90" s="79"/>
      <c r="N90" s="79"/>
      <c r="O90" s="79"/>
      <c r="P90" s="79"/>
      <c r="Q90" s="79"/>
      <c r="R90" s="79"/>
      <c r="S90" s="79"/>
      <c r="T90" s="79"/>
      <c r="U90" s="79"/>
      <c r="V90" s="79"/>
      <c r="W90" s="79"/>
      <c r="X90" s="79"/>
      <c r="Y90" s="79"/>
      <c r="Z90" s="79"/>
      <c r="AA90" s="79"/>
      <c r="AB90" s="79"/>
      <c r="AC90" s="79"/>
      <c r="AD90" s="79"/>
      <c r="AE90" s="79"/>
      <c r="AF90" s="79"/>
      <c r="AG90" s="79"/>
      <c r="AH90" s="79"/>
      <c r="AI90" s="79"/>
      <c r="AJ90" s="79"/>
      <c r="AK90" s="79"/>
      <c r="AL90" s="79"/>
      <c r="AM90" s="79"/>
      <c r="AN90" s="79"/>
      <c r="AO90" s="79"/>
      <c r="AP90" s="79"/>
      <c r="AQ90" s="79"/>
      <c r="AR90" s="79"/>
      <c r="AS90" s="79"/>
      <c r="AT90" s="79"/>
      <c r="AU90" s="79"/>
      <c r="AV90" s="79"/>
      <c r="AW90" s="79"/>
      <c r="AX90" s="79"/>
      <c r="AY90" s="79"/>
      <c r="AZ90" s="79"/>
      <c r="BA90" s="79"/>
      <c r="BB90" s="79"/>
      <c r="BC90" s="79"/>
      <c r="BD90" s="79"/>
      <c r="BE90" s="79"/>
      <c r="BF90" s="79"/>
      <c r="BG90" s="79"/>
      <c r="BH90" s="79"/>
    </row>
    <row r="91" spans="1:61" ht="7.4" customHeight="1" x14ac:dyDescent="0.5">
      <c r="D91" s="79"/>
      <c r="E91" s="79"/>
      <c r="F91" s="79"/>
      <c r="G91" s="79"/>
      <c r="H91" s="79"/>
      <c r="I91" s="79"/>
      <c r="J91" s="79"/>
      <c r="K91" s="79"/>
      <c r="L91" s="79"/>
      <c r="M91" s="79"/>
      <c r="N91" s="79"/>
      <c r="O91" s="79"/>
      <c r="P91" s="79"/>
      <c r="Q91" s="79"/>
      <c r="R91" s="79"/>
      <c r="S91" s="79"/>
      <c r="T91" s="79"/>
      <c r="U91" s="79"/>
      <c r="V91" s="79"/>
      <c r="W91" s="79"/>
      <c r="X91" s="79"/>
      <c r="Y91" s="79"/>
      <c r="Z91" s="79"/>
      <c r="AA91" s="79"/>
      <c r="AB91" s="79"/>
      <c r="AC91" s="79"/>
      <c r="AD91" s="79"/>
      <c r="AE91" s="79"/>
      <c r="AF91" s="79"/>
      <c r="AG91" s="79"/>
      <c r="AH91" s="79"/>
      <c r="AI91" s="79"/>
      <c r="AJ91" s="79"/>
      <c r="AK91" s="79"/>
      <c r="AL91" s="79"/>
      <c r="AM91" s="79"/>
      <c r="AN91" s="79"/>
      <c r="AO91" s="79"/>
      <c r="AP91" s="79"/>
      <c r="AQ91" s="79"/>
      <c r="AR91" s="79"/>
      <c r="AS91" s="79"/>
      <c r="AT91" s="79"/>
      <c r="AU91" s="79"/>
      <c r="AV91" s="79"/>
      <c r="AW91" s="79"/>
      <c r="AX91" s="79"/>
      <c r="AY91" s="79"/>
      <c r="AZ91" s="79"/>
      <c r="BA91" s="79"/>
      <c r="BB91" s="79"/>
      <c r="BC91" s="79"/>
      <c r="BD91" s="79"/>
      <c r="BE91" s="79"/>
      <c r="BF91" s="79"/>
      <c r="BG91" s="79"/>
      <c r="BH91" s="79"/>
    </row>
    <row r="92" spans="1:61" ht="7.4" customHeight="1" x14ac:dyDescent="0.5">
      <c r="D92" s="79"/>
      <c r="E92" s="79"/>
      <c r="F92" s="79"/>
      <c r="G92" s="79"/>
      <c r="H92" s="79"/>
      <c r="I92" s="79"/>
      <c r="J92" s="79"/>
      <c r="K92" s="79"/>
      <c r="L92" s="79"/>
      <c r="M92" s="79"/>
      <c r="N92" s="79"/>
      <c r="O92" s="79"/>
      <c r="P92" s="79"/>
      <c r="Q92" s="79"/>
      <c r="R92" s="79"/>
      <c r="S92" s="79"/>
      <c r="T92" s="79"/>
      <c r="U92" s="79"/>
      <c r="V92" s="79"/>
      <c r="W92" s="79"/>
      <c r="X92" s="79"/>
      <c r="Y92" s="79"/>
      <c r="Z92" s="79"/>
      <c r="AA92" s="79"/>
      <c r="AB92" s="79"/>
      <c r="AC92" s="79"/>
      <c r="AD92" s="79"/>
      <c r="AE92" s="79"/>
      <c r="AF92" s="79"/>
      <c r="AG92" s="79"/>
      <c r="AH92" s="79"/>
      <c r="AI92" s="79"/>
      <c r="AJ92" s="79"/>
      <c r="AK92" s="79"/>
      <c r="AL92" s="79"/>
      <c r="AM92" s="79"/>
      <c r="AN92" s="79"/>
      <c r="AO92" s="79"/>
      <c r="AP92" s="79"/>
      <c r="AQ92" s="79"/>
      <c r="AR92" s="79"/>
      <c r="AS92" s="79"/>
      <c r="AT92" s="79"/>
      <c r="AU92" s="79"/>
      <c r="AV92" s="79"/>
      <c r="AW92" s="79"/>
      <c r="AX92" s="79"/>
      <c r="AY92" s="79"/>
      <c r="AZ92" s="79"/>
      <c r="BA92" s="79"/>
      <c r="BB92" s="79"/>
      <c r="BC92" s="79"/>
      <c r="BD92" s="79"/>
      <c r="BE92" s="79"/>
      <c r="BF92" s="79"/>
      <c r="BG92" s="79"/>
      <c r="BH92" s="79"/>
    </row>
    <row r="93" spans="1:61" ht="7.4" customHeight="1" x14ac:dyDescent="0.5">
      <c r="D93" s="79"/>
      <c r="E93" s="79"/>
      <c r="F93" s="79"/>
      <c r="G93" s="79"/>
      <c r="H93" s="79"/>
      <c r="I93" s="79"/>
      <c r="J93" s="79"/>
      <c r="K93" s="79"/>
      <c r="L93" s="79"/>
      <c r="M93" s="79"/>
      <c r="N93" s="79"/>
      <c r="O93" s="79"/>
      <c r="P93" s="79"/>
      <c r="Q93" s="79"/>
      <c r="R93" s="79"/>
      <c r="S93" s="79"/>
      <c r="T93" s="79"/>
      <c r="U93" s="79"/>
      <c r="V93" s="79"/>
      <c r="W93" s="79"/>
      <c r="X93" s="79"/>
      <c r="Y93" s="79"/>
      <c r="Z93" s="79"/>
      <c r="AA93" s="79"/>
      <c r="AB93" s="79"/>
      <c r="AC93" s="79"/>
      <c r="AD93" s="79"/>
      <c r="AE93" s="79"/>
      <c r="AF93" s="79"/>
      <c r="AG93" s="79"/>
      <c r="AH93" s="79"/>
      <c r="AI93" s="79"/>
      <c r="AJ93" s="79"/>
      <c r="AK93" s="79"/>
      <c r="AL93" s="79"/>
      <c r="AM93" s="79"/>
      <c r="AN93" s="79"/>
      <c r="AO93" s="79"/>
      <c r="AP93" s="79"/>
      <c r="AQ93" s="79"/>
      <c r="AR93" s="79"/>
      <c r="AS93" s="79"/>
      <c r="AT93" s="79"/>
      <c r="AU93" s="79"/>
      <c r="AV93" s="79"/>
      <c r="AW93" s="79"/>
      <c r="AX93" s="79"/>
      <c r="AY93" s="79"/>
      <c r="AZ93" s="79"/>
      <c r="BA93" s="79"/>
      <c r="BB93" s="79"/>
      <c r="BC93" s="79"/>
      <c r="BD93" s="79"/>
      <c r="BE93" s="79"/>
      <c r="BF93" s="79"/>
      <c r="BG93" s="79"/>
      <c r="BH93" s="79"/>
    </row>
    <row r="94" spans="1:61" ht="7.4" customHeight="1" x14ac:dyDescent="0.5">
      <c r="D94" s="79"/>
      <c r="E94" s="79"/>
      <c r="F94" s="79"/>
      <c r="G94" s="79"/>
      <c r="H94" s="79"/>
      <c r="I94" s="79"/>
      <c r="J94" s="79"/>
      <c r="K94" s="79"/>
      <c r="L94" s="79"/>
      <c r="M94" s="79"/>
      <c r="N94" s="79"/>
      <c r="O94" s="79"/>
      <c r="P94" s="79"/>
      <c r="Q94" s="79"/>
      <c r="R94" s="79"/>
      <c r="S94" s="79"/>
      <c r="T94" s="79"/>
      <c r="U94" s="79"/>
      <c r="V94" s="79"/>
      <c r="W94" s="79"/>
      <c r="X94" s="79"/>
      <c r="Y94" s="79"/>
      <c r="Z94" s="79"/>
      <c r="AA94" s="79"/>
      <c r="AB94" s="79"/>
      <c r="AC94" s="79"/>
      <c r="AD94" s="79"/>
      <c r="AE94" s="79"/>
      <c r="AF94" s="79"/>
      <c r="AG94" s="79"/>
      <c r="AH94" s="79"/>
      <c r="AI94" s="79"/>
      <c r="AJ94" s="79"/>
      <c r="AK94" s="79"/>
      <c r="AL94" s="79"/>
      <c r="AM94" s="79"/>
      <c r="AN94" s="79"/>
      <c r="AO94" s="79"/>
      <c r="AP94" s="79"/>
      <c r="AQ94" s="79"/>
      <c r="AR94" s="79"/>
      <c r="AS94" s="79"/>
      <c r="AT94" s="79"/>
      <c r="AU94" s="79"/>
      <c r="AV94" s="79"/>
      <c r="AW94" s="79"/>
      <c r="AX94" s="79"/>
      <c r="AY94" s="79"/>
      <c r="AZ94" s="79"/>
      <c r="BA94" s="79"/>
      <c r="BB94" s="79"/>
      <c r="BC94" s="79"/>
      <c r="BD94" s="79"/>
      <c r="BE94" s="79"/>
      <c r="BF94" s="79"/>
      <c r="BG94" s="79"/>
      <c r="BH94" s="79"/>
    </row>
    <row r="95" spans="1:61" ht="7.4" customHeight="1" x14ac:dyDescent="0.5">
      <c r="D95" s="79"/>
      <c r="E95" s="79"/>
      <c r="F95" s="79"/>
      <c r="G95" s="79"/>
      <c r="H95" s="79"/>
      <c r="I95" s="79"/>
      <c r="J95" s="79"/>
      <c r="K95" s="79"/>
      <c r="L95" s="79"/>
      <c r="M95" s="79"/>
      <c r="N95" s="79"/>
      <c r="O95" s="79"/>
      <c r="P95" s="79"/>
      <c r="Q95" s="79"/>
      <c r="R95" s="79"/>
      <c r="S95" s="79"/>
      <c r="T95" s="79"/>
      <c r="U95" s="79"/>
      <c r="V95" s="79"/>
      <c r="W95" s="79"/>
      <c r="X95" s="79"/>
      <c r="Y95" s="79"/>
      <c r="Z95" s="79"/>
      <c r="AA95" s="79"/>
      <c r="AB95" s="79"/>
      <c r="AC95" s="79"/>
      <c r="AD95" s="79"/>
      <c r="AE95" s="79"/>
      <c r="AF95" s="79"/>
      <c r="AG95" s="79"/>
      <c r="AH95" s="79"/>
      <c r="AI95" s="79"/>
      <c r="AJ95" s="79"/>
      <c r="AK95" s="79"/>
      <c r="AL95" s="79"/>
      <c r="AM95" s="79"/>
      <c r="AN95" s="79"/>
      <c r="AO95" s="79"/>
      <c r="AP95" s="79"/>
      <c r="AQ95" s="79"/>
      <c r="AR95" s="79"/>
      <c r="AS95" s="79"/>
      <c r="AT95" s="79"/>
      <c r="AU95" s="79"/>
      <c r="AV95" s="79"/>
      <c r="AW95" s="79"/>
      <c r="AX95" s="79"/>
      <c r="AY95" s="79"/>
      <c r="AZ95" s="79"/>
      <c r="BA95" s="79"/>
      <c r="BB95" s="79"/>
      <c r="BC95" s="79"/>
      <c r="BD95" s="79"/>
      <c r="BE95" s="79"/>
      <c r="BF95" s="79"/>
      <c r="BG95" s="79"/>
      <c r="BH95" s="79"/>
    </row>
    <row r="96" spans="1:61" ht="7.4" customHeight="1" x14ac:dyDescent="0.5">
      <c r="D96" s="79"/>
      <c r="E96" s="79"/>
      <c r="F96" s="79"/>
      <c r="G96" s="79"/>
      <c r="H96" s="79"/>
      <c r="I96" s="79"/>
      <c r="J96" s="79"/>
      <c r="K96" s="79"/>
      <c r="L96" s="79"/>
      <c r="M96" s="79"/>
      <c r="N96" s="79"/>
      <c r="O96" s="79"/>
      <c r="P96" s="79"/>
      <c r="Q96" s="79"/>
      <c r="R96" s="79"/>
      <c r="S96" s="79"/>
      <c r="T96" s="79"/>
      <c r="U96" s="79"/>
      <c r="V96" s="79"/>
      <c r="W96" s="79"/>
      <c r="X96" s="79"/>
      <c r="Y96" s="79"/>
      <c r="Z96" s="79"/>
      <c r="AA96" s="79"/>
      <c r="AB96" s="79"/>
      <c r="AC96" s="79"/>
      <c r="AD96" s="79"/>
      <c r="AE96" s="79"/>
      <c r="AF96" s="79"/>
      <c r="AG96" s="79"/>
      <c r="AH96" s="79"/>
      <c r="AI96" s="79"/>
      <c r="AJ96" s="79"/>
      <c r="AK96" s="79"/>
      <c r="AL96" s="79"/>
      <c r="AM96" s="79"/>
      <c r="AN96" s="79"/>
      <c r="AO96" s="79"/>
      <c r="AP96" s="79"/>
      <c r="AQ96" s="79"/>
      <c r="AR96" s="79"/>
      <c r="AS96" s="79"/>
      <c r="AT96" s="79"/>
      <c r="AU96" s="79"/>
      <c r="AV96" s="79"/>
      <c r="AW96" s="79"/>
      <c r="AX96" s="79"/>
      <c r="AY96" s="79"/>
      <c r="AZ96" s="79"/>
      <c r="BA96" s="79"/>
      <c r="BB96" s="79"/>
      <c r="BC96" s="79"/>
      <c r="BD96" s="79"/>
      <c r="BE96" s="79"/>
      <c r="BF96" s="79"/>
      <c r="BG96" s="79"/>
      <c r="BH96" s="79"/>
    </row>
    <row r="97" spans="1:98" ht="7.4" customHeight="1" x14ac:dyDescent="0.5">
      <c r="D97" s="79"/>
      <c r="E97" s="79"/>
      <c r="F97" s="79"/>
      <c r="G97" s="79"/>
      <c r="H97" s="79"/>
      <c r="I97" s="79"/>
      <c r="J97" s="79"/>
      <c r="K97" s="79"/>
      <c r="L97" s="79"/>
      <c r="M97" s="79"/>
      <c r="N97" s="79"/>
      <c r="O97" s="79"/>
      <c r="P97" s="79"/>
      <c r="Q97" s="79"/>
      <c r="R97" s="79"/>
      <c r="S97" s="79"/>
      <c r="T97" s="79"/>
      <c r="U97" s="79"/>
      <c r="V97" s="79"/>
      <c r="W97" s="79"/>
      <c r="X97" s="79"/>
      <c r="Y97" s="79"/>
      <c r="Z97" s="79"/>
      <c r="AA97" s="79"/>
      <c r="AB97" s="79"/>
      <c r="AC97" s="79"/>
      <c r="AD97" s="79"/>
      <c r="AE97" s="79"/>
      <c r="AF97" s="79"/>
      <c r="AG97" s="79"/>
      <c r="AH97" s="79"/>
      <c r="AI97" s="79"/>
      <c r="AJ97" s="79"/>
      <c r="AK97" s="79"/>
      <c r="AL97" s="79"/>
      <c r="AM97" s="79"/>
      <c r="AN97" s="79"/>
      <c r="AO97" s="79"/>
      <c r="AP97" s="79"/>
      <c r="AQ97" s="79"/>
      <c r="AR97" s="79"/>
      <c r="AS97" s="79"/>
      <c r="AT97" s="79"/>
      <c r="AU97" s="79"/>
      <c r="AV97" s="79"/>
      <c r="AW97" s="79"/>
      <c r="AX97" s="79"/>
      <c r="AY97" s="79"/>
      <c r="AZ97" s="79"/>
      <c r="BA97" s="79"/>
      <c r="BB97" s="79"/>
      <c r="BC97" s="79"/>
      <c r="BD97" s="79"/>
      <c r="BE97" s="79"/>
      <c r="BF97" s="79"/>
      <c r="BG97" s="79"/>
      <c r="BH97" s="79"/>
      <c r="BK97" s="108"/>
      <c r="BL97" s="108"/>
      <c r="BM97" s="108"/>
      <c r="BN97" s="108"/>
      <c r="BO97" s="108"/>
      <c r="BP97" s="108"/>
      <c r="BQ97" s="108"/>
      <c r="BR97" s="108"/>
      <c r="BS97" s="108"/>
      <c r="BT97" s="108"/>
    </row>
    <row r="98" spans="1:98" ht="7.4" customHeight="1" x14ac:dyDescent="0.5">
      <c r="D98" s="79"/>
      <c r="E98" s="79"/>
      <c r="F98" s="79"/>
      <c r="G98" s="79"/>
      <c r="H98" s="79"/>
      <c r="I98" s="79"/>
      <c r="J98" s="79"/>
      <c r="K98" s="79"/>
      <c r="L98" s="79"/>
      <c r="M98" s="79"/>
      <c r="N98" s="79"/>
      <c r="O98" s="79"/>
      <c r="P98" s="79"/>
      <c r="Q98" s="79"/>
      <c r="R98" s="79"/>
      <c r="S98" s="79"/>
      <c r="T98" s="79"/>
      <c r="U98" s="79"/>
      <c r="V98" s="79"/>
      <c r="W98" s="79"/>
      <c r="X98" s="79"/>
      <c r="Y98" s="79"/>
      <c r="Z98" s="79"/>
      <c r="AA98" s="79"/>
      <c r="AB98" s="79"/>
      <c r="AC98" s="79"/>
      <c r="AD98" s="79"/>
      <c r="AE98" s="79"/>
      <c r="AF98" s="79"/>
      <c r="AG98" s="79"/>
      <c r="AH98" s="79"/>
      <c r="AI98" s="79"/>
      <c r="AJ98" s="79"/>
      <c r="AK98" s="79"/>
      <c r="AL98" s="79"/>
      <c r="AM98" s="79"/>
      <c r="AN98" s="79"/>
      <c r="AO98" s="79"/>
      <c r="AP98" s="79"/>
      <c r="AQ98" s="79"/>
      <c r="AR98" s="79"/>
      <c r="AS98" s="79"/>
      <c r="AT98" s="79"/>
      <c r="AU98" s="79"/>
      <c r="AV98" s="79"/>
      <c r="AW98" s="79"/>
      <c r="AX98" s="79"/>
      <c r="AY98" s="79"/>
      <c r="AZ98" s="79"/>
      <c r="BA98" s="79"/>
      <c r="BB98" s="79"/>
      <c r="BC98" s="79"/>
      <c r="BD98" s="79"/>
      <c r="BE98" s="79"/>
      <c r="BF98" s="79"/>
      <c r="BG98" s="79"/>
      <c r="BH98" s="79"/>
      <c r="BK98" s="108"/>
      <c r="BL98" s="108"/>
      <c r="BM98" s="108"/>
      <c r="BN98" s="108"/>
      <c r="BO98" s="108"/>
      <c r="BP98" s="108"/>
      <c r="BQ98" s="108"/>
      <c r="BR98" s="108"/>
      <c r="BS98" s="108"/>
      <c r="BT98" s="108"/>
    </row>
    <row r="99" spans="1:98" ht="7.4" customHeight="1" x14ac:dyDescent="0.5">
      <c r="D99" s="79"/>
      <c r="E99" s="79"/>
      <c r="F99" s="79"/>
      <c r="G99" s="79"/>
      <c r="H99" s="79"/>
      <c r="I99" s="79"/>
      <c r="J99" s="79"/>
      <c r="K99" s="79"/>
      <c r="L99" s="79"/>
      <c r="M99" s="79"/>
      <c r="N99" s="79"/>
      <c r="O99" s="79"/>
      <c r="P99" s="79"/>
      <c r="Q99" s="79"/>
      <c r="R99" s="79"/>
      <c r="S99" s="79"/>
      <c r="T99" s="79"/>
      <c r="U99" s="79"/>
      <c r="V99" s="79"/>
      <c r="W99" s="79"/>
      <c r="X99" s="79"/>
      <c r="Y99" s="79"/>
      <c r="Z99" s="79"/>
      <c r="AA99" s="79"/>
      <c r="AB99" s="79"/>
      <c r="AC99" s="79"/>
      <c r="AD99" s="79"/>
      <c r="AE99" s="79"/>
      <c r="AF99" s="79"/>
      <c r="AG99" s="79"/>
      <c r="AH99" s="79"/>
      <c r="AI99" s="79"/>
      <c r="AJ99" s="79"/>
      <c r="AK99" s="79"/>
      <c r="AL99" s="79"/>
      <c r="AM99" s="79"/>
      <c r="AN99" s="79"/>
      <c r="AO99" s="79"/>
      <c r="AP99" s="79"/>
      <c r="AQ99" s="79"/>
      <c r="AR99" s="79"/>
      <c r="AS99" s="79"/>
      <c r="AT99" s="79"/>
      <c r="AU99" s="79"/>
      <c r="AV99" s="79"/>
      <c r="AW99" s="79"/>
      <c r="AX99" s="79"/>
      <c r="AY99" s="79"/>
      <c r="AZ99" s="79"/>
      <c r="BA99" s="79"/>
      <c r="BB99" s="79"/>
      <c r="BC99" s="79"/>
      <c r="BD99" s="79"/>
      <c r="BE99" s="79"/>
      <c r="BF99" s="79"/>
      <c r="BG99" s="79"/>
      <c r="BH99" s="79"/>
      <c r="BK99" s="108"/>
      <c r="BL99" s="108"/>
      <c r="BM99" s="108"/>
      <c r="BN99" s="108"/>
      <c r="BO99" s="108"/>
      <c r="BP99" s="108"/>
      <c r="BQ99" s="108"/>
      <c r="BR99" s="108"/>
      <c r="BS99" s="108"/>
      <c r="BT99" s="108"/>
    </row>
    <row r="100" spans="1:98" ht="7.4" customHeight="1" x14ac:dyDescent="0.5">
      <c r="D100" s="79"/>
      <c r="E100" s="79"/>
      <c r="F100" s="79"/>
      <c r="G100" s="79"/>
      <c r="H100" s="79"/>
      <c r="I100" s="79"/>
      <c r="J100" s="79"/>
      <c r="K100" s="79"/>
      <c r="L100" s="79"/>
      <c r="M100" s="79"/>
      <c r="N100" s="79"/>
      <c r="O100" s="79"/>
      <c r="P100" s="79"/>
      <c r="Q100" s="79"/>
      <c r="R100" s="79"/>
      <c r="S100" s="79"/>
      <c r="T100" s="79"/>
      <c r="U100" s="79"/>
      <c r="V100" s="79"/>
      <c r="W100" s="79"/>
      <c r="X100" s="79"/>
      <c r="Y100" s="79"/>
      <c r="Z100" s="79"/>
      <c r="AA100" s="79"/>
      <c r="AB100" s="79"/>
      <c r="AC100" s="79"/>
      <c r="AD100" s="79"/>
      <c r="AE100" s="79"/>
      <c r="AF100" s="79"/>
      <c r="AG100" s="79"/>
      <c r="AH100" s="79"/>
      <c r="AI100" s="79"/>
      <c r="AJ100" s="79"/>
      <c r="AK100" s="79"/>
      <c r="AL100" s="79"/>
      <c r="AM100" s="79"/>
      <c r="AN100" s="79"/>
      <c r="AO100" s="79"/>
      <c r="AP100" s="79"/>
      <c r="AQ100" s="79"/>
      <c r="AR100" s="79"/>
      <c r="AS100" s="79"/>
      <c r="AT100" s="79"/>
      <c r="AU100" s="79"/>
      <c r="AV100" s="79"/>
      <c r="AW100" s="79"/>
      <c r="AX100" s="79"/>
      <c r="AY100" s="79"/>
      <c r="AZ100" s="79"/>
      <c r="BA100" s="79"/>
      <c r="BB100" s="79"/>
      <c r="BC100" s="79"/>
      <c r="BD100" s="79"/>
      <c r="BE100" s="79"/>
      <c r="BF100" s="79"/>
      <c r="BG100" s="79"/>
      <c r="BH100" s="79"/>
      <c r="BK100" s="108"/>
      <c r="BL100" s="108"/>
      <c r="BM100" s="108"/>
      <c r="BN100" s="108"/>
      <c r="BO100" s="108"/>
      <c r="BP100" s="108"/>
      <c r="BQ100" s="108"/>
      <c r="BR100" s="108"/>
      <c r="BS100" s="108"/>
      <c r="BT100" s="108"/>
    </row>
    <row r="101" spans="1:98" ht="7.4" customHeight="1" x14ac:dyDescent="0.5">
      <c r="D101" s="79"/>
      <c r="E101" s="79"/>
      <c r="F101" s="79"/>
      <c r="G101" s="79"/>
      <c r="H101" s="79"/>
      <c r="I101" s="79"/>
      <c r="J101" s="79"/>
      <c r="K101" s="79"/>
      <c r="L101" s="79"/>
      <c r="M101" s="79"/>
      <c r="N101" s="79"/>
      <c r="O101" s="79"/>
      <c r="P101" s="79"/>
      <c r="Q101" s="79"/>
      <c r="R101" s="79"/>
      <c r="S101" s="79"/>
      <c r="T101" s="79"/>
      <c r="U101" s="79"/>
      <c r="V101" s="79"/>
      <c r="W101" s="79"/>
      <c r="X101" s="79"/>
      <c r="Y101" s="79"/>
      <c r="Z101" s="79"/>
      <c r="AA101" s="79"/>
      <c r="AB101" s="79"/>
      <c r="AC101" s="79"/>
      <c r="AD101" s="79"/>
      <c r="AE101" s="79"/>
      <c r="AF101" s="79"/>
      <c r="AG101" s="79"/>
      <c r="AH101" s="79"/>
      <c r="AI101" s="79"/>
      <c r="AJ101" s="79"/>
      <c r="AK101" s="79"/>
      <c r="AL101" s="79"/>
      <c r="AM101" s="79"/>
      <c r="AN101" s="79"/>
      <c r="AO101" s="79"/>
      <c r="AP101" s="79"/>
      <c r="AQ101" s="79"/>
      <c r="AR101" s="79"/>
      <c r="AS101" s="79"/>
      <c r="AT101" s="79"/>
      <c r="AU101" s="79"/>
      <c r="AV101" s="79"/>
      <c r="AW101" s="79"/>
      <c r="AX101" s="79"/>
      <c r="AY101" s="79"/>
      <c r="AZ101" s="79"/>
      <c r="BA101" s="79"/>
      <c r="BB101" s="79"/>
      <c r="BC101" s="79"/>
      <c r="BD101" s="79"/>
      <c r="BE101" s="79"/>
      <c r="BF101" s="79"/>
      <c r="BG101" s="79"/>
      <c r="BH101" s="79"/>
      <c r="BK101" s="108"/>
      <c r="BL101" s="108"/>
      <c r="BM101" s="108"/>
      <c r="BN101" s="108"/>
      <c r="BO101" s="108"/>
      <c r="BP101" s="108"/>
      <c r="BQ101" s="108"/>
      <c r="BR101" s="108"/>
      <c r="BS101" s="108"/>
      <c r="BT101" s="108"/>
    </row>
    <row r="102" spans="1:98" ht="7.4" customHeight="1" x14ac:dyDescent="0.5">
      <c r="D102" s="79"/>
      <c r="E102" s="79"/>
      <c r="F102" s="79"/>
      <c r="G102" s="79"/>
      <c r="H102" s="79"/>
      <c r="I102" s="79"/>
      <c r="J102" s="79"/>
      <c r="K102" s="79"/>
      <c r="L102" s="79"/>
      <c r="M102" s="79"/>
      <c r="N102" s="79"/>
      <c r="O102" s="79"/>
      <c r="P102" s="79"/>
      <c r="Q102" s="79"/>
      <c r="R102" s="79"/>
      <c r="S102" s="79"/>
      <c r="T102" s="79"/>
      <c r="U102" s="79"/>
      <c r="V102" s="79"/>
      <c r="W102" s="79"/>
      <c r="X102" s="79"/>
      <c r="Y102" s="79"/>
      <c r="Z102" s="79"/>
      <c r="AA102" s="79"/>
      <c r="AB102" s="79"/>
      <c r="AC102" s="79"/>
      <c r="AD102" s="79"/>
      <c r="AE102" s="79"/>
      <c r="AF102" s="79"/>
      <c r="AG102" s="79"/>
      <c r="AH102" s="79"/>
      <c r="AI102" s="79"/>
      <c r="AJ102" s="79"/>
      <c r="AK102" s="79"/>
      <c r="AL102" s="79"/>
      <c r="AM102" s="79"/>
      <c r="AN102" s="79"/>
      <c r="AO102" s="79"/>
      <c r="AP102" s="79"/>
      <c r="AQ102" s="79"/>
      <c r="AR102" s="79"/>
      <c r="AS102" s="79"/>
      <c r="AT102" s="79"/>
      <c r="AU102" s="79"/>
      <c r="AV102" s="79"/>
      <c r="AW102" s="79"/>
      <c r="AX102" s="79"/>
      <c r="AY102" s="79"/>
      <c r="AZ102" s="79"/>
      <c r="BA102" s="79"/>
      <c r="BB102" s="79"/>
      <c r="BC102" s="79"/>
      <c r="BD102" s="79"/>
      <c r="BE102" s="79"/>
      <c r="BF102" s="79"/>
      <c r="BG102" s="79"/>
      <c r="BH102" s="79"/>
      <c r="BK102" s="108"/>
      <c r="BL102" s="108"/>
      <c r="BM102" s="108"/>
      <c r="BN102" s="108"/>
      <c r="BO102" s="108"/>
      <c r="BP102" s="108"/>
      <c r="BQ102" s="108"/>
      <c r="BR102" s="108"/>
      <c r="BS102" s="108"/>
      <c r="BT102" s="108"/>
    </row>
    <row r="103" spans="1:98" ht="7.4" customHeight="1" x14ac:dyDescent="0.5">
      <c r="D103" s="79"/>
      <c r="E103" s="79"/>
      <c r="F103" s="79"/>
      <c r="G103" s="79"/>
      <c r="H103" s="79"/>
      <c r="I103" s="79"/>
      <c r="J103" s="79"/>
      <c r="K103" s="79"/>
      <c r="L103" s="79"/>
      <c r="M103" s="79"/>
      <c r="N103" s="79"/>
      <c r="O103" s="79"/>
      <c r="P103" s="79"/>
      <c r="Q103" s="79"/>
      <c r="R103" s="79"/>
      <c r="S103" s="79"/>
      <c r="T103" s="79"/>
      <c r="U103" s="79"/>
      <c r="V103" s="79"/>
      <c r="W103" s="79"/>
      <c r="X103" s="79"/>
      <c r="Y103" s="79"/>
      <c r="Z103" s="79"/>
      <c r="AA103" s="79"/>
      <c r="AB103" s="79"/>
      <c r="AC103" s="79"/>
      <c r="AD103" s="79"/>
      <c r="AE103" s="79"/>
      <c r="AF103" s="79"/>
      <c r="AG103" s="79"/>
      <c r="AH103" s="79"/>
      <c r="AI103" s="79"/>
      <c r="AJ103" s="79"/>
      <c r="AK103" s="79"/>
      <c r="AL103" s="79"/>
      <c r="AM103" s="79"/>
      <c r="AN103" s="79"/>
      <c r="AO103" s="79"/>
      <c r="AP103" s="79"/>
      <c r="AQ103" s="79"/>
      <c r="AR103" s="79"/>
      <c r="AS103" s="79"/>
      <c r="AT103" s="79"/>
      <c r="AU103" s="79"/>
      <c r="AV103" s="79"/>
      <c r="AW103" s="79"/>
      <c r="AX103" s="79"/>
      <c r="AY103" s="79"/>
      <c r="AZ103" s="79"/>
      <c r="BA103" s="79"/>
      <c r="BB103" s="79"/>
      <c r="BC103" s="79"/>
      <c r="BD103" s="79"/>
      <c r="BE103" s="79"/>
      <c r="BF103" s="79"/>
      <c r="BG103" s="79"/>
      <c r="BH103" s="79"/>
      <c r="BK103" s="108"/>
      <c r="BL103" s="108"/>
      <c r="BM103" s="108"/>
      <c r="BN103" s="108"/>
      <c r="BO103" s="108"/>
      <c r="BP103" s="108"/>
      <c r="BQ103" s="108"/>
      <c r="BR103" s="108"/>
      <c r="BS103" s="108"/>
      <c r="BT103" s="108"/>
    </row>
    <row r="104" spans="1:98" ht="7.4" customHeight="1" x14ac:dyDescent="0.5">
      <c r="D104" s="79"/>
      <c r="E104" s="79"/>
      <c r="F104" s="79"/>
      <c r="G104" s="79"/>
      <c r="H104" s="79"/>
      <c r="I104" s="79"/>
      <c r="J104" s="79"/>
      <c r="K104" s="79"/>
      <c r="L104" s="79"/>
      <c r="M104" s="79"/>
      <c r="N104" s="79"/>
      <c r="O104" s="79"/>
      <c r="P104" s="79"/>
      <c r="Q104" s="79"/>
      <c r="R104" s="79"/>
      <c r="S104" s="79"/>
      <c r="T104" s="79"/>
      <c r="U104" s="79"/>
      <c r="V104" s="79"/>
      <c r="W104" s="79"/>
      <c r="X104" s="79"/>
      <c r="Y104" s="79"/>
      <c r="Z104" s="79"/>
      <c r="AA104" s="79"/>
      <c r="AB104" s="79"/>
      <c r="AC104" s="79"/>
      <c r="AD104" s="79"/>
      <c r="AE104" s="79"/>
      <c r="AF104" s="79"/>
      <c r="AG104" s="79"/>
      <c r="AH104" s="79"/>
      <c r="AI104" s="79"/>
      <c r="AJ104" s="79"/>
      <c r="AK104" s="79"/>
      <c r="AL104" s="79"/>
      <c r="AM104" s="79"/>
      <c r="AN104" s="79"/>
      <c r="AO104" s="79"/>
      <c r="AP104" s="79"/>
      <c r="AQ104" s="79"/>
      <c r="AR104" s="79"/>
      <c r="AS104" s="79"/>
      <c r="AT104" s="79"/>
      <c r="AU104" s="79"/>
      <c r="AV104" s="79"/>
      <c r="AW104" s="79"/>
      <c r="AX104" s="79"/>
      <c r="AY104" s="79"/>
      <c r="AZ104" s="79"/>
      <c r="BA104" s="79"/>
      <c r="BB104" s="79"/>
      <c r="BC104" s="79"/>
      <c r="BD104" s="79"/>
      <c r="BE104" s="79"/>
      <c r="BF104" s="79"/>
      <c r="BG104" s="79"/>
      <c r="BH104" s="79"/>
      <c r="BK104" s="108"/>
      <c r="BL104" s="108"/>
      <c r="BM104" s="108"/>
      <c r="BN104" s="108"/>
      <c r="BO104" s="108"/>
      <c r="BP104" s="108"/>
      <c r="BQ104" s="108"/>
      <c r="BR104" s="108"/>
      <c r="BS104" s="108"/>
      <c r="BT104" s="108"/>
    </row>
    <row r="105" spans="1:98" ht="7.4" customHeight="1" x14ac:dyDescent="0.5">
      <c r="D105" s="79"/>
      <c r="E105" s="79"/>
      <c r="F105" s="79"/>
      <c r="G105" s="79"/>
      <c r="H105" s="79"/>
      <c r="I105" s="79"/>
      <c r="J105" s="79"/>
      <c r="K105" s="79"/>
      <c r="L105" s="79"/>
      <c r="M105" s="79"/>
      <c r="N105" s="79"/>
      <c r="O105" s="79"/>
      <c r="P105" s="79"/>
      <c r="Q105" s="79"/>
      <c r="R105" s="79"/>
      <c r="S105" s="79"/>
      <c r="T105" s="79"/>
      <c r="U105" s="79"/>
      <c r="V105" s="79"/>
      <c r="W105" s="79"/>
      <c r="X105" s="79"/>
      <c r="Y105" s="79"/>
      <c r="Z105" s="79"/>
      <c r="AA105" s="79"/>
      <c r="AB105" s="79"/>
      <c r="AC105" s="79"/>
      <c r="AD105" s="79"/>
      <c r="AE105" s="79"/>
      <c r="AF105" s="79"/>
      <c r="AG105" s="79"/>
      <c r="AH105" s="79"/>
      <c r="AI105" s="79"/>
      <c r="AJ105" s="79"/>
      <c r="AK105" s="79"/>
      <c r="AL105" s="79"/>
      <c r="AM105" s="79"/>
      <c r="AN105" s="79"/>
      <c r="AO105" s="79"/>
      <c r="AP105" s="79"/>
      <c r="AQ105" s="79"/>
      <c r="AR105" s="79"/>
      <c r="AS105" s="79"/>
      <c r="AT105" s="79"/>
      <c r="AU105" s="79"/>
      <c r="AV105" s="79"/>
      <c r="AW105" s="79"/>
      <c r="AX105" s="79"/>
      <c r="AY105" s="79"/>
      <c r="AZ105" s="79"/>
      <c r="BA105" s="79"/>
      <c r="BB105" s="79"/>
      <c r="BC105" s="79"/>
      <c r="BD105" s="79"/>
      <c r="BE105" s="79"/>
      <c r="BF105" s="79"/>
      <c r="BG105" s="79"/>
      <c r="BH105" s="79"/>
      <c r="BK105" s="108"/>
      <c r="BL105" s="108"/>
      <c r="BM105" s="108"/>
      <c r="BN105" s="108"/>
      <c r="BO105" s="108"/>
      <c r="BP105" s="108"/>
      <c r="BQ105" s="108"/>
      <c r="BR105" s="108"/>
      <c r="BS105" s="108"/>
      <c r="BT105" s="108"/>
      <c r="BX105" s="55"/>
      <c r="BY105" s="55"/>
      <c r="BZ105" s="55"/>
      <c r="CA105" s="55"/>
      <c r="CB105" s="55"/>
      <c r="CC105" s="55"/>
      <c r="CD105" s="55"/>
      <c r="CE105" s="55"/>
      <c r="CF105" s="55"/>
      <c r="CG105" s="55"/>
      <c r="CH105" s="55"/>
      <c r="CI105" s="55"/>
      <c r="CJ105" s="55"/>
      <c r="CK105" s="55"/>
      <c r="CL105" s="55"/>
      <c r="CM105" s="55"/>
      <c r="CN105" s="55"/>
      <c r="CO105" s="55"/>
    </row>
    <row r="106" spans="1:98" ht="7.4" customHeight="1" x14ac:dyDescent="0.5">
      <c r="D106" s="79"/>
      <c r="E106" s="79"/>
      <c r="F106" s="79"/>
      <c r="G106" s="79"/>
      <c r="H106" s="79"/>
      <c r="I106" s="79"/>
      <c r="J106" s="79"/>
      <c r="K106" s="79"/>
      <c r="L106" s="79"/>
      <c r="M106" s="79"/>
      <c r="N106" s="79"/>
      <c r="O106" s="79"/>
      <c r="P106" s="79"/>
      <c r="Q106" s="79"/>
      <c r="R106" s="79"/>
      <c r="S106" s="79"/>
      <c r="T106" s="79"/>
      <c r="U106" s="79"/>
      <c r="V106" s="79"/>
      <c r="W106" s="79"/>
      <c r="X106" s="79"/>
      <c r="Y106" s="79"/>
      <c r="Z106" s="79"/>
      <c r="AA106" s="79"/>
      <c r="AB106" s="79"/>
      <c r="AC106" s="79"/>
      <c r="AD106" s="79"/>
      <c r="AE106" s="79"/>
      <c r="AF106" s="79"/>
      <c r="AG106" s="79"/>
      <c r="AH106" s="79"/>
      <c r="AI106" s="79"/>
      <c r="AJ106" s="79"/>
      <c r="AK106" s="79"/>
      <c r="AL106" s="79"/>
      <c r="AM106" s="79"/>
      <c r="AN106" s="79"/>
      <c r="AO106" s="79"/>
      <c r="AP106" s="79"/>
      <c r="AQ106" s="79"/>
      <c r="AR106" s="79"/>
      <c r="AS106" s="79"/>
      <c r="AT106" s="79"/>
      <c r="AU106" s="79"/>
      <c r="AV106" s="79"/>
      <c r="AW106" s="79"/>
      <c r="AX106" s="79"/>
      <c r="AY106" s="79"/>
      <c r="AZ106" s="79"/>
      <c r="BA106" s="79"/>
      <c r="BB106" s="79"/>
      <c r="BC106" s="79"/>
      <c r="BD106" s="79"/>
      <c r="BE106" s="79"/>
      <c r="BF106" s="79"/>
      <c r="BG106" s="79"/>
      <c r="BH106" s="79"/>
      <c r="BK106" s="333"/>
      <c r="BL106" s="333"/>
      <c r="BM106" s="333"/>
      <c r="BN106" s="333"/>
      <c r="BO106" s="333"/>
      <c r="BP106" s="333"/>
      <c r="BQ106" s="298"/>
      <c r="BR106" s="298"/>
      <c r="BS106" s="298"/>
      <c r="BT106" s="298"/>
      <c r="BU106" s="298"/>
      <c r="BV106" s="298"/>
      <c r="BW106" s="298"/>
      <c r="CJ106" s="25"/>
      <c r="CK106" s="25"/>
      <c r="CL106" s="25"/>
      <c r="CM106" s="25"/>
      <c r="CN106" s="25"/>
      <c r="CO106" s="25"/>
    </row>
    <row r="107" spans="1:98" ht="7.4" customHeight="1" x14ac:dyDescent="0.5">
      <c r="BB107" s="184"/>
      <c r="BC107" s="184"/>
      <c r="BD107" s="184"/>
      <c r="BE107" s="184"/>
      <c r="BF107" s="184"/>
      <c r="BG107" s="184"/>
      <c r="BH107" s="184"/>
      <c r="BI107" s="184"/>
      <c r="BK107" s="339"/>
      <c r="BL107" s="339"/>
      <c r="BM107" s="339"/>
      <c r="BN107" s="339"/>
      <c r="BO107" s="339"/>
      <c r="BP107" s="339"/>
      <c r="BQ107" s="340"/>
      <c r="BR107" s="340"/>
      <c r="BS107" s="340"/>
      <c r="BT107" s="340"/>
      <c r="BU107" s="340"/>
      <c r="BV107" s="340"/>
      <c r="BW107" s="340"/>
      <c r="CJ107" s="108"/>
      <c r="CK107" s="108"/>
      <c r="CL107" s="108"/>
      <c r="CM107" s="108"/>
      <c r="CN107" s="108"/>
      <c r="CO107" s="108"/>
    </row>
    <row r="108" spans="1:98" ht="7.4" customHeight="1" x14ac:dyDescent="0.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BB108" s="184"/>
      <c r="BC108" s="184"/>
      <c r="BD108" s="184"/>
      <c r="BE108" s="184"/>
      <c r="BF108" s="184"/>
      <c r="BG108" s="184"/>
      <c r="BH108" s="184"/>
      <c r="BI108" s="184"/>
      <c r="BK108" s="339"/>
      <c r="BL108" s="339"/>
      <c r="BM108" s="339"/>
      <c r="BN108" s="339"/>
      <c r="BO108" s="339"/>
      <c r="BP108" s="339"/>
      <c r="BQ108" s="340"/>
      <c r="BR108" s="340"/>
      <c r="BS108" s="340"/>
      <c r="BT108" s="340"/>
      <c r="BU108" s="340"/>
      <c r="BV108" s="340"/>
      <c r="BW108" s="340"/>
      <c r="CJ108" s="108"/>
      <c r="CK108" s="108"/>
      <c r="CL108" s="108"/>
      <c r="CM108" s="108"/>
      <c r="CN108" s="108"/>
      <c r="CO108" s="108"/>
    </row>
    <row r="109" spans="1:98" ht="7.4" customHeight="1" x14ac:dyDescent="0.5">
      <c r="A109" s="38"/>
      <c r="B109" s="39"/>
      <c r="C109" s="39"/>
      <c r="D109" s="39"/>
      <c r="E109" s="39"/>
      <c r="F109" s="39"/>
      <c r="G109" s="39"/>
      <c r="H109" s="39"/>
      <c r="I109" s="39"/>
      <c r="J109" s="39"/>
      <c r="K109" s="39"/>
      <c r="L109" s="39"/>
      <c r="M109" s="39"/>
      <c r="N109" s="39"/>
      <c r="O109" s="39"/>
      <c r="P109" s="39"/>
      <c r="Q109" s="39"/>
      <c r="R109" s="39"/>
      <c r="S109" s="67"/>
      <c r="T109" s="68"/>
      <c r="U109" s="68"/>
      <c r="V109" s="68"/>
      <c r="W109" s="68"/>
      <c r="X109" s="68"/>
      <c r="Y109" s="68"/>
      <c r="Z109" s="68"/>
      <c r="AA109" s="68"/>
      <c r="AB109" s="68"/>
      <c r="AC109" s="68"/>
      <c r="AD109" s="68"/>
      <c r="AE109" s="68"/>
      <c r="AF109" s="68"/>
      <c r="AG109" s="68"/>
      <c r="AH109" s="68"/>
      <c r="AI109" s="68"/>
      <c r="AJ109" s="68"/>
      <c r="AK109" s="68"/>
      <c r="AL109" s="68"/>
      <c r="AM109" s="68"/>
      <c r="AN109" s="68"/>
      <c r="AO109" s="68"/>
      <c r="AP109" s="68"/>
      <c r="AQ109" s="69"/>
      <c r="AR109" s="39"/>
      <c r="AS109" s="39"/>
      <c r="AT109" s="39"/>
      <c r="AU109" s="39"/>
      <c r="AV109" s="39"/>
      <c r="AW109" s="39"/>
      <c r="AX109" s="39"/>
      <c r="AY109" s="39"/>
      <c r="AZ109" s="39"/>
      <c r="BA109" s="39"/>
      <c r="BB109" s="39"/>
      <c r="BC109" s="39"/>
      <c r="BD109" s="39"/>
      <c r="BE109" s="39"/>
      <c r="BF109" s="39"/>
      <c r="BG109" s="39"/>
      <c r="BH109" s="39"/>
      <c r="BI109" s="40"/>
      <c r="BK109" s="334"/>
      <c r="BL109" s="334"/>
      <c r="BM109" s="334"/>
      <c r="BN109" s="334"/>
      <c r="BO109" s="334"/>
      <c r="BP109" s="334"/>
      <c r="BQ109" s="429"/>
      <c r="BR109" s="429"/>
      <c r="BS109" s="429"/>
      <c r="BT109" s="429"/>
      <c r="BU109" s="429"/>
      <c r="BV109" s="429"/>
      <c r="BW109" s="429"/>
      <c r="BX109" s="429"/>
      <c r="BY109" s="429"/>
      <c r="BZ109" s="429"/>
      <c r="CA109" s="429"/>
      <c r="CB109" s="429"/>
      <c r="CC109" s="334"/>
      <c r="CD109" s="334"/>
      <c r="CE109" s="334"/>
      <c r="CF109" s="334"/>
      <c r="CG109" s="334"/>
      <c r="CH109" s="334"/>
      <c r="CI109" s="333"/>
      <c r="CJ109" s="333"/>
      <c r="CK109" s="333"/>
      <c r="CL109" s="333"/>
      <c r="CM109" s="333"/>
      <c r="CN109" s="333"/>
      <c r="CO109" s="334"/>
      <c r="CP109" s="334"/>
      <c r="CQ109" s="334"/>
      <c r="CR109" s="334"/>
      <c r="CS109" s="334"/>
      <c r="CT109" s="334"/>
    </row>
    <row r="110" spans="1:98" ht="7.4" customHeight="1" x14ac:dyDescent="0.5">
      <c r="A110" s="42"/>
      <c r="S110" s="70"/>
      <c r="T110" s="509" t="str">
        <f>"Roof Top Angled Railless ("&amp;$AO$35&amp;")"</f>
        <v>Roof Top Angled Railless (IBR)</v>
      </c>
      <c r="U110" s="509"/>
      <c r="V110" s="509"/>
      <c r="W110" s="509"/>
      <c r="X110" s="509"/>
      <c r="Y110" s="509"/>
      <c r="Z110" s="509"/>
      <c r="AA110" s="509"/>
      <c r="AB110" s="509"/>
      <c r="AC110" s="509"/>
      <c r="AD110" s="509"/>
      <c r="AE110" s="509"/>
      <c r="AF110" s="509"/>
      <c r="AG110" s="509"/>
      <c r="AH110" s="509"/>
      <c r="AI110" s="509"/>
      <c r="AJ110" s="509"/>
      <c r="AK110" s="509"/>
      <c r="AL110" s="509"/>
      <c r="AM110" s="509"/>
      <c r="AN110" s="509"/>
      <c r="AO110" s="509"/>
      <c r="AP110" s="509"/>
      <c r="AQ110" s="71"/>
      <c r="BI110" s="41"/>
      <c r="BK110" s="334"/>
      <c r="BL110" s="334"/>
      <c r="BM110" s="334"/>
      <c r="BN110" s="334"/>
      <c r="BO110" s="334"/>
      <c r="BP110" s="334"/>
      <c r="BQ110" s="429"/>
      <c r="BR110" s="429"/>
      <c r="BS110" s="429"/>
      <c r="BT110" s="429"/>
      <c r="BU110" s="429"/>
      <c r="BV110" s="429"/>
      <c r="BW110" s="429"/>
      <c r="BX110" s="429"/>
      <c r="BY110" s="429"/>
      <c r="BZ110" s="429"/>
      <c r="CA110" s="429"/>
      <c r="CB110" s="429"/>
      <c r="CC110" s="334"/>
      <c r="CD110" s="334"/>
      <c r="CE110" s="334"/>
      <c r="CF110" s="334"/>
      <c r="CG110" s="334"/>
      <c r="CH110" s="334"/>
      <c r="CI110" s="333"/>
      <c r="CJ110" s="333"/>
      <c r="CK110" s="333"/>
      <c r="CL110" s="333"/>
      <c r="CM110" s="333"/>
      <c r="CN110" s="333"/>
      <c r="CO110" s="334"/>
      <c r="CP110" s="334"/>
      <c r="CQ110" s="334"/>
      <c r="CR110" s="334"/>
      <c r="CS110" s="334"/>
      <c r="CT110" s="334"/>
    </row>
    <row r="111" spans="1:98" ht="7.4" customHeight="1" x14ac:dyDescent="0.5">
      <c r="A111" s="42"/>
      <c r="S111" s="70"/>
      <c r="T111" s="509"/>
      <c r="U111" s="509"/>
      <c r="V111" s="509"/>
      <c r="W111" s="509"/>
      <c r="X111" s="509"/>
      <c r="Y111" s="509"/>
      <c r="Z111" s="509"/>
      <c r="AA111" s="509"/>
      <c r="AB111" s="509"/>
      <c r="AC111" s="509"/>
      <c r="AD111" s="509"/>
      <c r="AE111" s="509"/>
      <c r="AF111" s="509"/>
      <c r="AG111" s="509"/>
      <c r="AH111" s="509"/>
      <c r="AI111" s="509"/>
      <c r="AJ111" s="509"/>
      <c r="AK111" s="509"/>
      <c r="AL111" s="509"/>
      <c r="AM111" s="509"/>
      <c r="AN111" s="509"/>
      <c r="AO111" s="509"/>
      <c r="AP111" s="509"/>
      <c r="AQ111" s="71"/>
      <c r="BI111" s="41"/>
      <c r="BK111" s="427"/>
      <c r="BL111" s="427"/>
      <c r="BM111" s="427"/>
      <c r="BN111" s="427"/>
      <c r="BO111" s="427"/>
      <c r="BP111" s="427"/>
      <c r="BQ111" s="510"/>
      <c r="BR111" s="510"/>
      <c r="BS111" s="510"/>
      <c r="BT111" s="510"/>
      <c r="BU111" s="510"/>
      <c r="BV111" s="510"/>
      <c r="BW111" s="510"/>
      <c r="BX111" s="510"/>
      <c r="BY111" s="510"/>
      <c r="BZ111" s="510"/>
      <c r="CA111" s="510"/>
      <c r="CB111" s="510"/>
      <c r="CC111" s="339"/>
      <c r="CD111" s="339"/>
      <c r="CE111" s="339"/>
      <c r="CF111" s="339"/>
      <c r="CG111" s="339"/>
      <c r="CH111" s="339"/>
      <c r="CI111" s="336"/>
      <c r="CJ111" s="336"/>
      <c r="CK111" s="336"/>
      <c r="CL111" s="336"/>
      <c r="CM111" s="336"/>
      <c r="CN111" s="336"/>
      <c r="CO111" s="336"/>
      <c r="CP111" s="336"/>
      <c r="CQ111" s="336"/>
      <c r="CR111" s="336"/>
      <c r="CS111" s="336"/>
      <c r="CT111" s="336"/>
    </row>
    <row r="112" spans="1:98" ht="7.4" customHeight="1" x14ac:dyDescent="0.5">
      <c r="A112" s="42"/>
      <c r="S112" s="72"/>
      <c r="T112" s="73"/>
      <c r="U112" s="73"/>
      <c r="V112" s="73"/>
      <c r="W112" s="73"/>
      <c r="X112" s="73"/>
      <c r="Y112" s="73"/>
      <c r="Z112" s="73"/>
      <c r="AA112" s="73"/>
      <c r="AB112" s="73"/>
      <c r="AC112" s="73"/>
      <c r="AD112" s="73"/>
      <c r="AE112" s="73"/>
      <c r="AF112" s="73"/>
      <c r="AG112" s="73"/>
      <c r="AH112" s="73"/>
      <c r="AI112" s="73"/>
      <c r="AJ112" s="73"/>
      <c r="AK112" s="73"/>
      <c r="AL112" s="73"/>
      <c r="AM112" s="73"/>
      <c r="AN112" s="73"/>
      <c r="AO112" s="73"/>
      <c r="AP112" s="73"/>
      <c r="AQ112" s="74"/>
      <c r="BI112" s="41"/>
      <c r="BK112" s="427"/>
      <c r="BL112" s="427"/>
      <c r="BM112" s="427"/>
      <c r="BN112" s="427"/>
      <c r="BO112" s="427"/>
      <c r="BP112" s="427"/>
      <c r="BQ112" s="510"/>
      <c r="BR112" s="510"/>
      <c r="BS112" s="510"/>
      <c r="BT112" s="510"/>
      <c r="BU112" s="510"/>
      <c r="BV112" s="510"/>
      <c r="BW112" s="510"/>
      <c r="BX112" s="510"/>
      <c r="BY112" s="510"/>
      <c r="BZ112" s="510"/>
      <c r="CA112" s="510"/>
      <c r="CB112" s="510"/>
      <c r="CC112" s="339"/>
      <c r="CD112" s="339"/>
      <c r="CE112" s="339"/>
      <c r="CF112" s="339"/>
      <c r="CG112" s="339"/>
      <c r="CH112" s="339"/>
      <c r="CI112" s="336"/>
      <c r="CJ112" s="336"/>
      <c r="CK112" s="336"/>
      <c r="CL112" s="336"/>
      <c r="CM112" s="336"/>
      <c r="CN112" s="336"/>
      <c r="CO112" s="336"/>
      <c r="CP112" s="336"/>
      <c r="CQ112" s="336"/>
      <c r="CR112" s="336"/>
      <c r="CS112" s="336"/>
      <c r="CT112" s="336"/>
    </row>
    <row r="113" spans="1:124" ht="7.4" customHeight="1" x14ac:dyDescent="0.5">
      <c r="A113" s="42"/>
      <c r="BI113" s="41"/>
      <c r="CO113" s="298"/>
      <c r="CP113" s="298"/>
      <c r="CQ113" s="298"/>
      <c r="CR113" s="298"/>
      <c r="CS113" s="298"/>
      <c r="CT113" s="298"/>
    </row>
    <row r="114" spans="1:124" ht="7.4" customHeight="1" x14ac:dyDescent="0.5">
      <c r="A114" s="42"/>
      <c r="B114" s="29"/>
      <c r="C114" s="422" t="s">
        <v>49</v>
      </c>
      <c r="D114" s="422"/>
      <c r="E114" s="423"/>
      <c r="F114" s="29"/>
      <c r="G114" s="422" t="s">
        <v>50</v>
      </c>
      <c r="H114" s="422"/>
      <c r="I114" s="422"/>
      <c r="J114" s="422"/>
      <c r="K114" s="422"/>
      <c r="L114" s="422"/>
      <c r="M114" s="422"/>
      <c r="N114" s="422"/>
      <c r="O114" s="422"/>
      <c r="P114" s="422"/>
      <c r="Q114" s="422"/>
      <c r="R114" s="423"/>
      <c r="S114" s="29"/>
      <c r="T114" s="422" t="s">
        <v>51</v>
      </c>
      <c r="U114" s="422"/>
      <c r="V114" s="422"/>
      <c r="W114" s="422"/>
      <c r="X114" s="422"/>
      <c r="Y114" s="422"/>
      <c r="Z114" s="422"/>
      <c r="AA114" s="422"/>
      <c r="AB114" s="422"/>
      <c r="AC114" s="422"/>
      <c r="AD114" s="422"/>
      <c r="AE114" s="422"/>
      <c r="AF114" s="422"/>
      <c r="AG114" s="422"/>
      <c r="AH114" s="422"/>
      <c r="AI114" s="422"/>
      <c r="AJ114" s="423"/>
      <c r="AK114" s="29"/>
      <c r="AL114" s="422" t="s">
        <v>106</v>
      </c>
      <c r="AM114" s="422"/>
      <c r="AN114" s="422"/>
      <c r="AO114" s="422"/>
      <c r="AP114" s="423"/>
      <c r="AQ114" s="299" t="s">
        <v>53</v>
      </c>
      <c r="AR114" s="363"/>
      <c r="AS114" s="363"/>
      <c r="AT114" s="363"/>
      <c r="AU114" s="363"/>
      <c r="AV114" s="363"/>
      <c r="AW114" s="363"/>
      <c r="AX114" s="363"/>
      <c r="AY114" s="363"/>
      <c r="AZ114" s="363"/>
      <c r="BA114" s="363"/>
      <c r="BB114" s="363"/>
      <c r="BC114" s="363"/>
      <c r="BD114" s="363"/>
      <c r="BE114" s="363"/>
      <c r="BF114" s="363"/>
      <c r="BG114" s="363"/>
      <c r="BH114" s="364"/>
      <c r="BI114" s="41"/>
      <c r="BK114" s="81"/>
      <c r="BL114" s="77"/>
      <c r="BM114" s="40"/>
      <c r="BN114" s="77"/>
      <c r="BO114" s="77"/>
      <c r="BP114" s="40"/>
      <c r="BQ114" s="81"/>
      <c r="BR114" s="77"/>
      <c r="BS114" s="40"/>
      <c r="BT114" s="81"/>
      <c r="BU114" s="77"/>
      <c r="BV114" s="40"/>
      <c r="BW114" s="81"/>
      <c r="BX114" s="77"/>
      <c r="BY114" s="40"/>
      <c r="BZ114" s="81"/>
      <c r="CA114" s="77"/>
      <c r="CB114" s="40"/>
      <c r="CC114" s="81"/>
      <c r="CD114" s="77"/>
      <c r="CE114" s="40"/>
      <c r="CF114" s="81"/>
      <c r="CG114" s="77"/>
      <c r="CH114" s="40"/>
      <c r="CI114" s="81"/>
      <c r="CJ114" s="77"/>
      <c r="CK114" s="40"/>
      <c r="CL114" s="81"/>
      <c r="CM114" s="77"/>
      <c r="CN114" s="40"/>
      <c r="CO114" s="81"/>
      <c r="CP114" s="77"/>
      <c r="CQ114" s="40"/>
      <c r="CR114" s="81"/>
      <c r="CS114" s="77"/>
      <c r="CT114" s="40"/>
      <c r="CU114" s="81"/>
      <c r="CV114" s="77"/>
      <c r="CW114" s="40"/>
      <c r="CX114" s="81"/>
      <c r="CY114" s="77"/>
      <c r="CZ114" s="40"/>
      <c r="DA114" s="81"/>
      <c r="DB114" s="77"/>
      <c r="DC114" s="40"/>
      <c r="DD114" s="81"/>
      <c r="DE114" s="77"/>
      <c r="DF114" s="40"/>
    </row>
    <row r="115" spans="1:124" ht="7.4" customHeight="1" x14ac:dyDescent="0.5">
      <c r="A115" s="42"/>
      <c r="B115" s="32"/>
      <c r="C115" s="408"/>
      <c r="D115" s="408"/>
      <c r="E115" s="424"/>
      <c r="F115" s="32"/>
      <c r="G115" s="408"/>
      <c r="H115" s="408"/>
      <c r="I115" s="408"/>
      <c r="J115" s="408"/>
      <c r="K115" s="408"/>
      <c r="L115" s="408"/>
      <c r="M115" s="408"/>
      <c r="N115" s="408"/>
      <c r="O115" s="408"/>
      <c r="P115" s="408"/>
      <c r="Q115" s="408"/>
      <c r="R115" s="424"/>
      <c r="S115" s="32"/>
      <c r="T115" s="408"/>
      <c r="U115" s="408"/>
      <c r="V115" s="408"/>
      <c r="W115" s="408"/>
      <c r="X115" s="408"/>
      <c r="Y115" s="408"/>
      <c r="Z115" s="408"/>
      <c r="AA115" s="408"/>
      <c r="AB115" s="408"/>
      <c r="AC115" s="408"/>
      <c r="AD115" s="408"/>
      <c r="AE115" s="408"/>
      <c r="AF115" s="408"/>
      <c r="AG115" s="408"/>
      <c r="AH115" s="408"/>
      <c r="AI115" s="408"/>
      <c r="AJ115" s="424"/>
      <c r="AK115" s="32"/>
      <c r="AL115" s="408"/>
      <c r="AM115" s="408"/>
      <c r="AN115" s="408"/>
      <c r="AO115" s="408"/>
      <c r="AP115" s="424"/>
      <c r="AQ115" s="365"/>
      <c r="AR115" s="366"/>
      <c r="AS115" s="366"/>
      <c r="AT115" s="366"/>
      <c r="AU115" s="366"/>
      <c r="AV115" s="366"/>
      <c r="AW115" s="366"/>
      <c r="AX115" s="366"/>
      <c r="AY115" s="366"/>
      <c r="AZ115" s="366"/>
      <c r="BA115" s="366"/>
      <c r="BB115" s="366"/>
      <c r="BC115" s="366"/>
      <c r="BD115" s="366"/>
      <c r="BE115" s="366"/>
      <c r="BF115" s="366"/>
      <c r="BG115" s="366"/>
      <c r="BH115" s="367"/>
      <c r="BI115" s="41"/>
      <c r="BK115" s="310">
        <v>1</v>
      </c>
      <c r="BL115" s="311"/>
      <c r="BM115" s="312"/>
      <c r="BN115" s="310">
        <v>2</v>
      </c>
      <c r="BO115" s="311"/>
      <c r="BP115" s="312"/>
      <c r="BQ115" s="310">
        <v>3</v>
      </c>
      <c r="BR115" s="311"/>
      <c r="BS115" s="312"/>
      <c r="BT115" s="310">
        <v>4</v>
      </c>
      <c r="BU115" s="311"/>
      <c r="BV115" s="312"/>
      <c r="BW115" s="310">
        <v>5</v>
      </c>
      <c r="BX115" s="311"/>
      <c r="BY115" s="312"/>
      <c r="BZ115" s="310">
        <v>6</v>
      </c>
      <c r="CA115" s="311"/>
      <c r="CB115" s="312"/>
      <c r="CC115" s="310">
        <v>7</v>
      </c>
      <c r="CD115" s="311"/>
      <c r="CE115" s="312"/>
      <c r="CF115" s="310">
        <v>8</v>
      </c>
      <c r="CG115" s="311"/>
      <c r="CH115" s="312"/>
      <c r="CI115" s="310">
        <v>9</v>
      </c>
      <c r="CJ115" s="311"/>
      <c r="CK115" s="312"/>
      <c r="CL115" s="310">
        <v>10</v>
      </c>
      <c r="CM115" s="311"/>
      <c r="CN115" s="312"/>
      <c r="CO115" s="310">
        <v>11</v>
      </c>
      <c r="CP115" s="311"/>
      <c r="CQ115" s="312"/>
      <c r="CR115" s="310">
        <v>12</v>
      </c>
      <c r="CS115" s="311"/>
      <c r="CT115" s="312"/>
      <c r="CU115" s="310">
        <v>13</v>
      </c>
      <c r="CV115" s="311"/>
      <c r="CW115" s="312"/>
      <c r="CX115" s="310">
        <v>14</v>
      </c>
      <c r="CY115" s="311"/>
      <c r="CZ115" s="312"/>
      <c r="DA115" s="310">
        <v>15</v>
      </c>
      <c r="DB115" s="311"/>
      <c r="DC115" s="312"/>
      <c r="DD115" s="310">
        <v>16</v>
      </c>
      <c r="DE115" s="311"/>
      <c r="DF115" s="312"/>
      <c r="DH115" s="331"/>
      <c r="DI115" s="331"/>
      <c r="DJ115" s="331"/>
      <c r="DK115" s="331"/>
      <c r="DL115" s="311"/>
      <c r="DM115" s="311"/>
      <c r="DN115" s="311"/>
      <c r="DO115" s="311"/>
      <c r="DP115" s="311"/>
      <c r="DQ115" s="311"/>
      <c r="DR115" s="311"/>
      <c r="DS115" s="311"/>
      <c r="DT115" s="311"/>
    </row>
    <row r="116" spans="1:124" ht="7.4" customHeight="1" x14ac:dyDescent="0.5">
      <c r="A116" s="42"/>
      <c r="B116" s="32"/>
      <c r="C116" s="408"/>
      <c r="D116" s="408"/>
      <c r="E116" s="424"/>
      <c r="F116" s="32"/>
      <c r="G116" s="408"/>
      <c r="H116" s="408"/>
      <c r="I116" s="408"/>
      <c r="J116" s="408"/>
      <c r="K116" s="408"/>
      <c r="L116" s="408"/>
      <c r="M116" s="408"/>
      <c r="N116" s="408"/>
      <c r="O116" s="408"/>
      <c r="P116" s="408"/>
      <c r="Q116" s="408"/>
      <c r="R116" s="424"/>
      <c r="S116" s="32"/>
      <c r="T116" s="408"/>
      <c r="U116" s="408"/>
      <c r="V116" s="408"/>
      <c r="W116" s="408"/>
      <c r="X116" s="408"/>
      <c r="Y116" s="408"/>
      <c r="Z116" s="408"/>
      <c r="AA116" s="408"/>
      <c r="AB116" s="408"/>
      <c r="AC116" s="408"/>
      <c r="AD116" s="408"/>
      <c r="AE116" s="408"/>
      <c r="AF116" s="408"/>
      <c r="AG116" s="408"/>
      <c r="AH116" s="408"/>
      <c r="AI116" s="408"/>
      <c r="AJ116" s="424"/>
      <c r="AK116" s="32"/>
      <c r="AL116" s="408"/>
      <c r="AM116" s="408"/>
      <c r="AN116" s="408"/>
      <c r="AO116" s="408"/>
      <c r="AP116" s="424"/>
      <c r="AQ116" s="365"/>
      <c r="AR116" s="366"/>
      <c r="AS116" s="366"/>
      <c r="AT116" s="366"/>
      <c r="AU116" s="366"/>
      <c r="AV116" s="366"/>
      <c r="AW116" s="366"/>
      <c r="AX116" s="366"/>
      <c r="AY116" s="366"/>
      <c r="AZ116" s="366"/>
      <c r="BA116" s="366"/>
      <c r="BB116" s="366"/>
      <c r="BC116" s="366"/>
      <c r="BD116" s="366"/>
      <c r="BE116" s="366"/>
      <c r="BF116" s="366"/>
      <c r="BG116" s="366"/>
      <c r="BH116" s="367"/>
      <c r="BI116" s="41"/>
      <c r="BK116" s="310"/>
      <c r="BL116" s="311"/>
      <c r="BM116" s="312"/>
      <c r="BN116" s="310"/>
      <c r="BO116" s="311"/>
      <c r="BP116" s="312"/>
      <c r="BQ116" s="310"/>
      <c r="BR116" s="311"/>
      <c r="BS116" s="312"/>
      <c r="BT116" s="310"/>
      <c r="BU116" s="311"/>
      <c r="BV116" s="312"/>
      <c r="BW116" s="310"/>
      <c r="BX116" s="311"/>
      <c r="BY116" s="312"/>
      <c r="BZ116" s="310"/>
      <c r="CA116" s="311"/>
      <c r="CB116" s="312"/>
      <c r="CC116" s="310"/>
      <c r="CD116" s="311"/>
      <c r="CE116" s="312"/>
      <c r="CF116" s="310"/>
      <c r="CG116" s="311"/>
      <c r="CH116" s="312"/>
      <c r="CI116" s="310"/>
      <c r="CJ116" s="311"/>
      <c r="CK116" s="312"/>
      <c r="CL116" s="310"/>
      <c r="CM116" s="311"/>
      <c r="CN116" s="312"/>
      <c r="CO116" s="310"/>
      <c r="CP116" s="311"/>
      <c r="CQ116" s="312"/>
      <c r="CR116" s="310"/>
      <c r="CS116" s="311"/>
      <c r="CT116" s="312"/>
      <c r="CU116" s="310"/>
      <c r="CV116" s="311"/>
      <c r="CW116" s="312"/>
      <c r="CX116" s="310"/>
      <c r="CY116" s="311"/>
      <c r="CZ116" s="312"/>
      <c r="DA116" s="310"/>
      <c r="DB116" s="311"/>
      <c r="DC116" s="312"/>
      <c r="DD116" s="310"/>
      <c r="DE116" s="311"/>
      <c r="DF116" s="312"/>
      <c r="DH116" s="331"/>
      <c r="DI116" s="331"/>
      <c r="DJ116" s="331"/>
      <c r="DK116" s="331"/>
      <c r="DL116" s="311"/>
      <c r="DM116" s="311"/>
      <c r="DN116" s="311"/>
      <c r="DO116" s="311"/>
      <c r="DP116" s="311"/>
      <c r="DQ116" s="311"/>
      <c r="DR116" s="311"/>
      <c r="DS116" s="311"/>
      <c r="DT116" s="311"/>
    </row>
    <row r="117" spans="1:124" ht="7.4" customHeight="1" x14ac:dyDescent="0.5">
      <c r="A117" s="42"/>
      <c r="B117" s="35"/>
      <c r="C117" s="425"/>
      <c r="D117" s="425"/>
      <c r="E117" s="426"/>
      <c r="F117" s="35"/>
      <c r="G117" s="425"/>
      <c r="H117" s="425"/>
      <c r="I117" s="425"/>
      <c r="J117" s="425"/>
      <c r="K117" s="425"/>
      <c r="L117" s="425"/>
      <c r="M117" s="425"/>
      <c r="N117" s="425"/>
      <c r="O117" s="425"/>
      <c r="P117" s="425"/>
      <c r="Q117" s="425"/>
      <c r="R117" s="426"/>
      <c r="S117" s="35"/>
      <c r="T117" s="425"/>
      <c r="U117" s="425"/>
      <c r="V117" s="425"/>
      <c r="W117" s="425"/>
      <c r="X117" s="425"/>
      <c r="Y117" s="425"/>
      <c r="Z117" s="425"/>
      <c r="AA117" s="425"/>
      <c r="AB117" s="425"/>
      <c r="AC117" s="425"/>
      <c r="AD117" s="425"/>
      <c r="AE117" s="425"/>
      <c r="AF117" s="425"/>
      <c r="AG117" s="425"/>
      <c r="AH117" s="425"/>
      <c r="AI117" s="425"/>
      <c r="AJ117" s="426"/>
      <c r="AK117" s="35"/>
      <c r="AL117" s="425"/>
      <c r="AM117" s="425"/>
      <c r="AN117" s="425"/>
      <c r="AO117" s="425"/>
      <c r="AP117" s="426"/>
      <c r="AQ117" s="368"/>
      <c r="AR117" s="369"/>
      <c r="AS117" s="369"/>
      <c r="AT117" s="369"/>
      <c r="AU117" s="369"/>
      <c r="AV117" s="369"/>
      <c r="AW117" s="369"/>
      <c r="AX117" s="369"/>
      <c r="AY117" s="369"/>
      <c r="AZ117" s="369"/>
      <c r="BA117" s="369"/>
      <c r="BB117" s="369"/>
      <c r="BC117" s="369"/>
      <c r="BD117" s="369"/>
      <c r="BE117" s="369"/>
      <c r="BF117" s="369"/>
      <c r="BG117" s="369"/>
      <c r="BH117" s="370"/>
      <c r="BI117" s="41"/>
      <c r="BK117" s="220"/>
      <c r="BL117" s="134"/>
      <c r="BM117" s="85"/>
      <c r="BN117" s="134"/>
      <c r="BO117" s="134"/>
      <c r="BP117" s="85"/>
      <c r="BQ117" s="220"/>
      <c r="BR117" s="134"/>
      <c r="BS117" s="85"/>
      <c r="BT117" s="220"/>
      <c r="BU117" s="134"/>
      <c r="BV117" s="85"/>
      <c r="BW117" s="220"/>
      <c r="BX117" s="134"/>
      <c r="BY117" s="85"/>
      <c r="BZ117" s="220"/>
      <c r="CA117" s="134"/>
      <c r="CB117" s="85"/>
      <c r="CC117" s="220"/>
      <c r="CD117" s="134"/>
      <c r="CE117" s="85"/>
      <c r="CF117" s="220"/>
      <c r="CG117" s="134"/>
      <c r="CH117" s="85"/>
      <c r="CI117" s="220"/>
      <c r="CJ117" s="134"/>
      <c r="CK117" s="85"/>
      <c r="CL117" s="220"/>
      <c r="CM117" s="134"/>
      <c r="CN117" s="85"/>
      <c r="CO117" s="220"/>
      <c r="CP117" s="134"/>
      <c r="CQ117" s="85"/>
      <c r="CR117" s="220"/>
      <c r="CS117" s="134"/>
      <c r="CT117" s="85"/>
      <c r="CU117" s="220"/>
      <c r="CV117" s="134"/>
      <c r="CW117" s="85"/>
      <c r="CX117" s="220"/>
      <c r="CY117" s="134"/>
      <c r="CZ117" s="85"/>
      <c r="DA117" s="220"/>
      <c r="DB117" s="134"/>
      <c r="DC117" s="85"/>
      <c r="DD117" s="220"/>
      <c r="DE117" s="134"/>
      <c r="DF117" s="85"/>
    </row>
    <row r="118" spans="1:124" ht="7.4" customHeight="1" x14ac:dyDescent="0.5">
      <c r="A118" s="42"/>
      <c r="B118" s="42"/>
      <c r="C118" s="55"/>
      <c r="D118" s="55"/>
      <c r="E118" s="41"/>
      <c r="F118" s="42"/>
      <c r="G118" s="56"/>
      <c r="H118" s="56"/>
      <c r="I118" s="56"/>
      <c r="J118" s="56"/>
      <c r="K118" s="56"/>
      <c r="L118" s="56"/>
      <c r="M118" s="56"/>
      <c r="N118" s="56"/>
      <c r="O118" s="56"/>
      <c r="P118" s="56"/>
      <c r="Q118" s="56"/>
      <c r="R118" s="126"/>
      <c r="S118" s="42"/>
      <c r="AJ118" s="41"/>
      <c r="AK118" s="42"/>
      <c r="AL118" s="311"/>
      <c r="AM118" s="311"/>
      <c r="AN118" s="311"/>
      <c r="AO118" s="311"/>
      <c r="AP118" s="43"/>
      <c r="AQ118" s="38"/>
      <c r="AR118" s="77"/>
      <c r="AS118" s="77"/>
      <c r="AT118" s="77"/>
      <c r="AU118" s="77"/>
      <c r="AV118" s="77"/>
      <c r="AW118" s="77"/>
      <c r="AX118" s="227"/>
      <c r="AY118" s="245"/>
      <c r="AZ118" s="77"/>
      <c r="BA118" s="77"/>
      <c r="BB118" s="77"/>
      <c r="BC118" s="77"/>
      <c r="BD118" s="77"/>
      <c r="BE118" s="77"/>
      <c r="BF118" s="77"/>
      <c r="BG118" s="77"/>
      <c r="BH118" s="138"/>
      <c r="BI118" s="41"/>
      <c r="BK118" s="194"/>
      <c r="BL118" s="123"/>
      <c r="BM118" s="195"/>
      <c r="BN118" s="196"/>
      <c r="BO118" s="153"/>
      <c r="BP118" s="197"/>
      <c r="BQ118" s="196"/>
      <c r="BR118" s="153"/>
      <c r="BS118" s="197"/>
      <c r="BT118" s="196"/>
      <c r="BU118" s="153"/>
      <c r="BV118" s="197"/>
      <c r="BW118" s="196"/>
      <c r="BX118" s="153"/>
      <c r="BY118" s="197"/>
      <c r="BZ118" s="196"/>
      <c r="CA118" s="153"/>
      <c r="CB118" s="197"/>
      <c r="CC118" s="196"/>
      <c r="CD118" s="153"/>
      <c r="CE118" s="197"/>
      <c r="CF118" s="196"/>
      <c r="CG118" s="153"/>
      <c r="CH118" s="197"/>
      <c r="CI118" s="196"/>
      <c r="CJ118" s="153"/>
      <c r="CK118" s="197"/>
      <c r="CL118" s="196"/>
      <c r="CM118" s="153"/>
      <c r="CN118" s="197"/>
      <c r="CO118" s="196"/>
      <c r="CP118" s="153"/>
      <c r="CQ118" s="197"/>
      <c r="CR118" s="196"/>
      <c r="CS118" s="153"/>
      <c r="CT118" s="197"/>
      <c r="CU118" s="196"/>
      <c r="CV118" s="153"/>
      <c r="CW118" s="197"/>
      <c r="CX118" s="196"/>
      <c r="CY118" s="153"/>
      <c r="CZ118" s="197"/>
      <c r="DA118" s="196"/>
      <c r="DB118" s="153"/>
      <c r="DC118" s="197"/>
      <c r="DD118" s="196"/>
      <c r="DE118" s="153"/>
      <c r="DF118" s="197"/>
      <c r="DL118" s="105"/>
      <c r="DM118" s="105"/>
      <c r="DN118" s="105"/>
      <c r="DO118" s="105"/>
      <c r="DP118" s="105"/>
      <c r="DQ118" s="105"/>
      <c r="DR118" s="105"/>
      <c r="DS118" s="105"/>
    </row>
    <row r="119" spans="1:124" ht="7.4" customHeight="1" x14ac:dyDescent="0.5">
      <c r="A119" s="42"/>
      <c r="B119" s="42"/>
      <c r="C119" s="419">
        <v>1</v>
      </c>
      <c r="D119" s="419"/>
      <c r="E119" s="41"/>
      <c r="F119" s="42"/>
      <c r="G119" s="319" t="str">
        <f>"AXE_F_AN_RL_"&amp;IF($AE$45&lt;1150,"S","L")&amp;"_"&amp;$AO$31&amp;"_AL"</f>
        <v>AXE_F_AN_RL_S_10_AL</v>
      </c>
      <c r="H119" s="319"/>
      <c r="I119" s="319"/>
      <c r="J119" s="319"/>
      <c r="K119" s="319"/>
      <c r="L119" s="319"/>
      <c r="M119" s="319"/>
      <c r="N119" s="319"/>
      <c r="O119" s="319"/>
      <c r="P119" s="319"/>
      <c r="Q119" s="319"/>
      <c r="R119" s="320"/>
      <c r="S119" s="42"/>
      <c r="T119" s="405" t="str">
        <f>VLOOKUP(G119,PL!$B$9:$BH$1265,14,FALSE)</f>
        <v>Angled Frame</v>
      </c>
      <c r="U119" s="405"/>
      <c r="V119" s="405"/>
      <c r="W119" s="405"/>
      <c r="X119" s="405"/>
      <c r="Y119" s="405"/>
      <c r="Z119" s="405"/>
      <c r="AA119" s="405"/>
      <c r="AB119" s="405"/>
      <c r="AC119" s="405"/>
      <c r="AD119" s="405"/>
      <c r="AE119" s="405"/>
      <c r="AF119" s="405"/>
      <c r="AG119" s="405"/>
      <c r="AH119" s="405"/>
      <c r="AI119" s="405"/>
      <c r="AJ119" s="411"/>
      <c r="AK119" s="42"/>
      <c r="AL119" s="311">
        <f>SUM(BK119:DF120)</f>
        <v>200</v>
      </c>
      <c r="AM119" s="311"/>
      <c r="AN119" s="311"/>
      <c r="AO119" s="311"/>
      <c r="AP119" s="43"/>
      <c r="AQ119" s="111"/>
      <c r="AR119" s="308" t="str">
        <f>VLOOKUP(G119,PL!$B$9:$BH$818,52,FALSE)</f>
        <v>SOL-58062</v>
      </c>
      <c r="AS119" s="309"/>
      <c r="AT119" s="309"/>
      <c r="AU119" s="309"/>
      <c r="AV119" s="309"/>
      <c r="AW119" s="309"/>
      <c r="AX119" s="309"/>
      <c r="AY119" s="309"/>
      <c r="AZ119" s="309"/>
      <c r="BA119" s="309"/>
      <c r="BB119" s="309"/>
      <c r="BC119" s="309"/>
      <c r="BD119" s="309"/>
      <c r="BE119" s="309"/>
      <c r="BF119" s="309"/>
      <c r="BG119" s="309"/>
      <c r="BH119" s="124"/>
      <c r="BI119" s="41"/>
      <c r="BK119" s="412">
        <f>M58*2*M54</f>
        <v>200</v>
      </c>
      <c r="BL119" s="413"/>
      <c r="BM119" s="414"/>
      <c r="BN119" s="412">
        <f>P58*2*P54</f>
        <v>0</v>
      </c>
      <c r="BO119" s="413"/>
      <c r="BP119" s="414"/>
      <c r="BQ119" s="412">
        <f>S58*2*S54</f>
        <v>0</v>
      </c>
      <c r="BR119" s="413"/>
      <c r="BS119" s="414"/>
      <c r="BT119" s="412">
        <f>V58*2*V54</f>
        <v>0</v>
      </c>
      <c r="BU119" s="413"/>
      <c r="BV119" s="414"/>
      <c r="BW119" s="412">
        <f>Y58*2*Y54</f>
        <v>0</v>
      </c>
      <c r="BX119" s="413"/>
      <c r="BY119" s="414"/>
      <c r="BZ119" s="412">
        <f>AB58*2*AB54</f>
        <v>0</v>
      </c>
      <c r="CA119" s="413"/>
      <c r="CB119" s="414"/>
      <c r="CC119" s="412">
        <f>AE58*2*AE54</f>
        <v>0</v>
      </c>
      <c r="CD119" s="413"/>
      <c r="CE119" s="414"/>
      <c r="CF119" s="412">
        <f>AH58*2*AH54</f>
        <v>0</v>
      </c>
      <c r="CG119" s="413"/>
      <c r="CH119" s="414"/>
      <c r="CI119" s="412">
        <f>AK58*2*AK54</f>
        <v>0</v>
      </c>
      <c r="CJ119" s="413"/>
      <c r="CK119" s="414"/>
      <c r="CL119" s="412">
        <f>AN58*2*AN54</f>
        <v>0</v>
      </c>
      <c r="CM119" s="413"/>
      <c r="CN119" s="414"/>
      <c r="CO119" s="412">
        <f>AQ58*2*AQ54</f>
        <v>0</v>
      </c>
      <c r="CP119" s="413"/>
      <c r="CQ119" s="414"/>
      <c r="CR119" s="412">
        <f>AT58*2*AT54</f>
        <v>0</v>
      </c>
      <c r="CS119" s="413"/>
      <c r="CT119" s="414"/>
      <c r="CU119" s="412">
        <f>AW58*2*AW54</f>
        <v>0</v>
      </c>
      <c r="CV119" s="413"/>
      <c r="CW119" s="414"/>
      <c r="CX119" s="412">
        <f>AZ58*2*AZ54</f>
        <v>0</v>
      </c>
      <c r="CY119" s="413"/>
      <c r="CZ119" s="414"/>
      <c r="DA119" s="412">
        <f>BC58*2*BC54</f>
        <v>0</v>
      </c>
      <c r="DB119" s="413"/>
      <c r="DC119" s="414"/>
      <c r="DD119" s="412">
        <f>BF58*2*BF54</f>
        <v>0</v>
      </c>
      <c r="DE119" s="413"/>
      <c r="DF119" s="414"/>
      <c r="DH119" s="311"/>
      <c r="DI119" s="311"/>
      <c r="DJ119" s="311"/>
      <c r="DK119" s="311"/>
      <c r="DL119" s="321"/>
      <c r="DM119" s="321"/>
      <c r="DN119" s="321"/>
      <c r="DO119" s="321"/>
      <c r="DP119" s="321"/>
      <c r="DQ119" s="321"/>
      <c r="DR119" s="321"/>
      <c r="DS119" s="321"/>
    </row>
    <row r="120" spans="1:124" ht="7.4" customHeight="1" x14ac:dyDescent="0.5">
      <c r="A120" s="42"/>
      <c r="B120" s="42"/>
      <c r="C120" s="419"/>
      <c r="D120" s="419"/>
      <c r="E120" s="41"/>
      <c r="F120" s="42"/>
      <c r="G120" s="319"/>
      <c r="H120" s="319"/>
      <c r="I120" s="319"/>
      <c r="J120" s="319"/>
      <c r="K120" s="319"/>
      <c r="L120" s="319"/>
      <c r="M120" s="319"/>
      <c r="N120" s="319"/>
      <c r="O120" s="319"/>
      <c r="P120" s="319"/>
      <c r="Q120" s="319"/>
      <c r="R120" s="320"/>
      <c r="S120" s="42"/>
      <c r="T120" s="405"/>
      <c r="U120" s="405"/>
      <c r="V120" s="405"/>
      <c r="W120" s="405"/>
      <c r="X120" s="405"/>
      <c r="Y120" s="405"/>
      <c r="Z120" s="405"/>
      <c r="AA120" s="405"/>
      <c r="AB120" s="405"/>
      <c r="AC120" s="405"/>
      <c r="AD120" s="405"/>
      <c r="AE120" s="405"/>
      <c r="AF120" s="405"/>
      <c r="AG120" s="405"/>
      <c r="AH120" s="405"/>
      <c r="AI120" s="405"/>
      <c r="AJ120" s="411"/>
      <c r="AK120" s="42"/>
      <c r="AL120" s="311"/>
      <c r="AM120" s="311"/>
      <c r="AN120" s="311"/>
      <c r="AO120" s="311"/>
      <c r="AP120" s="43"/>
      <c r="AQ120" s="111"/>
      <c r="AR120" s="309"/>
      <c r="AS120" s="309"/>
      <c r="AT120" s="309"/>
      <c r="AU120" s="309"/>
      <c r="AV120" s="309"/>
      <c r="AW120" s="309"/>
      <c r="AX120" s="309"/>
      <c r="AY120" s="309"/>
      <c r="AZ120" s="309"/>
      <c r="BA120" s="309"/>
      <c r="BB120" s="309"/>
      <c r="BC120" s="309"/>
      <c r="BD120" s="309"/>
      <c r="BE120" s="309"/>
      <c r="BF120" s="309"/>
      <c r="BG120" s="309"/>
      <c r="BH120" s="124"/>
      <c r="BI120" s="41"/>
      <c r="BK120" s="412"/>
      <c r="BL120" s="413"/>
      <c r="BM120" s="414"/>
      <c r="BN120" s="412"/>
      <c r="BO120" s="413"/>
      <c r="BP120" s="414"/>
      <c r="BQ120" s="412"/>
      <c r="BR120" s="413"/>
      <c r="BS120" s="414"/>
      <c r="BT120" s="412"/>
      <c r="BU120" s="413"/>
      <c r="BV120" s="414"/>
      <c r="BW120" s="412"/>
      <c r="BX120" s="413"/>
      <c r="BY120" s="414"/>
      <c r="BZ120" s="412"/>
      <c r="CA120" s="413"/>
      <c r="CB120" s="414"/>
      <c r="CC120" s="412"/>
      <c r="CD120" s="413"/>
      <c r="CE120" s="414"/>
      <c r="CF120" s="412"/>
      <c r="CG120" s="413"/>
      <c r="CH120" s="414"/>
      <c r="CI120" s="412"/>
      <c r="CJ120" s="413"/>
      <c r="CK120" s="414"/>
      <c r="CL120" s="412"/>
      <c r="CM120" s="413"/>
      <c r="CN120" s="414"/>
      <c r="CO120" s="412"/>
      <c r="CP120" s="413"/>
      <c r="CQ120" s="414"/>
      <c r="CR120" s="412"/>
      <c r="CS120" s="413"/>
      <c r="CT120" s="414"/>
      <c r="CU120" s="412"/>
      <c r="CV120" s="413"/>
      <c r="CW120" s="414"/>
      <c r="CX120" s="412"/>
      <c r="CY120" s="413"/>
      <c r="CZ120" s="414"/>
      <c r="DA120" s="412"/>
      <c r="DB120" s="413"/>
      <c r="DC120" s="414"/>
      <c r="DD120" s="412"/>
      <c r="DE120" s="413"/>
      <c r="DF120" s="414"/>
      <c r="DH120" s="311"/>
      <c r="DI120" s="311"/>
      <c r="DJ120" s="311"/>
      <c r="DK120" s="311"/>
      <c r="DL120" s="321"/>
      <c r="DM120" s="321"/>
      <c r="DN120" s="321"/>
      <c r="DO120" s="321"/>
      <c r="DP120" s="321"/>
      <c r="DQ120" s="321"/>
      <c r="DR120" s="321"/>
      <c r="DS120" s="321"/>
    </row>
    <row r="121" spans="1:124" ht="7.4" customHeight="1" x14ac:dyDescent="0.5">
      <c r="A121" s="42"/>
      <c r="B121" s="42"/>
      <c r="C121" s="333"/>
      <c r="D121" s="333"/>
      <c r="E121" s="41"/>
      <c r="F121" s="42"/>
      <c r="G121" s="56"/>
      <c r="H121" s="56"/>
      <c r="I121" s="56"/>
      <c r="J121" s="56"/>
      <c r="K121" s="56"/>
      <c r="L121" s="56"/>
      <c r="M121" s="56"/>
      <c r="N121" s="56"/>
      <c r="O121" s="56"/>
      <c r="P121" s="56"/>
      <c r="Q121" s="56"/>
      <c r="R121" s="126"/>
      <c r="S121" s="42"/>
      <c r="T121" s="116" t="str">
        <f>VLOOKUP(G119,PL!$B$9:$BH$1265,33,FALSE)</f>
        <v>Aluminium, Railless, Short, 10deg</v>
      </c>
      <c r="AJ121" s="41"/>
      <c r="AK121" s="42"/>
      <c r="AL121" s="311"/>
      <c r="AM121" s="311"/>
      <c r="AN121" s="311"/>
      <c r="AO121" s="311"/>
      <c r="AP121" s="43"/>
      <c r="AQ121" s="42"/>
      <c r="AR121" s="46"/>
      <c r="AS121" s="46"/>
      <c r="AT121" s="46"/>
      <c r="AU121" s="46"/>
      <c r="AV121" s="46"/>
      <c r="AW121" s="46"/>
      <c r="AX121" s="105"/>
      <c r="AY121" s="79"/>
      <c r="AZ121" s="119"/>
      <c r="BA121" s="119"/>
      <c r="BB121" s="119"/>
      <c r="BC121" s="119"/>
      <c r="BD121" s="119"/>
      <c r="BE121" s="119"/>
      <c r="BF121" s="119"/>
      <c r="BG121" s="119"/>
      <c r="BH121" s="124"/>
      <c r="BI121" s="41"/>
      <c r="BK121" s="194"/>
      <c r="BL121" s="123"/>
      <c r="BM121" s="195"/>
      <c r="BN121" s="194"/>
      <c r="BO121" s="123"/>
      <c r="BP121" s="195"/>
      <c r="BQ121" s="194"/>
      <c r="BR121" s="123"/>
      <c r="BS121" s="195"/>
      <c r="BT121" s="194"/>
      <c r="BU121" s="123"/>
      <c r="BV121" s="195"/>
      <c r="BW121" s="194"/>
      <c r="BX121" s="123"/>
      <c r="BY121" s="195"/>
      <c r="BZ121" s="194"/>
      <c r="CA121" s="123"/>
      <c r="CB121" s="195"/>
      <c r="CC121" s="194"/>
      <c r="CD121" s="123"/>
      <c r="CE121" s="195"/>
      <c r="CF121" s="194"/>
      <c r="CG121" s="123"/>
      <c r="CH121" s="195"/>
      <c r="CI121" s="194"/>
      <c r="CJ121" s="123"/>
      <c r="CK121" s="195"/>
      <c r="CL121" s="194"/>
      <c r="CM121" s="123"/>
      <c r="CN121" s="195"/>
      <c r="CO121" s="194"/>
      <c r="CP121" s="123"/>
      <c r="CQ121" s="195"/>
      <c r="CR121" s="194"/>
      <c r="CS121" s="123"/>
      <c r="CT121" s="195"/>
      <c r="CU121" s="194"/>
      <c r="CV121" s="123"/>
      <c r="CW121" s="195"/>
      <c r="CX121" s="194"/>
      <c r="CY121" s="123"/>
      <c r="CZ121" s="195"/>
      <c r="DA121" s="194"/>
      <c r="DB121" s="123"/>
      <c r="DC121" s="195"/>
      <c r="DD121" s="194"/>
      <c r="DE121" s="123"/>
      <c r="DF121" s="195"/>
      <c r="DH121" s="311"/>
      <c r="DI121" s="311"/>
      <c r="DJ121" s="311"/>
      <c r="DK121" s="311"/>
      <c r="DL121" s="321"/>
      <c r="DM121" s="321"/>
      <c r="DN121" s="321"/>
      <c r="DO121" s="321"/>
      <c r="DP121" s="321"/>
      <c r="DQ121" s="321"/>
      <c r="DR121" s="321"/>
      <c r="DS121" s="321"/>
    </row>
    <row r="122" spans="1:124" ht="7.4" customHeight="1" x14ac:dyDescent="0.5">
      <c r="A122" s="42"/>
      <c r="B122" s="42"/>
      <c r="C122" s="55"/>
      <c r="D122" s="55"/>
      <c r="E122" s="41"/>
      <c r="F122" s="42"/>
      <c r="G122" s="56"/>
      <c r="H122" s="56"/>
      <c r="I122" s="56"/>
      <c r="J122" s="56"/>
      <c r="K122" s="56"/>
      <c r="L122" s="56"/>
      <c r="M122" s="56"/>
      <c r="N122" s="56"/>
      <c r="O122" s="56"/>
      <c r="P122" s="56"/>
      <c r="Q122" s="56"/>
      <c r="R122" s="126"/>
      <c r="S122" s="42"/>
      <c r="AJ122" s="41"/>
      <c r="AK122" s="42"/>
      <c r="AL122" s="311"/>
      <c r="AM122" s="311"/>
      <c r="AN122" s="311"/>
      <c r="AO122" s="311"/>
      <c r="AP122" s="43"/>
      <c r="AQ122" s="42"/>
      <c r="AR122" s="46"/>
      <c r="AS122" s="46"/>
      <c r="AT122" s="46"/>
      <c r="AU122" s="46"/>
      <c r="AV122" s="46"/>
      <c r="AW122" s="46"/>
      <c r="AX122" s="105"/>
      <c r="AY122" s="79"/>
      <c r="AZ122" s="119"/>
      <c r="BA122" s="119"/>
      <c r="BB122" s="119"/>
      <c r="BC122" s="119"/>
      <c r="BD122" s="119"/>
      <c r="BE122" s="119"/>
      <c r="BF122" s="119"/>
      <c r="BG122" s="119"/>
      <c r="BH122" s="124"/>
      <c r="BI122" s="41"/>
      <c r="BK122" s="194"/>
      <c r="BL122" s="123"/>
      <c r="BM122" s="195"/>
      <c r="BN122" s="194"/>
      <c r="BO122" s="123"/>
      <c r="BP122" s="195"/>
      <c r="BQ122" s="194"/>
      <c r="BR122" s="123"/>
      <c r="BS122" s="195"/>
      <c r="BT122" s="194"/>
      <c r="BU122" s="123"/>
      <c r="BV122" s="195"/>
      <c r="BW122" s="194"/>
      <c r="BX122" s="123"/>
      <c r="BY122" s="195"/>
      <c r="BZ122" s="194"/>
      <c r="CA122" s="123"/>
      <c r="CB122" s="195"/>
      <c r="CC122" s="194"/>
      <c r="CD122" s="123"/>
      <c r="CE122" s="195"/>
      <c r="CF122" s="194"/>
      <c r="CG122" s="123"/>
      <c r="CH122" s="195"/>
      <c r="CI122" s="194"/>
      <c r="CJ122" s="123"/>
      <c r="CK122" s="195"/>
      <c r="CL122" s="194"/>
      <c r="CM122" s="123"/>
      <c r="CN122" s="195"/>
      <c r="CO122" s="194"/>
      <c r="CP122" s="123"/>
      <c r="CQ122" s="195"/>
      <c r="CR122" s="194"/>
      <c r="CS122" s="123"/>
      <c r="CT122" s="195"/>
      <c r="CU122" s="194"/>
      <c r="CV122" s="123"/>
      <c r="CW122" s="195"/>
      <c r="CX122" s="198"/>
      <c r="CY122" s="123"/>
      <c r="CZ122" s="195"/>
      <c r="DA122" s="194"/>
      <c r="DB122" s="123"/>
      <c r="DC122" s="195"/>
      <c r="DD122" s="194"/>
      <c r="DE122" s="123"/>
      <c r="DF122" s="195"/>
      <c r="DL122" s="105"/>
      <c r="DM122" s="105"/>
      <c r="DN122" s="105"/>
      <c r="DO122" s="105"/>
      <c r="DP122" s="105"/>
      <c r="DQ122" s="105"/>
      <c r="DR122" s="105"/>
      <c r="DS122" s="105"/>
    </row>
    <row r="123" spans="1:124" ht="7.4" customHeight="1" x14ac:dyDescent="0.5">
      <c r="A123" s="42"/>
      <c r="B123" s="42"/>
      <c r="C123" s="311">
        <f>C119+1</f>
        <v>2</v>
      </c>
      <c r="D123" s="311"/>
      <c r="E123" s="41"/>
      <c r="F123" s="42"/>
      <c r="G123" s="319" t="str">
        <f>IF($N$70="Included","AXE_CE_CF_"&amp;$AM$45,"AXE_CE_AP_"&amp;$AM$45)&amp;"_AL"</f>
        <v>AXE_CE_CF_30_AL</v>
      </c>
      <c r="H123" s="319"/>
      <c r="I123" s="319"/>
      <c r="J123" s="319"/>
      <c r="K123" s="319"/>
      <c r="L123" s="319"/>
      <c r="M123" s="319"/>
      <c r="N123" s="319"/>
      <c r="O123" s="319"/>
      <c r="P123" s="319"/>
      <c r="Q123" s="319"/>
      <c r="R123" s="320"/>
      <c r="S123" s="42"/>
      <c r="T123" s="405" t="str">
        <f>VLOOKUP(G123,PL!$B$9:$BH$1265,14,FALSE)</f>
        <v>End Clamp</v>
      </c>
      <c r="U123" s="405"/>
      <c r="V123" s="405"/>
      <c r="W123" s="405"/>
      <c r="X123" s="405"/>
      <c r="Y123" s="405"/>
      <c r="Z123" s="405"/>
      <c r="AA123" s="405"/>
      <c r="AB123" s="405"/>
      <c r="AC123" s="405"/>
      <c r="AD123" s="405"/>
      <c r="AE123" s="405"/>
      <c r="AF123" s="405"/>
      <c r="AG123" s="405"/>
      <c r="AH123" s="405"/>
      <c r="AI123" s="405"/>
      <c r="AJ123" s="411"/>
      <c r="AK123" s="42"/>
      <c r="AL123" s="311">
        <f>ROUND(SUM(BK123:DF123)*(1+$BF$76),0)</f>
        <v>412</v>
      </c>
      <c r="AM123" s="311"/>
      <c r="AN123" s="311"/>
      <c r="AO123" s="311"/>
      <c r="AP123" s="43"/>
      <c r="AQ123" s="111"/>
      <c r="AR123" s="308" t="str">
        <f>VLOOKUP(G123,PL!$B$9:$BH$818,52,FALSE)</f>
        <v>SOL-580301</v>
      </c>
      <c r="AS123" s="309"/>
      <c r="AT123" s="309"/>
      <c r="AU123" s="309"/>
      <c r="AV123" s="309"/>
      <c r="AW123" s="309"/>
      <c r="AX123" s="309"/>
      <c r="AY123" s="309"/>
      <c r="AZ123" s="309"/>
      <c r="BA123" s="309"/>
      <c r="BB123" s="309"/>
      <c r="BC123" s="309"/>
      <c r="BD123" s="309"/>
      <c r="BE123" s="309"/>
      <c r="BF123" s="309"/>
      <c r="BG123" s="309"/>
      <c r="BH123" s="124"/>
      <c r="BI123" s="41"/>
      <c r="BK123" s="412">
        <f>M58*4*M54</f>
        <v>400</v>
      </c>
      <c r="BL123" s="413"/>
      <c r="BM123" s="414"/>
      <c r="BN123" s="412">
        <f>P58*4*P54</f>
        <v>0</v>
      </c>
      <c r="BO123" s="413"/>
      <c r="BP123" s="414"/>
      <c r="BQ123" s="412">
        <f>S58*4*S54</f>
        <v>0</v>
      </c>
      <c r="BR123" s="413"/>
      <c r="BS123" s="414"/>
      <c r="BT123" s="412">
        <f>V58*4*V54</f>
        <v>0</v>
      </c>
      <c r="BU123" s="413"/>
      <c r="BV123" s="414"/>
      <c r="BW123" s="412">
        <f>Y58*4*Y54</f>
        <v>0</v>
      </c>
      <c r="BX123" s="413"/>
      <c r="BY123" s="414"/>
      <c r="BZ123" s="412">
        <f>AB58*4*AB54</f>
        <v>0</v>
      </c>
      <c r="CA123" s="413"/>
      <c r="CB123" s="414"/>
      <c r="CC123" s="412">
        <f>AE58*4*AE54</f>
        <v>0</v>
      </c>
      <c r="CD123" s="413"/>
      <c r="CE123" s="414"/>
      <c r="CF123" s="412">
        <f>AH58*4*AH54</f>
        <v>0</v>
      </c>
      <c r="CG123" s="413"/>
      <c r="CH123" s="414"/>
      <c r="CI123" s="412">
        <f>AK58*4*AK54</f>
        <v>0</v>
      </c>
      <c r="CJ123" s="413"/>
      <c r="CK123" s="414"/>
      <c r="CL123" s="412">
        <f>AN58*4*AN54</f>
        <v>0</v>
      </c>
      <c r="CM123" s="413"/>
      <c r="CN123" s="414"/>
      <c r="CO123" s="412">
        <f>AQ58*4*AQ54</f>
        <v>0</v>
      </c>
      <c r="CP123" s="413"/>
      <c r="CQ123" s="414"/>
      <c r="CR123" s="412">
        <f>AT58*4*AT54</f>
        <v>0</v>
      </c>
      <c r="CS123" s="413"/>
      <c r="CT123" s="414"/>
      <c r="CU123" s="412">
        <f>AW58*4*AW54</f>
        <v>0</v>
      </c>
      <c r="CV123" s="413"/>
      <c r="CW123" s="414"/>
      <c r="CX123" s="412">
        <f>AZ58*4*AZ54</f>
        <v>0</v>
      </c>
      <c r="CY123" s="413"/>
      <c r="CZ123" s="414"/>
      <c r="DA123" s="412">
        <f>BC58*4*BC54</f>
        <v>0</v>
      </c>
      <c r="DB123" s="413"/>
      <c r="DC123" s="414"/>
      <c r="DD123" s="412">
        <f>BF58*4*BF54</f>
        <v>0</v>
      </c>
      <c r="DE123" s="413"/>
      <c r="DF123" s="414"/>
      <c r="DH123" s="311"/>
      <c r="DI123" s="311"/>
      <c r="DJ123" s="311"/>
      <c r="DK123" s="311"/>
      <c r="DL123" s="321"/>
      <c r="DM123" s="321"/>
      <c r="DN123" s="321"/>
      <c r="DO123" s="321"/>
      <c r="DP123" s="321"/>
      <c r="DQ123" s="321"/>
      <c r="DR123" s="321"/>
      <c r="DS123" s="321"/>
    </row>
    <row r="124" spans="1:124" ht="7.4" customHeight="1" x14ac:dyDescent="0.5">
      <c r="A124" s="42"/>
      <c r="B124" s="42"/>
      <c r="C124" s="311"/>
      <c r="D124" s="311"/>
      <c r="E124" s="41"/>
      <c r="F124" s="42"/>
      <c r="G124" s="319"/>
      <c r="H124" s="319"/>
      <c r="I124" s="319"/>
      <c r="J124" s="319"/>
      <c r="K124" s="319"/>
      <c r="L124" s="319"/>
      <c r="M124" s="319"/>
      <c r="N124" s="319"/>
      <c r="O124" s="319"/>
      <c r="P124" s="319"/>
      <c r="Q124" s="319"/>
      <c r="R124" s="320"/>
      <c r="S124" s="42"/>
      <c r="T124" s="405"/>
      <c r="U124" s="405"/>
      <c r="V124" s="405"/>
      <c r="W124" s="405"/>
      <c r="X124" s="405"/>
      <c r="Y124" s="405"/>
      <c r="Z124" s="405"/>
      <c r="AA124" s="405"/>
      <c r="AB124" s="405"/>
      <c r="AC124" s="405"/>
      <c r="AD124" s="405"/>
      <c r="AE124" s="405"/>
      <c r="AF124" s="405"/>
      <c r="AG124" s="405"/>
      <c r="AH124" s="405"/>
      <c r="AI124" s="405"/>
      <c r="AJ124" s="411"/>
      <c r="AK124" s="42"/>
      <c r="AL124" s="311"/>
      <c r="AM124" s="311"/>
      <c r="AN124" s="311"/>
      <c r="AO124" s="311"/>
      <c r="AP124" s="43"/>
      <c r="AQ124" s="111"/>
      <c r="AR124" s="309"/>
      <c r="AS124" s="309"/>
      <c r="AT124" s="309"/>
      <c r="AU124" s="309"/>
      <c r="AV124" s="309"/>
      <c r="AW124" s="309"/>
      <c r="AX124" s="309"/>
      <c r="AY124" s="309"/>
      <c r="AZ124" s="309"/>
      <c r="BA124" s="309"/>
      <c r="BB124" s="309"/>
      <c r="BC124" s="309"/>
      <c r="BD124" s="309"/>
      <c r="BE124" s="309"/>
      <c r="BF124" s="309"/>
      <c r="BG124" s="309"/>
      <c r="BH124" s="124"/>
      <c r="BI124" s="41"/>
      <c r="BK124" s="412"/>
      <c r="BL124" s="413"/>
      <c r="BM124" s="414"/>
      <c r="BN124" s="412"/>
      <c r="BO124" s="413"/>
      <c r="BP124" s="414"/>
      <c r="BQ124" s="412"/>
      <c r="BR124" s="413"/>
      <c r="BS124" s="414"/>
      <c r="BT124" s="412"/>
      <c r="BU124" s="413"/>
      <c r="BV124" s="414"/>
      <c r="BW124" s="412"/>
      <c r="BX124" s="413"/>
      <c r="BY124" s="414"/>
      <c r="BZ124" s="412"/>
      <c r="CA124" s="413"/>
      <c r="CB124" s="414"/>
      <c r="CC124" s="412"/>
      <c r="CD124" s="413"/>
      <c r="CE124" s="414"/>
      <c r="CF124" s="412"/>
      <c r="CG124" s="413"/>
      <c r="CH124" s="414"/>
      <c r="CI124" s="412"/>
      <c r="CJ124" s="413"/>
      <c r="CK124" s="414"/>
      <c r="CL124" s="412"/>
      <c r="CM124" s="413"/>
      <c r="CN124" s="414"/>
      <c r="CO124" s="412"/>
      <c r="CP124" s="413"/>
      <c r="CQ124" s="414"/>
      <c r="CR124" s="412"/>
      <c r="CS124" s="413"/>
      <c r="CT124" s="414"/>
      <c r="CU124" s="412"/>
      <c r="CV124" s="413"/>
      <c r="CW124" s="414"/>
      <c r="CX124" s="412"/>
      <c r="CY124" s="413"/>
      <c r="CZ124" s="414"/>
      <c r="DA124" s="412"/>
      <c r="DB124" s="413"/>
      <c r="DC124" s="414"/>
      <c r="DD124" s="412"/>
      <c r="DE124" s="413"/>
      <c r="DF124" s="414"/>
      <c r="DH124" s="311"/>
      <c r="DI124" s="311"/>
      <c r="DJ124" s="311"/>
      <c r="DK124" s="311"/>
      <c r="DL124" s="321"/>
      <c r="DM124" s="321"/>
      <c r="DN124" s="321"/>
      <c r="DO124" s="321"/>
      <c r="DP124" s="321"/>
      <c r="DQ124" s="321"/>
      <c r="DR124" s="321"/>
      <c r="DS124" s="321"/>
    </row>
    <row r="125" spans="1:124" ht="7.4" customHeight="1" x14ac:dyDescent="0.5">
      <c r="A125" s="42"/>
      <c r="B125" s="42"/>
      <c r="C125" s="55"/>
      <c r="D125" s="55"/>
      <c r="E125" s="41"/>
      <c r="F125" s="42"/>
      <c r="G125" s="56"/>
      <c r="H125" s="56"/>
      <c r="I125" s="56"/>
      <c r="J125" s="56"/>
      <c r="K125" s="56"/>
      <c r="L125" s="56"/>
      <c r="M125" s="56"/>
      <c r="N125" s="56"/>
      <c r="O125" s="56"/>
      <c r="P125" s="56"/>
      <c r="Q125" s="56"/>
      <c r="R125" s="126"/>
      <c r="S125" s="42"/>
      <c r="T125" s="116" t="str">
        <f>VLOOKUP(G123,PL!$B$9:$BH$1265,33,FALSE)</f>
        <v>Aluminium, Click Fix, 30mm high</v>
      </c>
      <c r="AJ125" s="41"/>
      <c r="AK125" s="42"/>
      <c r="AL125" s="311"/>
      <c r="AM125" s="311"/>
      <c r="AN125" s="311"/>
      <c r="AO125" s="311"/>
      <c r="AP125" s="43"/>
      <c r="AQ125" s="42"/>
      <c r="AR125" s="46"/>
      <c r="AS125" s="46"/>
      <c r="AT125" s="46"/>
      <c r="AU125" s="46"/>
      <c r="AV125" s="46"/>
      <c r="AW125" s="46"/>
      <c r="AX125" s="105"/>
      <c r="AY125" s="79"/>
      <c r="AZ125" s="119"/>
      <c r="BA125" s="119"/>
      <c r="BB125" s="119"/>
      <c r="BC125" s="119"/>
      <c r="BD125" s="119"/>
      <c r="BE125" s="119"/>
      <c r="BF125" s="119"/>
      <c r="BG125" s="119"/>
      <c r="BH125" s="124"/>
      <c r="BI125" s="41"/>
      <c r="BK125" s="194"/>
      <c r="BL125" s="123"/>
      <c r="BM125" s="195"/>
      <c r="BN125" s="194"/>
      <c r="BO125" s="123"/>
      <c r="BP125" s="195"/>
      <c r="BQ125" s="194"/>
      <c r="BR125" s="123"/>
      <c r="BS125" s="195"/>
      <c r="BT125" s="194"/>
      <c r="BU125" s="123"/>
      <c r="BV125" s="195"/>
      <c r="BW125" s="194"/>
      <c r="BX125" s="123"/>
      <c r="BY125" s="195"/>
      <c r="BZ125" s="194"/>
      <c r="CA125" s="123"/>
      <c r="CB125" s="195"/>
      <c r="CC125" s="194"/>
      <c r="CD125" s="123"/>
      <c r="CE125" s="195"/>
      <c r="CF125" s="194"/>
      <c r="CG125" s="123"/>
      <c r="CH125" s="195"/>
      <c r="CI125" s="194"/>
      <c r="CJ125" s="123"/>
      <c r="CK125" s="195"/>
      <c r="CL125" s="194"/>
      <c r="CM125" s="123"/>
      <c r="CN125" s="195"/>
      <c r="CO125" s="194"/>
      <c r="CP125" s="123"/>
      <c r="CQ125" s="195"/>
      <c r="CR125" s="194"/>
      <c r="CS125" s="123"/>
      <c r="CT125" s="195"/>
      <c r="CU125" s="194"/>
      <c r="CV125" s="123"/>
      <c r="CW125" s="195"/>
      <c r="CX125" s="246"/>
      <c r="CY125" s="122"/>
      <c r="CZ125" s="247"/>
      <c r="DA125" s="194"/>
      <c r="DB125" s="123"/>
      <c r="DC125" s="195"/>
      <c r="DD125" s="194"/>
      <c r="DE125" s="123"/>
      <c r="DF125" s="195"/>
      <c r="DH125" s="311"/>
      <c r="DI125" s="311"/>
      <c r="DJ125" s="311"/>
      <c r="DK125" s="311"/>
      <c r="DL125" s="321"/>
      <c r="DM125" s="321"/>
      <c r="DN125" s="321"/>
      <c r="DO125" s="321"/>
      <c r="DP125" s="321"/>
      <c r="DQ125" s="321"/>
      <c r="DR125" s="321"/>
      <c r="DS125" s="321"/>
    </row>
    <row r="126" spans="1:124" ht="7.4" customHeight="1" x14ac:dyDescent="0.5">
      <c r="A126" s="42"/>
      <c r="B126" s="42"/>
      <c r="C126" s="55"/>
      <c r="D126" s="55"/>
      <c r="E126" s="41"/>
      <c r="F126" s="42"/>
      <c r="G126" s="56"/>
      <c r="H126" s="56"/>
      <c r="I126" s="56"/>
      <c r="J126" s="56"/>
      <c r="K126" s="56"/>
      <c r="L126" s="56"/>
      <c r="M126" s="56"/>
      <c r="N126" s="56"/>
      <c r="O126" s="56"/>
      <c r="P126" s="56"/>
      <c r="Q126" s="56"/>
      <c r="R126" s="126"/>
      <c r="S126" s="42"/>
      <c r="AJ126" s="41"/>
      <c r="AK126" s="42"/>
      <c r="AL126" s="311"/>
      <c r="AM126" s="311"/>
      <c r="AN126" s="311"/>
      <c r="AO126" s="311"/>
      <c r="AP126" s="43"/>
      <c r="AQ126" s="42"/>
      <c r="AR126" s="46"/>
      <c r="AS126" s="46"/>
      <c r="AT126" s="46"/>
      <c r="AU126" s="46"/>
      <c r="AV126" s="46"/>
      <c r="AW126" s="46"/>
      <c r="AX126" s="105"/>
      <c r="AY126" s="79"/>
      <c r="AZ126" s="119"/>
      <c r="BA126" s="119"/>
      <c r="BB126" s="119"/>
      <c r="BC126" s="119"/>
      <c r="BD126" s="119"/>
      <c r="BE126" s="119"/>
      <c r="BF126" s="119"/>
      <c r="BG126" s="119"/>
      <c r="BH126" s="124"/>
      <c r="BI126" s="41"/>
      <c r="BK126" s="194"/>
      <c r="BL126" s="123"/>
      <c r="BM126" s="195"/>
      <c r="BN126" s="194"/>
      <c r="BO126" s="123"/>
      <c r="BP126" s="195"/>
      <c r="BQ126" s="194"/>
      <c r="BR126" s="123"/>
      <c r="BS126" s="195"/>
      <c r="BT126" s="194"/>
      <c r="BU126" s="123"/>
      <c r="BV126" s="195"/>
      <c r="BW126" s="194"/>
      <c r="BX126" s="123"/>
      <c r="BY126" s="195"/>
      <c r="BZ126" s="194"/>
      <c r="CA126" s="123"/>
      <c r="CB126" s="195"/>
      <c r="CC126" s="194"/>
      <c r="CD126" s="123"/>
      <c r="CE126" s="195"/>
      <c r="CF126" s="194"/>
      <c r="CG126" s="123"/>
      <c r="CH126" s="195"/>
      <c r="CI126" s="194"/>
      <c r="CJ126" s="123"/>
      <c r="CK126" s="195"/>
      <c r="CL126" s="194"/>
      <c r="CM126" s="123"/>
      <c r="CN126" s="195"/>
      <c r="CO126" s="194"/>
      <c r="CP126" s="123"/>
      <c r="CQ126" s="195"/>
      <c r="CR126" s="194"/>
      <c r="CS126" s="123"/>
      <c r="CT126" s="195"/>
      <c r="CU126" s="194"/>
      <c r="CV126" s="123"/>
      <c r="CW126" s="195"/>
      <c r="CX126" s="194"/>
      <c r="CY126" s="123"/>
      <c r="CZ126" s="195"/>
      <c r="DA126" s="194"/>
      <c r="DB126" s="123"/>
      <c r="DC126" s="195"/>
      <c r="DD126" s="194"/>
      <c r="DE126" s="123"/>
      <c r="DF126" s="195"/>
      <c r="DL126" s="105"/>
      <c r="DM126" s="105"/>
      <c r="DN126" s="105"/>
      <c r="DO126" s="105"/>
      <c r="DP126" s="105"/>
      <c r="DQ126" s="105"/>
      <c r="DR126" s="105"/>
      <c r="DS126" s="105"/>
    </row>
    <row r="127" spans="1:124" ht="7.4" customHeight="1" x14ac:dyDescent="0.5">
      <c r="A127" s="42"/>
      <c r="B127" s="42"/>
      <c r="C127" s="311">
        <f>C123+1</f>
        <v>3</v>
      </c>
      <c r="D127" s="311"/>
      <c r="E127" s="41"/>
      <c r="F127" s="42"/>
      <c r="G127" s="319" t="str">
        <f>"AXE_BR_"&amp;IF($AO$35="Corrugated","COR_V",
IF(OR($AO$35="Corrugated (L-bracket)",$AO$35="IBR (L-bracket)"),"L_R",
IF(OR($AO$35="Corrugated (Rib Surface)",$AO$35="IBR (Rib Surface)"),"RS_V",
IF(OR($AO$35="Corrugated (Ridge)",$AO$35="IBR (Ridge)"),"RF_V",
IF($AO$35="IBR","IBR_V",
IF(OR($AO$35="Klip-Lok",$AO$35="ProLok",$AO$35="Saflok"),"FL_V",
IF($AO$35="Springlok","SL_V",
IF(OR($AO$35="Brownbuilt",$AO$35="Dimondek"),"GL_V",
IF($AO$35="Novotexi","NT_V",
IF(OR($AO$35="Brownbuilt (Pinch)",$AO$35="Dimondek (Pinch)"),"PF_V",
IF($AO$35="Craft-Lock","CL_V",
IF(OR($AO$35="Dimondek (Stand Rib)",$AO$35="Zip-Tek"),"SR_V","L_S"))))))))))))&amp;"_AL"</f>
        <v>AXE_BR_IBR_V_AL</v>
      </c>
      <c r="H127" s="319"/>
      <c r="I127" s="319"/>
      <c r="J127" s="319"/>
      <c r="K127" s="319"/>
      <c r="L127" s="319"/>
      <c r="M127" s="319"/>
      <c r="N127" s="319"/>
      <c r="O127" s="319"/>
      <c r="P127" s="319"/>
      <c r="Q127" s="319"/>
      <c r="R127" s="320"/>
      <c r="S127" s="42"/>
      <c r="T127" s="405" t="str">
        <f>VLOOKUP(G127,PL!$B$9:$BH$1265,14,FALSE)</f>
        <v xml:space="preserve">IBR Bracket </v>
      </c>
      <c r="U127" s="405"/>
      <c r="V127" s="405"/>
      <c r="W127" s="405"/>
      <c r="X127" s="405"/>
      <c r="Y127" s="405"/>
      <c r="Z127" s="405"/>
      <c r="AA127" s="405"/>
      <c r="AB127" s="405"/>
      <c r="AC127" s="405"/>
      <c r="AD127" s="405"/>
      <c r="AE127" s="405"/>
      <c r="AF127" s="405"/>
      <c r="AG127" s="405"/>
      <c r="AH127" s="405"/>
      <c r="AI127" s="405"/>
      <c r="AJ127" s="411"/>
      <c r="AK127" s="42"/>
      <c r="AL127" s="311">
        <f>ROUND(SUM(BK127:DF127)*(1+$BF$66),0)</f>
        <v>408</v>
      </c>
      <c r="AM127" s="311"/>
      <c r="AN127" s="311"/>
      <c r="AO127" s="311"/>
      <c r="AP127" s="43"/>
      <c r="AQ127" s="111"/>
      <c r="AR127" s="308" t="str">
        <f>VLOOKUP(G127,PL!$B$9:$BH$818,52,FALSE)</f>
        <v>SOL-5902</v>
      </c>
      <c r="AS127" s="309"/>
      <c r="AT127" s="309"/>
      <c r="AU127" s="309"/>
      <c r="AV127" s="309"/>
      <c r="AW127" s="309"/>
      <c r="AX127" s="309"/>
      <c r="AY127" s="309"/>
      <c r="AZ127" s="309"/>
      <c r="BA127" s="309"/>
      <c r="BB127" s="309"/>
      <c r="BC127" s="309"/>
      <c r="BD127" s="309"/>
      <c r="BE127" s="309"/>
      <c r="BF127" s="309"/>
      <c r="BG127" s="309"/>
      <c r="BH127" s="124"/>
      <c r="BI127" s="41"/>
      <c r="BK127" s="412">
        <f>M58*4*M54</f>
        <v>400</v>
      </c>
      <c r="BL127" s="413"/>
      <c r="BM127" s="414"/>
      <c r="BN127" s="412">
        <f>P58*4*P54</f>
        <v>0</v>
      </c>
      <c r="BO127" s="413"/>
      <c r="BP127" s="414"/>
      <c r="BQ127" s="412">
        <f>S58*4*S54</f>
        <v>0</v>
      </c>
      <c r="BR127" s="413"/>
      <c r="BS127" s="414"/>
      <c r="BT127" s="412">
        <f>V58*4*V54</f>
        <v>0</v>
      </c>
      <c r="BU127" s="413"/>
      <c r="BV127" s="414"/>
      <c r="BW127" s="412">
        <f>Y58*4*Y54</f>
        <v>0</v>
      </c>
      <c r="BX127" s="413"/>
      <c r="BY127" s="414"/>
      <c r="BZ127" s="412">
        <f>AB58*4*AB54</f>
        <v>0</v>
      </c>
      <c r="CA127" s="413"/>
      <c r="CB127" s="414"/>
      <c r="CC127" s="412">
        <f>AE58*4*AE54</f>
        <v>0</v>
      </c>
      <c r="CD127" s="413"/>
      <c r="CE127" s="414"/>
      <c r="CF127" s="412">
        <f>AH58*4*AH54</f>
        <v>0</v>
      </c>
      <c r="CG127" s="413"/>
      <c r="CH127" s="414"/>
      <c r="CI127" s="412">
        <f>AK58*4*AK54</f>
        <v>0</v>
      </c>
      <c r="CJ127" s="413"/>
      <c r="CK127" s="414"/>
      <c r="CL127" s="412">
        <f>AN58*4*AN54</f>
        <v>0</v>
      </c>
      <c r="CM127" s="413"/>
      <c r="CN127" s="414"/>
      <c r="CO127" s="412">
        <f>AQ58*4*AQ54</f>
        <v>0</v>
      </c>
      <c r="CP127" s="413"/>
      <c r="CQ127" s="414"/>
      <c r="CR127" s="412">
        <f>AT58*4*AT54</f>
        <v>0</v>
      </c>
      <c r="CS127" s="413"/>
      <c r="CT127" s="414"/>
      <c r="CU127" s="412">
        <f>AW58*4*AW54</f>
        <v>0</v>
      </c>
      <c r="CV127" s="413"/>
      <c r="CW127" s="414"/>
      <c r="CX127" s="412">
        <f>AZ58*4*AZ54</f>
        <v>0</v>
      </c>
      <c r="CY127" s="413"/>
      <c r="CZ127" s="414"/>
      <c r="DA127" s="412">
        <f>BC58*4*BC54</f>
        <v>0</v>
      </c>
      <c r="DB127" s="413"/>
      <c r="DC127" s="414"/>
      <c r="DD127" s="412">
        <f>BF58*4*BF54</f>
        <v>0</v>
      </c>
      <c r="DE127" s="413"/>
      <c r="DF127" s="414"/>
      <c r="DH127" s="311"/>
      <c r="DI127" s="311"/>
      <c r="DJ127" s="311"/>
      <c r="DK127" s="311"/>
      <c r="DL127" s="321"/>
      <c r="DM127" s="321"/>
      <c r="DN127" s="321"/>
      <c r="DO127" s="321"/>
      <c r="DP127" s="321"/>
      <c r="DQ127" s="321"/>
      <c r="DR127" s="321"/>
      <c r="DS127" s="321"/>
    </row>
    <row r="128" spans="1:124" ht="7.4" customHeight="1" x14ac:dyDescent="0.5">
      <c r="A128" s="42"/>
      <c r="B128" s="42"/>
      <c r="C128" s="311"/>
      <c r="D128" s="311"/>
      <c r="E128" s="41"/>
      <c r="F128" s="42"/>
      <c r="G128" s="319"/>
      <c r="H128" s="319"/>
      <c r="I128" s="319"/>
      <c r="J128" s="319"/>
      <c r="K128" s="319"/>
      <c r="L128" s="319"/>
      <c r="M128" s="319"/>
      <c r="N128" s="319"/>
      <c r="O128" s="319"/>
      <c r="P128" s="319"/>
      <c r="Q128" s="319"/>
      <c r="R128" s="320"/>
      <c r="S128" s="42"/>
      <c r="T128" s="405"/>
      <c r="U128" s="405"/>
      <c r="V128" s="405"/>
      <c r="W128" s="405"/>
      <c r="X128" s="405"/>
      <c r="Y128" s="405"/>
      <c r="Z128" s="405"/>
      <c r="AA128" s="405"/>
      <c r="AB128" s="405"/>
      <c r="AC128" s="405"/>
      <c r="AD128" s="405"/>
      <c r="AE128" s="405"/>
      <c r="AF128" s="405"/>
      <c r="AG128" s="405"/>
      <c r="AH128" s="405"/>
      <c r="AI128" s="405"/>
      <c r="AJ128" s="411"/>
      <c r="AK128" s="42"/>
      <c r="AL128" s="311"/>
      <c r="AM128" s="311"/>
      <c r="AN128" s="311"/>
      <c r="AO128" s="311"/>
      <c r="AP128" s="43"/>
      <c r="AQ128" s="111"/>
      <c r="AR128" s="309"/>
      <c r="AS128" s="309"/>
      <c r="AT128" s="309"/>
      <c r="AU128" s="309"/>
      <c r="AV128" s="309"/>
      <c r="AW128" s="309"/>
      <c r="AX128" s="309"/>
      <c r="AY128" s="309"/>
      <c r="AZ128" s="309"/>
      <c r="BA128" s="309"/>
      <c r="BB128" s="309"/>
      <c r="BC128" s="309"/>
      <c r="BD128" s="309"/>
      <c r="BE128" s="309"/>
      <c r="BF128" s="309"/>
      <c r="BG128" s="309"/>
      <c r="BH128" s="124"/>
      <c r="BI128" s="41"/>
      <c r="BK128" s="412"/>
      <c r="BL128" s="413"/>
      <c r="BM128" s="414"/>
      <c r="BN128" s="412"/>
      <c r="BO128" s="413"/>
      <c r="BP128" s="414"/>
      <c r="BQ128" s="412"/>
      <c r="BR128" s="413"/>
      <c r="BS128" s="414"/>
      <c r="BT128" s="412"/>
      <c r="BU128" s="413"/>
      <c r="BV128" s="414"/>
      <c r="BW128" s="412"/>
      <c r="BX128" s="413"/>
      <c r="BY128" s="414"/>
      <c r="BZ128" s="412"/>
      <c r="CA128" s="413"/>
      <c r="CB128" s="414"/>
      <c r="CC128" s="412"/>
      <c r="CD128" s="413"/>
      <c r="CE128" s="414"/>
      <c r="CF128" s="412"/>
      <c r="CG128" s="413"/>
      <c r="CH128" s="414"/>
      <c r="CI128" s="412"/>
      <c r="CJ128" s="413"/>
      <c r="CK128" s="414"/>
      <c r="CL128" s="412"/>
      <c r="CM128" s="413"/>
      <c r="CN128" s="414"/>
      <c r="CO128" s="412"/>
      <c r="CP128" s="413"/>
      <c r="CQ128" s="414"/>
      <c r="CR128" s="412"/>
      <c r="CS128" s="413"/>
      <c r="CT128" s="414"/>
      <c r="CU128" s="412"/>
      <c r="CV128" s="413"/>
      <c r="CW128" s="414"/>
      <c r="CX128" s="412"/>
      <c r="CY128" s="413"/>
      <c r="CZ128" s="414"/>
      <c r="DA128" s="412"/>
      <c r="DB128" s="413"/>
      <c r="DC128" s="414"/>
      <c r="DD128" s="412"/>
      <c r="DE128" s="413"/>
      <c r="DF128" s="414"/>
      <c r="DH128" s="311"/>
      <c r="DI128" s="311"/>
      <c r="DJ128" s="311"/>
      <c r="DK128" s="311"/>
      <c r="DL128" s="321"/>
      <c r="DM128" s="321"/>
      <c r="DN128" s="321"/>
      <c r="DO128" s="321"/>
      <c r="DP128" s="321"/>
      <c r="DQ128" s="321"/>
      <c r="DR128" s="321"/>
      <c r="DS128" s="321"/>
    </row>
    <row r="129" spans="1:123" ht="7.4" customHeight="1" x14ac:dyDescent="0.5">
      <c r="A129" s="42"/>
      <c r="B129" s="42"/>
      <c r="C129" s="333"/>
      <c r="D129" s="333"/>
      <c r="E129" s="41"/>
      <c r="F129" s="42"/>
      <c r="G129" s="56"/>
      <c r="H129" s="56"/>
      <c r="I129" s="56"/>
      <c r="J129" s="56"/>
      <c r="K129" s="56"/>
      <c r="L129" s="56"/>
      <c r="M129" s="56"/>
      <c r="N129" s="56"/>
      <c r="O129" s="56"/>
      <c r="P129" s="56"/>
      <c r="Q129" s="56"/>
      <c r="R129" s="126"/>
      <c r="S129" s="42"/>
      <c r="T129" s="116" t="str">
        <f>VLOOKUP(G127,PL!$B$9:$BH$1265,33,FALSE)</f>
        <v>Aluminium, Vertical</v>
      </c>
      <c r="AJ129" s="41"/>
      <c r="AK129" s="42"/>
      <c r="AL129" s="311"/>
      <c r="AM129" s="311"/>
      <c r="AN129" s="311"/>
      <c r="AO129" s="311"/>
      <c r="AP129" s="43"/>
      <c r="AQ129" s="42"/>
      <c r="AR129" s="46"/>
      <c r="AS129" s="46"/>
      <c r="AT129" s="46"/>
      <c r="AU129" s="46"/>
      <c r="AV129" s="46"/>
      <c r="AW129" s="46"/>
      <c r="AX129" s="105"/>
      <c r="AY129" s="79"/>
      <c r="AZ129" s="119"/>
      <c r="BA129" s="119"/>
      <c r="BB129" s="119"/>
      <c r="BC129" s="119"/>
      <c r="BD129" s="119"/>
      <c r="BE129" s="119"/>
      <c r="BF129" s="119"/>
      <c r="BG129" s="119"/>
      <c r="BH129" s="124"/>
      <c r="BI129" s="41"/>
      <c r="BK129" s="194"/>
      <c r="BL129" s="123"/>
      <c r="BM129" s="195"/>
      <c r="BN129" s="194"/>
      <c r="BO129" s="123"/>
      <c r="BP129" s="195"/>
      <c r="BQ129" s="194"/>
      <c r="BR129" s="123"/>
      <c r="BS129" s="195"/>
      <c r="BT129" s="194"/>
      <c r="BU129" s="123"/>
      <c r="BV129" s="195"/>
      <c r="BW129" s="194"/>
      <c r="BX129" s="123"/>
      <c r="BY129" s="195"/>
      <c r="BZ129" s="194"/>
      <c r="CA129" s="123"/>
      <c r="CB129" s="195"/>
      <c r="CC129" s="194"/>
      <c r="CD129" s="123"/>
      <c r="CE129" s="195"/>
      <c r="CF129" s="194"/>
      <c r="CG129" s="123"/>
      <c r="CH129" s="195"/>
      <c r="CI129" s="194"/>
      <c r="CJ129" s="123"/>
      <c r="CK129" s="195"/>
      <c r="CL129" s="194"/>
      <c r="CM129" s="123"/>
      <c r="CN129" s="195"/>
      <c r="CO129" s="194"/>
      <c r="CP129" s="123"/>
      <c r="CQ129" s="195"/>
      <c r="CR129" s="194"/>
      <c r="CS129" s="123"/>
      <c r="CT129" s="195"/>
      <c r="CU129" s="194"/>
      <c r="CV129" s="123"/>
      <c r="CW129" s="195"/>
      <c r="CX129" s="194"/>
      <c r="CY129" s="123"/>
      <c r="CZ129" s="195"/>
      <c r="DA129" s="194"/>
      <c r="DB129" s="123"/>
      <c r="DC129" s="195"/>
      <c r="DD129" s="194"/>
      <c r="DE129" s="123"/>
      <c r="DF129" s="195"/>
      <c r="DH129" s="311"/>
      <c r="DI129" s="311"/>
      <c r="DJ129" s="311"/>
      <c r="DK129" s="311"/>
      <c r="DL129" s="321"/>
      <c r="DM129" s="321"/>
      <c r="DN129" s="321"/>
      <c r="DO129" s="321"/>
      <c r="DP129" s="321"/>
      <c r="DQ129" s="321"/>
      <c r="DR129" s="321"/>
      <c r="DS129" s="321"/>
    </row>
    <row r="130" spans="1:123" ht="7.4" customHeight="1" x14ac:dyDescent="0.5">
      <c r="A130" s="42"/>
      <c r="B130" s="42"/>
      <c r="C130" s="55"/>
      <c r="D130" s="55"/>
      <c r="E130" s="41"/>
      <c r="F130" s="42"/>
      <c r="G130" s="56"/>
      <c r="H130" s="56"/>
      <c r="I130" s="56"/>
      <c r="J130" s="56"/>
      <c r="K130" s="56"/>
      <c r="L130" s="56"/>
      <c r="M130" s="56"/>
      <c r="N130" s="56"/>
      <c r="O130" s="56"/>
      <c r="P130" s="56"/>
      <c r="Q130" s="56"/>
      <c r="R130" s="126"/>
      <c r="S130" s="42"/>
      <c r="AJ130" s="41"/>
      <c r="AK130" s="42"/>
      <c r="AL130" s="311"/>
      <c r="AM130" s="311"/>
      <c r="AN130" s="311"/>
      <c r="AO130" s="311"/>
      <c r="AP130" s="43"/>
      <c r="AQ130" s="42"/>
      <c r="AR130" s="46"/>
      <c r="AS130" s="46"/>
      <c r="AT130" s="46"/>
      <c r="AU130" s="46"/>
      <c r="AV130" s="46"/>
      <c r="AW130" s="46"/>
      <c r="AX130" s="105"/>
      <c r="AY130" s="79"/>
      <c r="AZ130" s="119"/>
      <c r="BA130" s="119"/>
      <c r="BB130" s="119"/>
      <c r="BC130" s="119"/>
      <c r="BD130" s="119"/>
      <c r="BE130" s="119"/>
      <c r="BF130" s="119"/>
      <c r="BG130" s="119"/>
      <c r="BH130" s="124"/>
      <c r="BI130" s="41"/>
      <c r="BK130" s="194"/>
      <c r="BL130" s="123"/>
      <c r="BM130" s="195"/>
      <c r="BN130" s="194"/>
      <c r="BO130" s="123"/>
      <c r="BP130" s="195"/>
      <c r="BQ130" s="194"/>
      <c r="BR130" s="123"/>
      <c r="BS130" s="195"/>
      <c r="BT130" s="194"/>
      <c r="BU130" s="123"/>
      <c r="BV130" s="195"/>
      <c r="BW130" s="194"/>
      <c r="BX130" s="123"/>
      <c r="BY130" s="195"/>
      <c r="BZ130" s="194"/>
      <c r="CA130" s="123"/>
      <c r="CB130" s="195"/>
      <c r="CC130" s="194"/>
      <c r="CD130" s="123"/>
      <c r="CE130" s="195"/>
      <c r="CF130" s="194"/>
      <c r="CG130" s="123"/>
      <c r="CH130" s="195"/>
      <c r="CI130" s="194"/>
      <c r="CJ130" s="123"/>
      <c r="CK130" s="195"/>
      <c r="CL130" s="194"/>
      <c r="CM130" s="123"/>
      <c r="CN130" s="195"/>
      <c r="CO130" s="194"/>
      <c r="CP130" s="123"/>
      <c r="CQ130" s="195"/>
      <c r="CR130" s="194"/>
      <c r="CS130" s="123"/>
      <c r="CT130" s="195"/>
      <c r="CU130" s="194"/>
      <c r="CV130" s="123"/>
      <c r="CW130" s="195"/>
      <c r="CX130" s="194"/>
      <c r="CY130" s="123"/>
      <c r="CZ130" s="195"/>
      <c r="DA130" s="194"/>
      <c r="DB130" s="123"/>
      <c r="DC130" s="195"/>
      <c r="DD130" s="194"/>
      <c r="DE130" s="123"/>
      <c r="DF130" s="195"/>
      <c r="DL130" s="105"/>
      <c r="DM130" s="105"/>
      <c r="DN130" s="105"/>
      <c r="DO130" s="105"/>
      <c r="DP130" s="105"/>
      <c r="DQ130" s="105"/>
      <c r="DR130" s="105"/>
      <c r="DS130" s="105"/>
    </row>
    <row r="131" spans="1:123" ht="7.4" customHeight="1" x14ac:dyDescent="0.5">
      <c r="A131" s="42"/>
      <c r="B131" s="42"/>
      <c r="C131" s="311">
        <f>C127+1</f>
        <v>4</v>
      </c>
      <c r="D131" s="311"/>
      <c r="E131" s="41"/>
      <c r="F131" s="42"/>
      <c r="G131" s="319" t="str">
        <f>IF(AL131=0,"N/A","AXE_CC_SS")</f>
        <v>N/A</v>
      </c>
      <c r="H131" s="319"/>
      <c r="I131" s="319"/>
      <c r="J131" s="319"/>
      <c r="K131" s="319"/>
      <c r="L131" s="319"/>
      <c r="M131" s="319"/>
      <c r="N131" s="319"/>
      <c r="O131" s="319"/>
      <c r="P131" s="319"/>
      <c r="Q131" s="319"/>
      <c r="R131" s="320"/>
      <c r="S131" s="42"/>
      <c r="T131" s="405" t="str">
        <f>VLOOKUP(G131,PL!$B$9:$BH$1265,14,FALSE)</f>
        <v>No Item</v>
      </c>
      <c r="U131" s="405"/>
      <c r="V131" s="405"/>
      <c r="W131" s="405"/>
      <c r="X131" s="405"/>
      <c r="Y131" s="405"/>
      <c r="Z131" s="405"/>
      <c r="AA131" s="405"/>
      <c r="AB131" s="405"/>
      <c r="AC131" s="405"/>
      <c r="AD131" s="405"/>
      <c r="AE131" s="405"/>
      <c r="AF131" s="405"/>
      <c r="AG131" s="405"/>
      <c r="AH131" s="405"/>
      <c r="AI131" s="405"/>
      <c r="AJ131" s="411"/>
      <c r="AK131" s="42"/>
      <c r="AL131" s="311">
        <f>ROUND(SUM(BK131:DF131)*(1+$BF$66),0)</f>
        <v>0</v>
      </c>
      <c r="AM131" s="311"/>
      <c r="AN131" s="311"/>
      <c r="AO131" s="311"/>
      <c r="AP131" s="43"/>
      <c r="AQ131" s="111"/>
      <c r="AR131" s="308" t="str">
        <f>VLOOKUP(G131,PL!$B$9:$BH$818,52,FALSE)</f>
        <v>-</v>
      </c>
      <c r="AS131" s="309"/>
      <c r="AT131" s="309"/>
      <c r="AU131" s="309"/>
      <c r="AV131" s="309"/>
      <c r="AW131" s="309"/>
      <c r="AX131" s="309"/>
      <c r="AY131" s="309"/>
      <c r="AZ131" s="309"/>
      <c r="BA131" s="309"/>
      <c r="BB131" s="309"/>
      <c r="BC131" s="309"/>
      <c r="BD131" s="309"/>
      <c r="BE131" s="309"/>
      <c r="BF131" s="309"/>
      <c r="BG131" s="309"/>
      <c r="BH131" s="124"/>
      <c r="BI131" s="41"/>
      <c r="BK131" s="412">
        <f>IF($N$66="Included",1,0)*M58*M54</f>
        <v>0</v>
      </c>
      <c r="BL131" s="413"/>
      <c r="BM131" s="414"/>
      <c r="BN131" s="412">
        <f>IF($N$66="Included",1,0)*P58*P54</f>
        <v>0</v>
      </c>
      <c r="BO131" s="413"/>
      <c r="BP131" s="414"/>
      <c r="BQ131" s="412">
        <f>IF($N$66="Included",1,0)*S58*S54</f>
        <v>0</v>
      </c>
      <c r="BR131" s="413"/>
      <c r="BS131" s="414"/>
      <c r="BT131" s="412">
        <f>IF($N$66="Included",1,0)*V58*V54</f>
        <v>0</v>
      </c>
      <c r="BU131" s="413"/>
      <c r="BV131" s="414"/>
      <c r="BW131" s="412">
        <f>IF($N$66="Included",1,0)*Y58*Y54</f>
        <v>0</v>
      </c>
      <c r="BX131" s="413"/>
      <c r="BY131" s="414"/>
      <c r="BZ131" s="412">
        <f>IF($N$66="Included",1,0)*AB58*AB54</f>
        <v>0</v>
      </c>
      <c r="CA131" s="413"/>
      <c r="CB131" s="414"/>
      <c r="CC131" s="412">
        <f>IF($N$66="Included",1,0)*AE58*AE54</f>
        <v>0</v>
      </c>
      <c r="CD131" s="413"/>
      <c r="CE131" s="414"/>
      <c r="CF131" s="412">
        <f>IF($N$66="Included",1,0)*AH58*AH54</f>
        <v>0</v>
      </c>
      <c r="CG131" s="413"/>
      <c r="CH131" s="414"/>
      <c r="CI131" s="412">
        <f>IF($N$66="Included",1,0)*AK58*AK54</f>
        <v>0</v>
      </c>
      <c r="CJ131" s="413"/>
      <c r="CK131" s="414"/>
      <c r="CL131" s="412">
        <f>IF($N$66="Included",1,0)*AN58*AN54</f>
        <v>0</v>
      </c>
      <c r="CM131" s="413"/>
      <c r="CN131" s="414"/>
      <c r="CO131" s="412">
        <f>IF($N$66="Included",1,0)*AQ58*AQ54</f>
        <v>0</v>
      </c>
      <c r="CP131" s="413"/>
      <c r="CQ131" s="414"/>
      <c r="CR131" s="412">
        <f>IF($N$66="Included",1,0)*AT58*AT54</f>
        <v>0</v>
      </c>
      <c r="CS131" s="413"/>
      <c r="CT131" s="414"/>
      <c r="CU131" s="412">
        <f>IF($N$66="Included",1,0)*AW58*AW54</f>
        <v>0</v>
      </c>
      <c r="CV131" s="413"/>
      <c r="CW131" s="414"/>
      <c r="CX131" s="412">
        <f>IF($N$66="Included",1,0)*AZ58*AZ54</f>
        <v>0</v>
      </c>
      <c r="CY131" s="413"/>
      <c r="CZ131" s="414"/>
      <c r="DA131" s="412">
        <f>IF($N$66="Included",1,0)*BC58*BC54</f>
        <v>0</v>
      </c>
      <c r="DB131" s="413"/>
      <c r="DC131" s="414"/>
      <c r="DD131" s="412">
        <f>IF($N$66="Included",1,0)*BF58*BF54</f>
        <v>0</v>
      </c>
      <c r="DE131" s="413"/>
      <c r="DF131" s="414"/>
      <c r="DH131" s="311"/>
      <c r="DI131" s="311"/>
      <c r="DJ131" s="311"/>
      <c r="DK131" s="311"/>
      <c r="DL131" s="321"/>
      <c r="DM131" s="321"/>
      <c r="DN131" s="321"/>
      <c r="DO131" s="321"/>
      <c r="DP131" s="321"/>
      <c r="DQ131" s="321"/>
      <c r="DR131" s="321"/>
      <c r="DS131" s="321"/>
    </row>
    <row r="132" spans="1:123" ht="7.4" customHeight="1" x14ac:dyDescent="0.5">
      <c r="A132" s="42"/>
      <c r="B132" s="42"/>
      <c r="C132" s="311"/>
      <c r="D132" s="311"/>
      <c r="E132" s="41"/>
      <c r="F132" s="42"/>
      <c r="G132" s="319"/>
      <c r="H132" s="319"/>
      <c r="I132" s="319"/>
      <c r="J132" s="319"/>
      <c r="K132" s="319"/>
      <c r="L132" s="319"/>
      <c r="M132" s="319"/>
      <c r="N132" s="319"/>
      <c r="O132" s="319"/>
      <c r="P132" s="319"/>
      <c r="Q132" s="319"/>
      <c r="R132" s="320"/>
      <c r="S132" s="42"/>
      <c r="T132" s="405"/>
      <c r="U132" s="405"/>
      <c r="V132" s="405"/>
      <c r="W132" s="405"/>
      <c r="X132" s="405"/>
      <c r="Y132" s="405"/>
      <c r="Z132" s="405"/>
      <c r="AA132" s="405"/>
      <c r="AB132" s="405"/>
      <c r="AC132" s="405"/>
      <c r="AD132" s="405"/>
      <c r="AE132" s="405"/>
      <c r="AF132" s="405"/>
      <c r="AG132" s="405"/>
      <c r="AH132" s="405"/>
      <c r="AI132" s="405"/>
      <c r="AJ132" s="411"/>
      <c r="AK132" s="42"/>
      <c r="AL132" s="311"/>
      <c r="AM132" s="311"/>
      <c r="AN132" s="311"/>
      <c r="AO132" s="311"/>
      <c r="AP132" s="43"/>
      <c r="AQ132" s="111"/>
      <c r="AR132" s="309"/>
      <c r="AS132" s="309"/>
      <c r="AT132" s="309"/>
      <c r="AU132" s="309"/>
      <c r="AV132" s="309"/>
      <c r="AW132" s="309"/>
      <c r="AX132" s="309"/>
      <c r="AY132" s="309"/>
      <c r="AZ132" s="309"/>
      <c r="BA132" s="309"/>
      <c r="BB132" s="309"/>
      <c r="BC132" s="309"/>
      <c r="BD132" s="309"/>
      <c r="BE132" s="309"/>
      <c r="BF132" s="309"/>
      <c r="BG132" s="309"/>
      <c r="BH132" s="124"/>
      <c r="BI132" s="41"/>
      <c r="BK132" s="412"/>
      <c r="BL132" s="413"/>
      <c r="BM132" s="414"/>
      <c r="BN132" s="412"/>
      <c r="BO132" s="413"/>
      <c r="BP132" s="414"/>
      <c r="BQ132" s="412"/>
      <c r="BR132" s="413"/>
      <c r="BS132" s="414"/>
      <c r="BT132" s="412"/>
      <c r="BU132" s="413"/>
      <c r="BV132" s="414"/>
      <c r="BW132" s="412"/>
      <c r="BX132" s="413"/>
      <c r="BY132" s="414"/>
      <c r="BZ132" s="412"/>
      <c r="CA132" s="413"/>
      <c r="CB132" s="414"/>
      <c r="CC132" s="412"/>
      <c r="CD132" s="413"/>
      <c r="CE132" s="414"/>
      <c r="CF132" s="412"/>
      <c r="CG132" s="413"/>
      <c r="CH132" s="414"/>
      <c r="CI132" s="412"/>
      <c r="CJ132" s="413"/>
      <c r="CK132" s="414"/>
      <c r="CL132" s="412"/>
      <c r="CM132" s="413"/>
      <c r="CN132" s="414"/>
      <c r="CO132" s="412"/>
      <c r="CP132" s="413"/>
      <c r="CQ132" s="414"/>
      <c r="CR132" s="412"/>
      <c r="CS132" s="413"/>
      <c r="CT132" s="414"/>
      <c r="CU132" s="412"/>
      <c r="CV132" s="413"/>
      <c r="CW132" s="414"/>
      <c r="CX132" s="412"/>
      <c r="CY132" s="413"/>
      <c r="CZ132" s="414"/>
      <c r="DA132" s="412"/>
      <c r="DB132" s="413"/>
      <c r="DC132" s="414"/>
      <c r="DD132" s="412"/>
      <c r="DE132" s="413"/>
      <c r="DF132" s="414"/>
      <c r="DH132" s="311"/>
      <c r="DI132" s="311"/>
      <c r="DJ132" s="311"/>
      <c r="DK132" s="311"/>
      <c r="DL132" s="321"/>
      <c r="DM132" s="321"/>
      <c r="DN132" s="321"/>
      <c r="DO132" s="321"/>
      <c r="DP132" s="321"/>
      <c r="DQ132" s="321"/>
      <c r="DR132" s="321"/>
      <c r="DS132" s="321"/>
    </row>
    <row r="133" spans="1:123" ht="7.4" customHeight="1" x14ac:dyDescent="0.5">
      <c r="A133" s="42"/>
      <c r="B133" s="42"/>
      <c r="C133" s="75"/>
      <c r="D133" s="75"/>
      <c r="E133" s="41"/>
      <c r="F133" s="42"/>
      <c r="G133" s="120"/>
      <c r="H133" s="120"/>
      <c r="I133" s="120"/>
      <c r="J133" s="120"/>
      <c r="K133" s="120"/>
      <c r="L133" s="120"/>
      <c r="M133" s="120"/>
      <c r="N133" s="120"/>
      <c r="O133" s="120"/>
      <c r="P133" s="120"/>
      <c r="Q133" s="120"/>
      <c r="R133" s="121"/>
      <c r="S133" s="42"/>
      <c r="T133" s="116" t="str">
        <f>VLOOKUP(G131,PL!$B$9:$BH$1265,33,FALSE)</f>
        <v>.</v>
      </c>
      <c r="AJ133" s="41"/>
      <c r="AK133" s="42"/>
      <c r="AL133" s="75"/>
      <c r="AM133" s="75"/>
      <c r="AN133" s="75"/>
      <c r="AO133" s="75"/>
      <c r="AP133" s="43"/>
      <c r="AQ133" s="42"/>
      <c r="AR133" s="272"/>
      <c r="AS133" s="272"/>
      <c r="AT133" s="272"/>
      <c r="AU133" s="272"/>
      <c r="AV133" s="272"/>
      <c r="AW133" s="272"/>
      <c r="AX133" s="105"/>
      <c r="AY133" s="79"/>
      <c r="AZ133" s="131"/>
      <c r="BA133" s="131"/>
      <c r="BB133" s="131"/>
      <c r="BC133" s="131"/>
      <c r="BD133" s="131"/>
      <c r="BE133" s="131"/>
      <c r="BF133" s="131"/>
      <c r="BG133" s="131"/>
      <c r="BH133" s="124"/>
      <c r="BI133" s="41"/>
      <c r="BK133" s="194"/>
      <c r="BL133" s="123"/>
      <c r="BM133" s="195"/>
      <c r="BN133" s="194"/>
      <c r="BO133" s="123"/>
      <c r="BP133" s="195"/>
      <c r="BQ133" s="194"/>
      <c r="BR133" s="123"/>
      <c r="BS133" s="195"/>
      <c r="BT133" s="194"/>
      <c r="BU133" s="123"/>
      <c r="BV133" s="195"/>
      <c r="BW133" s="194"/>
      <c r="BX133" s="123"/>
      <c r="BY133" s="195"/>
      <c r="BZ133" s="194"/>
      <c r="CA133" s="123"/>
      <c r="CB133" s="195"/>
      <c r="CC133" s="194"/>
      <c r="CD133" s="123"/>
      <c r="CE133" s="195"/>
      <c r="CF133" s="194"/>
      <c r="CG133" s="123"/>
      <c r="CH133" s="195"/>
      <c r="CI133" s="194"/>
      <c r="CJ133" s="123"/>
      <c r="CK133" s="195"/>
      <c r="CL133" s="194"/>
      <c r="CM133" s="123"/>
      <c r="CN133" s="195"/>
      <c r="CO133" s="194"/>
      <c r="CP133" s="123"/>
      <c r="CQ133" s="195"/>
      <c r="CR133" s="194"/>
      <c r="CS133" s="123"/>
      <c r="CT133" s="195"/>
      <c r="CU133" s="194"/>
      <c r="CV133" s="123"/>
      <c r="CW133" s="195"/>
      <c r="CX133" s="194"/>
      <c r="CY133" s="123"/>
      <c r="CZ133" s="195"/>
      <c r="DA133" s="194"/>
      <c r="DB133" s="123"/>
      <c r="DC133" s="195"/>
      <c r="DD133" s="194"/>
      <c r="DE133" s="123"/>
      <c r="DF133" s="195"/>
      <c r="DL133" s="105"/>
      <c r="DM133" s="105"/>
      <c r="DN133" s="105"/>
      <c r="DO133" s="105"/>
      <c r="DP133" s="105"/>
      <c r="DQ133" s="105"/>
      <c r="DR133" s="105"/>
      <c r="DS133" s="105"/>
    </row>
    <row r="134" spans="1:123" ht="7.4" customHeight="1" x14ac:dyDescent="0.5">
      <c r="A134" s="42"/>
      <c r="B134" s="42"/>
      <c r="C134" s="55"/>
      <c r="D134" s="55"/>
      <c r="E134" s="41"/>
      <c r="F134" s="42"/>
      <c r="G134" s="56"/>
      <c r="H134" s="56"/>
      <c r="I134" s="56"/>
      <c r="J134" s="56"/>
      <c r="K134" s="56"/>
      <c r="L134" s="56"/>
      <c r="M134" s="56"/>
      <c r="N134" s="56"/>
      <c r="O134" s="56"/>
      <c r="P134" s="56"/>
      <c r="Q134" s="56"/>
      <c r="R134" s="126"/>
      <c r="S134" s="42"/>
      <c r="AJ134" s="41"/>
      <c r="AK134" s="42"/>
      <c r="AL134" s="311"/>
      <c r="AM134" s="311"/>
      <c r="AN134" s="311"/>
      <c r="AO134" s="311"/>
      <c r="AP134" s="43"/>
      <c r="AQ134" s="42"/>
      <c r="AR134" s="46"/>
      <c r="AS134" s="46"/>
      <c r="AT134" s="46"/>
      <c r="AU134" s="46"/>
      <c r="AV134" s="46"/>
      <c r="AW134" s="46"/>
      <c r="AX134" s="105"/>
      <c r="AY134" s="79"/>
      <c r="AZ134" s="119"/>
      <c r="BA134" s="119"/>
      <c r="BB134" s="119"/>
      <c r="BC134" s="119"/>
      <c r="BD134" s="119"/>
      <c r="BE134" s="119"/>
      <c r="BF134" s="119"/>
      <c r="BG134" s="119"/>
      <c r="BH134" s="124"/>
      <c r="BI134" s="41"/>
      <c r="BK134" s="194"/>
      <c r="BL134" s="123"/>
      <c r="BM134" s="195"/>
      <c r="BN134" s="194"/>
      <c r="BO134" s="123"/>
      <c r="BP134" s="195"/>
      <c r="BQ134" s="194"/>
      <c r="BR134" s="123"/>
      <c r="BS134" s="195"/>
      <c r="BT134" s="194"/>
      <c r="BU134" s="123"/>
      <c r="BV134" s="195"/>
      <c r="BW134" s="194"/>
      <c r="BX134" s="123"/>
      <c r="BY134" s="195"/>
      <c r="BZ134" s="194"/>
      <c r="CA134" s="123"/>
      <c r="CB134" s="195"/>
      <c r="CC134" s="194"/>
      <c r="CD134" s="123"/>
      <c r="CE134" s="195"/>
      <c r="CF134" s="194"/>
      <c r="CG134" s="123"/>
      <c r="CH134" s="195"/>
      <c r="CI134" s="194"/>
      <c r="CJ134" s="123"/>
      <c r="CK134" s="195"/>
      <c r="CL134" s="194"/>
      <c r="CM134" s="123"/>
      <c r="CN134" s="195"/>
      <c r="CO134" s="194"/>
      <c r="CP134" s="123"/>
      <c r="CQ134" s="195"/>
      <c r="CR134" s="194"/>
      <c r="CS134" s="123"/>
      <c r="CT134" s="195"/>
      <c r="CU134" s="194"/>
      <c r="CV134" s="123"/>
      <c r="CW134" s="195"/>
      <c r="CX134" s="194"/>
      <c r="CY134" s="123"/>
      <c r="CZ134" s="195"/>
      <c r="DA134" s="194"/>
      <c r="DB134" s="123"/>
      <c r="DC134" s="195"/>
      <c r="DD134" s="194"/>
      <c r="DE134" s="123"/>
      <c r="DF134" s="195"/>
      <c r="DL134" s="105"/>
      <c r="DM134" s="105"/>
      <c r="DN134" s="105"/>
      <c r="DO134" s="105"/>
      <c r="DP134" s="105"/>
      <c r="DQ134" s="105"/>
      <c r="DR134" s="105"/>
      <c r="DS134" s="105"/>
    </row>
    <row r="135" spans="1:123" ht="7.4" customHeight="1" x14ac:dyDescent="0.5">
      <c r="A135" s="42"/>
      <c r="B135" s="42"/>
      <c r="C135" s="311">
        <f>C131+1</f>
        <v>5</v>
      </c>
      <c r="D135" s="311"/>
      <c r="E135" s="41"/>
      <c r="F135" s="42"/>
      <c r="G135" s="319" t="str">
        <f>IF(AL135=0,"N/A","AXE_CS_8_25"&amp;"_SS")</f>
        <v>AXE_CS_8_25_SS</v>
      </c>
      <c r="H135" s="319"/>
      <c r="I135" s="319"/>
      <c r="J135" s="319"/>
      <c r="K135" s="319"/>
      <c r="L135" s="319"/>
      <c r="M135" s="319"/>
      <c r="N135" s="319"/>
      <c r="O135" s="319"/>
      <c r="P135" s="319"/>
      <c r="Q135" s="319"/>
      <c r="R135" s="320"/>
      <c r="S135" s="42"/>
      <c r="T135" s="405" t="str">
        <f>VLOOKUP(G135,PL!$B$9:$BH$1265,14,FALSE)</f>
        <v>Cap Screws Hexagon</v>
      </c>
      <c r="U135" s="405"/>
      <c r="V135" s="405"/>
      <c r="W135" s="405"/>
      <c r="X135" s="405"/>
      <c r="Y135" s="405"/>
      <c r="Z135" s="405"/>
      <c r="AA135" s="405"/>
      <c r="AB135" s="405"/>
      <c r="AC135" s="405"/>
      <c r="AD135" s="405"/>
      <c r="AE135" s="405"/>
      <c r="AF135" s="405"/>
      <c r="AG135" s="405"/>
      <c r="AH135" s="405"/>
      <c r="AI135" s="405"/>
      <c r="AJ135" s="411"/>
      <c r="AK135" s="42"/>
      <c r="AL135" s="311">
        <f>ROUND(SUM(BK135:DF135)*(1+$BF$72),0)</f>
        <v>416</v>
      </c>
      <c r="AM135" s="311"/>
      <c r="AN135" s="311"/>
      <c r="AO135" s="311"/>
      <c r="AP135" s="43"/>
      <c r="AQ135" s="111"/>
      <c r="AR135" s="308" t="str">
        <f>VLOOKUP(G135,PL!$B$9:$BH$818,52,FALSE)</f>
        <v>SOL-59501</v>
      </c>
      <c r="AS135" s="309"/>
      <c r="AT135" s="309"/>
      <c r="AU135" s="309"/>
      <c r="AV135" s="309"/>
      <c r="AW135" s="309"/>
      <c r="AX135" s="309"/>
      <c r="AY135" s="309"/>
      <c r="AZ135" s="309"/>
      <c r="BA135" s="309"/>
      <c r="BB135" s="309"/>
      <c r="BC135" s="309"/>
      <c r="BD135" s="309"/>
      <c r="BE135" s="309"/>
      <c r="BF135" s="309"/>
      <c r="BG135" s="309"/>
      <c r="BH135" s="124"/>
      <c r="BI135" s="41"/>
      <c r="BK135" s="412">
        <f>BK127</f>
        <v>400</v>
      </c>
      <c r="BL135" s="413"/>
      <c r="BM135" s="414"/>
      <c r="BN135" s="412">
        <f>BN127</f>
        <v>0</v>
      </c>
      <c r="BO135" s="413"/>
      <c r="BP135" s="414"/>
      <c r="BQ135" s="412">
        <f>BQ127</f>
        <v>0</v>
      </c>
      <c r="BR135" s="413"/>
      <c r="BS135" s="414"/>
      <c r="BT135" s="412">
        <f>BT127</f>
        <v>0</v>
      </c>
      <c r="BU135" s="413"/>
      <c r="BV135" s="414"/>
      <c r="BW135" s="412">
        <f>BW127</f>
        <v>0</v>
      </c>
      <c r="BX135" s="413"/>
      <c r="BY135" s="414"/>
      <c r="BZ135" s="412">
        <f>BZ127</f>
        <v>0</v>
      </c>
      <c r="CA135" s="413"/>
      <c r="CB135" s="414"/>
      <c r="CC135" s="412">
        <f>CC127</f>
        <v>0</v>
      </c>
      <c r="CD135" s="413"/>
      <c r="CE135" s="414"/>
      <c r="CF135" s="412">
        <f>CF127</f>
        <v>0</v>
      </c>
      <c r="CG135" s="413"/>
      <c r="CH135" s="414"/>
      <c r="CI135" s="412">
        <f>CI127</f>
        <v>0</v>
      </c>
      <c r="CJ135" s="413"/>
      <c r="CK135" s="414"/>
      <c r="CL135" s="412">
        <f>CL127</f>
        <v>0</v>
      </c>
      <c r="CM135" s="413"/>
      <c r="CN135" s="414"/>
      <c r="CO135" s="412">
        <f>CO127</f>
        <v>0</v>
      </c>
      <c r="CP135" s="413"/>
      <c r="CQ135" s="414"/>
      <c r="CR135" s="412">
        <f>CR127</f>
        <v>0</v>
      </c>
      <c r="CS135" s="413"/>
      <c r="CT135" s="414"/>
      <c r="CU135" s="412">
        <f>CU127</f>
        <v>0</v>
      </c>
      <c r="CV135" s="413"/>
      <c r="CW135" s="414"/>
      <c r="CX135" s="412">
        <f>CX127</f>
        <v>0</v>
      </c>
      <c r="CY135" s="413"/>
      <c r="CZ135" s="414"/>
      <c r="DA135" s="412">
        <f>DA127</f>
        <v>0</v>
      </c>
      <c r="DB135" s="413"/>
      <c r="DC135" s="414"/>
      <c r="DD135" s="412">
        <f>DD127</f>
        <v>0</v>
      </c>
      <c r="DE135" s="413"/>
      <c r="DF135" s="414"/>
      <c r="DH135" s="311"/>
      <c r="DI135" s="311"/>
      <c r="DJ135" s="311"/>
      <c r="DK135" s="311"/>
      <c r="DL135" s="321"/>
      <c r="DM135" s="321"/>
      <c r="DN135" s="321"/>
      <c r="DO135" s="321"/>
      <c r="DP135" s="321"/>
      <c r="DQ135" s="321"/>
      <c r="DR135" s="321"/>
      <c r="DS135" s="321"/>
    </row>
    <row r="136" spans="1:123" ht="7.4" customHeight="1" x14ac:dyDescent="0.5">
      <c r="A136" s="42"/>
      <c r="B136" s="42"/>
      <c r="C136" s="311"/>
      <c r="D136" s="311"/>
      <c r="E136" s="41"/>
      <c r="F136" s="42"/>
      <c r="G136" s="319"/>
      <c r="H136" s="319"/>
      <c r="I136" s="319"/>
      <c r="J136" s="319"/>
      <c r="K136" s="319"/>
      <c r="L136" s="319"/>
      <c r="M136" s="319"/>
      <c r="N136" s="319"/>
      <c r="O136" s="319"/>
      <c r="P136" s="319"/>
      <c r="Q136" s="319"/>
      <c r="R136" s="320"/>
      <c r="S136" s="42"/>
      <c r="T136" s="405"/>
      <c r="U136" s="405"/>
      <c r="V136" s="405"/>
      <c r="W136" s="405"/>
      <c r="X136" s="405"/>
      <c r="Y136" s="405"/>
      <c r="Z136" s="405"/>
      <c r="AA136" s="405"/>
      <c r="AB136" s="405"/>
      <c r="AC136" s="405"/>
      <c r="AD136" s="405"/>
      <c r="AE136" s="405"/>
      <c r="AF136" s="405"/>
      <c r="AG136" s="405"/>
      <c r="AH136" s="405"/>
      <c r="AI136" s="405"/>
      <c r="AJ136" s="411"/>
      <c r="AK136" s="42"/>
      <c r="AL136" s="311"/>
      <c r="AM136" s="311"/>
      <c r="AN136" s="311"/>
      <c r="AO136" s="311"/>
      <c r="AP136" s="43"/>
      <c r="AQ136" s="111"/>
      <c r="AR136" s="309"/>
      <c r="AS136" s="309"/>
      <c r="AT136" s="309"/>
      <c r="AU136" s="309"/>
      <c r="AV136" s="309"/>
      <c r="AW136" s="309"/>
      <c r="AX136" s="309"/>
      <c r="AY136" s="309"/>
      <c r="AZ136" s="309"/>
      <c r="BA136" s="309"/>
      <c r="BB136" s="309"/>
      <c r="BC136" s="309"/>
      <c r="BD136" s="309"/>
      <c r="BE136" s="309"/>
      <c r="BF136" s="309"/>
      <c r="BG136" s="309"/>
      <c r="BH136" s="124"/>
      <c r="BI136" s="41"/>
      <c r="BK136" s="412"/>
      <c r="BL136" s="413"/>
      <c r="BM136" s="414"/>
      <c r="BN136" s="412"/>
      <c r="BO136" s="413"/>
      <c r="BP136" s="414"/>
      <c r="BQ136" s="412"/>
      <c r="BR136" s="413"/>
      <c r="BS136" s="414"/>
      <c r="BT136" s="412"/>
      <c r="BU136" s="413"/>
      <c r="BV136" s="414"/>
      <c r="BW136" s="412"/>
      <c r="BX136" s="413"/>
      <c r="BY136" s="414"/>
      <c r="BZ136" s="412"/>
      <c r="CA136" s="413"/>
      <c r="CB136" s="414"/>
      <c r="CC136" s="412"/>
      <c r="CD136" s="413"/>
      <c r="CE136" s="414"/>
      <c r="CF136" s="412"/>
      <c r="CG136" s="413"/>
      <c r="CH136" s="414"/>
      <c r="CI136" s="412"/>
      <c r="CJ136" s="413"/>
      <c r="CK136" s="414"/>
      <c r="CL136" s="412"/>
      <c r="CM136" s="413"/>
      <c r="CN136" s="414"/>
      <c r="CO136" s="412"/>
      <c r="CP136" s="413"/>
      <c r="CQ136" s="414"/>
      <c r="CR136" s="412"/>
      <c r="CS136" s="413"/>
      <c r="CT136" s="414"/>
      <c r="CU136" s="412"/>
      <c r="CV136" s="413"/>
      <c r="CW136" s="414"/>
      <c r="CX136" s="412"/>
      <c r="CY136" s="413"/>
      <c r="CZ136" s="414"/>
      <c r="DA136" s="412"/>
      <c r="DB136" s="413"/>
      <c r="DC136" s="414"/>
      <c r="DD136" s="412"/>
      <c r="DE136" s="413"/>
      <c r="DF136" s="414"/>
      <c r="DH136" s="311"/>
      <c r="DI136" s="311"/>
      <c r="DJ136" s="311"/>
      <c r="DK136" s="311"/>
      <c r="DL136" s="321"/>
      <c r="DM136" s="321"/>
      <c r="DN136" s="321"/>
      <c r="DO136" s="321"/>
      <c r="DP136" s="321"/>
      <c r="DQ136" s="321"/>
      <c r="DR136" s="321"/>
      <c r="DS136" s="321"/>
    </row>
    <row r="137" spans="1:123" ht="7.4" customHeight="1" x14ac:dyDescent="0.5">
      <c r="A137" s="42"/>
      <c r="B137" s="42"/>
      <c r="C137" s="333"/>
      <c r="D137" s="333"/>
      <c r="E137" s="41"/>
      <c r="F137" s="42"/>
      <c r="G137" s="56"/>
      <c r="H137" s="56"/>
      <c r="I137" s="56"/>
      <c r="J137" s="56"/>
      <c r="K137" s="56"/>
      <c r="L137" s="56"/>
      <c r="M137" s="56"/>
      <c r="N137" s="56"/>
      <c r="O137" s="56"/>
      <c r="P137" s="56"/>
      <c r="Q137" s="56"/>
      <c r="R137" s="126"/>
      <c r="S137" s="42"/>
      <c r="T137" s="116" t="str">
        <f>VLOOKUP(G135,PL!$B$9:$BH$1265,33,FALSE)</f>
        <v>Stainless Steel, M8x25</v>
      </c>
      <c r="AJ137" s="41"/>
      <c r="AK137" s="42"/>
      <c r="AL137" s="311"/>
      <c r="AM137" s="311"/>
      <c r="AN137" s="311"/>
      <c r="AO137" s="311"/>
      <c r="AP137" s="43"/>
      <c r="AQ137" s="42"/>
      <c r="AR137" s="46"/>
      <c r="AS137" s="46"/>
      <c r="AT137" s="46"/>
      <c r="AU137" s="46"/>
      <c r="AV137" s="46"/>
      <c r="AW137" s="46"/>
      <c r="AX137" s="105"/>
      <c r="AY137" s="79"/>
      <c r="AZ137" s="119"/>
      <c r="BA137" s="119"/>
      <c r="BB137" s="119"/>
      <c r="BC137" s="119"/>
      <c r="BD137" s="119"/>
      <c r="BE137" s="119"/>
      <c r="BF137" s="119"/>
      <c r="BG137" s="119"/>
      <c r="BH137" s="124"/>
      <c r="BI137" s="41"/>
      <c r="BK137" s="194"/>
      <c r="BL137" s="123"/>
      <c r="BM137" s="195"/>
      <c r="BN137" s="194"/>
      <c r="BO137" s="123"/>
      <c r="BP137" s="195"/>
      <c r="BQ137" s="194"/>
      <c r="BR137" s="123"/>
      <c r="BS137" s="195"/>
      <c r="BT137" s="194"/>
      <c r="BU137" s="123"/>
      <c r="BV137" s="195"/>
      <c r="BW137" s="194"/>
      <c r="BX137" s="123"/>
      <c r="BY137" s="195"/>
      <c r="BZ137" s="194"/>
      <c r="CA137" s="123"/>
      <c r="CB137" s="195"/>
      <c r="CC137" s="194"/>
      <c r="CD137" s="123"/>
      <c r="CE137" s="195"/>
      <c r="CF137" s="194"/>
      <c r="CG137" s="123"/>
      <c r="CH137" s="195"/>
      <c r="CI137" s="194"/>
      <c r="CJ137" s="123"/>
      <c r="CK137" s="195"/>
      <c r="CL137" s="194"/>
      <c r="CM137" s="123"/>
      <c r="CN137" s="195"/>
      <c r="CO137" s="194"/>
      <c r="CP137" s="123"/>
      <c r="CQ137" s="195"/>
      <c r="CR137" s="194"/>
      <c r="CS137" s="123"/>
      <c r="CT137" s="195"/>
      <c r="CU137" s="194"/>
      <c r="CV137" s="123"/>
      <c r="CW137" s="195"/>
      <c r="CX137" s="194"/>
      <c r="CY137" s="123"/>
      <c r="CZ137" s="195"/>
      <c r="DA137" s="194"/>
      <c r="DB137" s="123"/>
      <c r="DC137" s="195"/>
      <c r="DD137" s="194"/>
      <c r="DE137" s="123"/>
      <c r="DF137" s="195"/>
      <c r="DH137" s="311"/>
      <c r="DI137" s="311"/>
      <c r="DJ137" s="311"/>
      <c r="DK137" s="311"/>
      <c r="DL137" s="321"/>
      <c r="DM137" s="321"/>
      <c r="DN137" s="321"/>
      <c r="DO137" s="321"/>
      <c r="DP137" s="321"/>
      <c r="DQ137" s="321"/>
      <c r="DR137" s="321"/>
      <c r="DS137" s="321"/>
    </row>
    <row r="138" spans="1:123" ht="7.4" customHeight="1" x14ac:dyDescent="0.5">
      <c r="A138" s="42"/>
      <c r="B138" s="42"/>
      <c r="C138" s="333"/>
      <c r="D138" s="333"/>
      <c r="E138" s="41"/>
      <c r="F138" s="42"/>
      <c r="G138" s="56"/>
      <c r="H138" s="56"/>
      <c r="I138" s="56"/>
      <c r="J138" s="56"/>
      <c r="K138" s="56"/>
      <c r="L138" s="56"/>
      <c r="M138" s="56"/>
      <c r="N138" s="56"/>
      <c r="O138" s="56"/>
      <c r="P138" s="56"/>
      <c r="Q138" s="56"/>
      <c r="R138" s="126"/>
      <c r="S138" s="42"/>
      <c r="AJ138" s="41"/>
      <c r="AK138" s="42"/>
      <c r="AL138" s="311"/>
      <c r="AM138" s="311"/>
      <c r="AN138" s="311"/>
      <c r="AO138" s="311"/>
      <c r="AP138" s="43"/>
      <c r="AQ138" s="42"/>
      <c r="AR138" s="46"/>
      <c r="AS138" s="46"/>
      <c r="AT138" s="46"/>
      <c r="AU138" s="46"/>
      <c r="AV138" s="46"/>
      <c r="AW138" s="46"/>
      <c r="AX138" s="105"/>
      <c r="AY138" s="79"/>
      <c r="AZ138" s="119"/>
      <c r="BA138" s="119"/>
      <c r="BB138" s="119"/>
      <c r="BC138" s="119"/>
      <c r="BD138" s="119"/>
      <c r="BE138" s="119"/>
      <c r="BF138" s="119"/>
      <c r="BG138" s="119"/>
      <c r="BH138" s="124"/>
      <c r="BI138" s="41"/>
      <c r="BK138" s="194"/>
      <c r="BL138" s="123"/>
      <c r="BM138" s="195"/>
      <c r="BN138" s="194"/>
      <c r="BO138" s="123"/>
      <c r="BP138" s="195"/>
      <c r="BQ138" s="194"/>
      <c r="BR138" s="123"/>
      <c r="BS138" s="195"/>
      <c r="BT138" s="194"/>
      <c r="BU138" s="123"/>
      <c r="BV138" s="195"/>
      <c r="BW138" s="194"/>
      <c r="BX138" s="123"/>
      <c r="BY138" s="195"/>
      <c r="BZ138" s="194"/>
      <c r="CA138" s="123"/>
      <c r="CB138" s="195"/>
      <c r="CC138" s="194"/>
      <c r="CD138" s="123"/>
      <c r="CE138" s="195"/>
      <c r="CF138" s="194"/>
      <c r="CG138" s="123"/>
      <c r="CH138" s="195"/>
      <c r="CI138" s="194"/>
      <c r="CJ138" s="123"/>
      <c r="CK138" s="195"/>
      <c r="CL138" s="194"/>
      <c r="CM138" s="123"/>
      <c r="CN138" s="195"/>
      <c r="CO138" s="194"/>
      <c r="CP138" s="123"/>
      <c r="CQ138" s="195"/>
      <c r="CR138" s="194"/>
      <c r="CS138" s="123"/>
      <c r="CT138" s="195"/>
      <c r="CU138" s="194"/>
      <c r="CV138" s="123"/>
      <c r="CW138" s="195"/>
      <c r="CX138" s="194"/>
      <c r="CY138" s="123"/>
      <c r="CZ138" s="195"/>
      <c r="DA138" s="194"/>
      <c r="DB138" s="123"/>
      <c r="DC138" s="195"/>
      <c r="DD138" s="194"/>
      <c r="DE138" s="123"/>
      <c r="DF138" s="195"/>
      <c r="DH138" s="311"/>
      <c r="DI138" s="311"/>
      <c r="DJ138" s="311"/>
      <c r="DK138" s="311"/>
      <c r="DL138" s="321"/>
      <c r="DM138" s="321"/>
      <c r="DN138" s="321"/>
      <c r="DO138" s="321"/>
      <c r="DP138" s="321"/>
      <c r="DQ138" s="321"/>
      <c r="DR138" s="321"/>
      <c r="DS138" s="321"/>
    </row>
    <row r="139" spans="1:123" ht="7.4" customHeight="1" x14ac:dyDescent="0.5">
      <c r="A139" s="42"/>
      <c r="B139" s="42"/>
      <c r="C139" s="311">
        <f>C135+1</f>
        <v>6</v>
      </c>
      <c r="D139" s="311"/>
      <c r="E139" s="41"/>
      <c r="F139" s="42"/>
      <c r="G139" s="319" t="str">
        <f>IF(AL139=0,"N/A","AXE_CS_8_"&amp;$AM$45-5&amp;"_SS")</f>
        <v>N/A</v>
      </c>
      <c r="H139" s="319"/>
      <c r="I139" s="319"/>
      <c r="J139" s="319"/>
      <c r="K139" s="319"/>
      <c r="L139" s="319"/>
      <c r="M139" s="319"/>
      <c r="N139" s="319"/>
      <c r="O139" s="319"/>
      <c r="P139" s="319"/>
      <c r="Q139" s="319"/>
      <c r="R139" s="320"/>
      <c r="S139" s="42"/>
      <c r="T139" s="405" t="str">
        <f>VLOOKUP(G139,PL!$B$9:$BH$1265,14,FALSE)</f>
        <v>No Item</v>
      </c>
      <c r="U139" s="405"/>
      <c r="V139" s="405"/>
      <c r="W139" s="405"/>
      <c r="X139" s="405"/>
      <c r="Y139" s="405"/>
      <c r="Z139" s="405"/>
      <c r="AA139" s="405"/>
      <c r="AB139" s="405"/>
      <c r="AC139" s="405"/>
      <c r="AD139" s="405"/>
      <c r="AE139" s="405"/>
      <c r="AF139" s="405"/>
      <c r="AG139" s="405"/>
      <c r="AH139" s="405"/>
      <c r="AI139" s="405"/>
      <c r="AJ139" s="411"/>
      <c r="AK139" s="42"/>
      <c r="AL139" s="311">
        <f>ROUND(SUM(BK139:DF139)*(1+$BF$72),0)</f>
        <v>0</v>
      </c>
      <c r="AM139" s="311"/>
      <c r="AN139" s="311"/>
      <c r="AO139" s="311"/>
      <c r="AP139" s="43"/>
      <c r="AQ139" s="111"/>
      <c r="AR139" s="308" t="str">
        <f>VLOOKUP(G139,PL!$B$9:$BH$818,52,FALSE)</f>
        <v>-</v>
      </c>
      <c r="AS139" s="309"/>
      <c r="AT139" s="309"/>
      <c r="AU139" s="309"/>
      <c r="AV139" s="309"/>
      <c r="AW139" s="309"/>
      <c r="AX139" s="309"/>
      <c r="AY139" s="309"/>
      <c r="AZ139" s="309"/>
      <c r="BA139" s="309"/>
      <c r="BB139" s="309"/>
      <c r="BC139" s="309"/>
      <c r="BD139" s="309"/>
      <c r="BE139" s="309"/>
      <c r="BF139" s="309"/>
      <c r="BG139" s="309"/>
      <c r="BH139" s="124"/>
      <c r="BI139" s="41"/>
      <c r="BK139" s="412">
        <f>IF($N$70="Included",0,BK123)</f>
        <v>0</v>
      </c>
      <c r="BL139" s="413"/>
      <c r="BM139" s="414"/>
      <c r="BN139" s="412">
        <f>IF($N$70="Included",0,BN123)</f>
        <v>0</v>
      </c>
      <c r="BO139" s="413"/>
      <c r="BP139" s="414"/>
      <c r="BQ139" s="412">
        <f>IF($N$70="Included",0,BQ123)</f>
        <v>0</v>
      </c>
      <c r="BR139" s="413"/>
      <c r="BS139" s="414"/>
      <c r="BT139" s="412">
        <f>IF($N$70="Included",0,BT123)</f>
        <v>0</v>
      </c>
      <c r="BU139" s="413"/>
      <c r="BV139" s="414"/>
      <c r="BW139" s="412">
        <f>IF($N$70="Included",0,BW123)</f>
        <v>0</v>
      </c>
      <c r="BX139" s="413"/>
      <c r="BY139" s="414"/>
      <c r="BZ139" s="412">
        <f>IF($N$70="Included",0,BZ123)</f>
        <v>0</v>
      </c>
      <c r="CA139" s="413"/>
      <c r="CB139" s="414"/>
      <c r="CC139" s="412">
        <f>IF($N$70="Included",0,CC123)</f>
        <v>0</v>
      </c>
      <c r="CD139" s="413"/>
      <c r="CE139" s="414"/>
      <c r="CF139" s="412">
        <f>IF($N$70="Included",0,CF123)</f>
        <v>0</v>
      </c>
      <c r="CG139" s="413"/>
      <c r="CH139" s="414"/>
      <c r="CI139" s="412">
        <f>IF($N$70="Included",0,CI123)</f>
        <v>0</v>
      </c>
      <c r="CJ139" s="413"/>
      <c r="CK139" s="414"/>
      <c r="CL139" s="412">
        <f>IF($N$70="Included",0,CL123)</f>
        <v>0</v>
      </c>
      <c r="CM139" s="413"/>
      <c r="CN139" s="414"/>
      <c r="CO139" s="412">
        <f>IF($N$70="Included",0,CO123)</f>
        <v>0</v>
      </c>
      <c r="CP139" s="413"/>
      <c r="CQ139" s="414"/>
      <c r="CR139" s="412">
        <f>IF($N$70="Included",0,CR123)</f>
        <v>0</v>
      </c>
      <c r="CS139" s="413"/>
      <c r="CT139" s="414"/>
      <c r="CU139" s="412">
        <f>IF($N$70="Included",0,CU123)</f>
        <v>0</v>
      </c>
      <c r="CV139" s="413"/>
      <c r="CW139" s="414"/>
      <c r="CX139" s="412">
        <f>IF($N$70="Included",0,CX123)</f>
        <v>0</v>
      </c>
      <c r="CY139" s="413"/>
      <c r="CZ139" s="414"/>
      <c r="DA139" s="412">
        <f>IF($N$70="Included",0,DA123)</f>
        <v>0</v>
      </c>
      <c r="DB139" s="413"/>
      <c r="DC139" s="414"/>
      <c r="DD139" s="412">
        <f>IF($N$70="Included",0,DD123)</f>
        <v>0</v>
      </c>
      <c r="DE139" s="413"/>
      <c r="DF139" s="414"/>
      <c r="DH139" s="311"/>
      <c r="DI139" s="311"/>
      <c r="DJ139" s="311"/>
      <c r="DK139" s="311"/>
      <c r="DL139" s="321"/>
      <c r="DM139" s="321"/>
      <c r="DN139" s="321"/>
      <c r="DO139" s="321"/>
      <c r="DP139" s="321"/>
      <c r="DQ139" s="321"/>
      <c r="DR139" s="321"/>
      <c r="DS139" s="321"/>
    </row>
    <row r="140" spans="1:123" ht="7.4" customHeight="1" x14ac:dyDescent="0.5">
      <c r="A140" s="42"/>
      <c r="B140" s="42"/>
      <c r="C140" s="311"/>
      <c r="D140" s="311"/>
      <c r="E140" s="41"/>
      <c r="F140" s="42"/>
      <c r="G140" s="319"/>
      <c r="H140" s="319"/>
      <c r="I140" s="319"/>
      <c r="J140" s="319"/>
      <c r="K140" s="319"/>
      <c r="L140" s="319"/>
      <c r="M140" s="319"/>
      <c r="N140" s="319"/>
      <c r="O140" s="319"/>
      <c r="P140" s="319"/>
      <c r="Q140" s="319"/>
      <c r="R140" s="320"/>
      <c r="S140" s="42"/>
      <c r="T140" s="405"/>
      <c r="U140" s="405"/>
      <c r="V140" s="405"/>
      <c r="W140" s="405"/>
      <c r="X140" s="405"/>
      <c r="Y140" s="405"/>
      <c r="Z140" s="405"/>
      <c r="AA140" s="405"/>
      <c r="AB140" s="405"/>
      <c r="AC140" s="405"/>
      <c r="AD140" s="405"/>
      <c r="AE140" s="405"/>
      <c r="AF140" s="405"/>
      <c r="AG140" s="405"/>
      <c r="AH140" s="405"/>
      <c r="AI140" s="405"/>
      <c r="AJ140" s="411"/>
      <c r="AK140" s="42"/>
      <c r="AL140" s="311"/>
      <c r="AM140" s="311"/>
      <c r="AN140" s="311"/>
      <c r="AO140" s="311"/>
      <c r="AP140" s="43"/>
      <c r="AQ140" s="111"/>
      <c r="AR140" s="309"/>
      <c r="AS140" s="309"/>
      <c r="AT140" s="309"/>
      <c r="AU140" s="309"/>
      <c r="AV140" s="309"/>
      <c r="AW140" s="309"/>
      <c r="AX140" s="309"/>
      <c r="AY140" s="309"/>
      <c r="AZ140" s="309"/>
      <c r="BA140" s="309"/>
      <c r="BB140" s="309"/>
      <c r="BC140" s="309"/>
      <c r="BD140" s="309"/>
      <c r="BE140" s="309"/>
      <c r="BF140" s="309"/>
      <c r="BG140" s="309"/>
      <c r="BH140" s="124"/>
      <c r="BI140" s="41"/>
      <c r="BK140" s="412"/>
      <c r="BL140" s="413"/>
      <c r="BM140" s="414"/>
      <c r="BN140" s="412"/>
      <c r="BO140" s="413"/>
      <c r="BP140" s="414"/>
      <c r="BQ140" s="412"/>
      <c r="BR140" s="413"/>
      <c r="BS140" s="414"/>
      <c r="BT140" s="412"/>
      <c r="BU140" s="413"/>
      <c r="BV140" s="414"/>
      <c r="BW140" s="412"/>
      <c r="BX140" s="413"/>
      <c r="BY140" s="414"/>
      <c r="BZ140" s="412"/>
      <c r="CA140" s="413"/>
      <c r="CB140" s="414"/>
      <c r="CC140" s="412"/>
      <c r="CD140" s="413"/>
      <c r="CE140" s="414"/>
      <c r="CF140" s="412"/>
      <c r="CG140" s="413"/>
      <c r="CH140" s="414"/>
      <c r="CI140" s="412"/>
      <c r="CJ140" s="413"/>
      <c r="CK140" s="414"/>
      <c r="CL140" s="412"/>
      <c r="CM140" s="413"/>
      <c r="CN140" s="414"/>
      <c r="CO140" s="412"/>
      <c r="CP140" s="413"/>
      <c r="CQ140" s="414"/>
      <c r="CR140" s="412"/>
      <c r="CS140" s="413"/>
      <c r="CT140" s="414"/>
      <c r="CU140" s="412"/>
      <c r="CV140" s="413"/>
      <c r="CW140" s="414"/>
      <c r="CX140" s="412"/>
      <c r="CY140" s="413"/>
      <c r="CZ140" s="414"/>
      <c r="DA140" s="412"/>
      <c r="DB140" s="413"/>
      <c r="DC140" s="414"/>
      <c r="DD140" s="412"/>
      <c r="DE140" s="413"/>
      <c r="DF140" s="414"/>
      <c r="DH140" s="311"/>
      <c r="DI140" s="311"/>
      <c r="DJ140" s="311"/>
      <c r="DK140" s="311"/>
      <c r="DL140" s="321"/>
      <c r="DM140" s="321"/>
      <c r="DN140" s="321"/>
      <c r="DO140" s="321"/>
      <c r="DP140" s="321"/>
      <c r="DQ140" s="321"/>
      <c r="DR140" s="321"/>
      <c r="DS140" s="321"/>
    </row>
    <row r="141" spans="1:123" ht="7.4" customHeight="1" x14ac:dyDescent="0.5">
      <c r="A141" s="42"/>
      <c r="B141" s="42"/>
      <c r="C141" s="333"/>
      <c r="D141" s="333"/>
      <c r="E141" s="41"/>
      <c r="F141" s="42"/>
      <c r="G141" s="56"/>
      <c r="H141" s="56"/>
      <c r="I141" s="56"/>
      <c r="J141" s="56"/>
      <c r="K141" s="56"/>
      <c r="L141" s="56"/>
      <c r="M141" s="56"/>
      <c r="N141" s="56"/>
      <c r="O141" s="56"/>
      <c r="P141" s="56"/>
      <c r="Q141" s="56"/>
      <c r="R141" s="126"/>
      <c r="S141" s="42"/>
      <c r="T141" s="116" t="str">
        <f>VLOOKUP(G139,PL!$B$9:$BH$1265,33,FALSE)</f>
        <v>.</v>
      </c>
      <c r="AJ141" s="41"/>
      <c r="AK141" s="42"/>
      <c r="AL141" s="311"/>
      <c r="AM141" s="311"/>
      <c r="AN141" s="311"/>
      <c r="AO141" s="311"/>
      <c r="AP141" s="43"/>
      <c r="AQ141" s="42"/>
      <c r="AR141" s="46"/>
      <c r="AS141" s="46"/>
      <c r="AT141" s="46"/>
      <c r="AU141" s="46"/>
      <c r="AV141" s="46"/>
      <c r="AW141" s="46"/>
      <c r="AX141" s="105"/>
      <c r="AY141" s="79"/>
      <c r="AZ141" s="119"/>
      <c r="BA141" s="119"/>
      <c r="BB141" s="119"/>
      <c r="BC141" s="119"/>
      <c r="BD141" s="119"/>
      <c r="BE141" s="119"/>
      <c r="BF141" s="119"/>
      <c r="BG141" s="119"/>
      <c r="BH141" s="124"/>
      <c r="BI141" s="41"/>
      <c r="BK141" s="194"/>
      <c r="BL141" s="123"/>
      <c r="BM141" s="195"/>
      <c r="BN141" s="194"/>
      <c r="BO141" s="123"/>
      <c r="BP141" s="195"/>
      <c r="BQ141" s="194"/>
      <c r="BR141" s="123"/>
      <c r="BS141" s="195"/>
      <c r="BT141" s="194"/>
      <c r="BU141" s="123"/>
      <c r="BV141" s="195"/>
      <c r="BW141" s="194"/>
      <c r="BX141" s="123"/>
      <c r="BY141" s="195"/>
      <c r="BZ141" s="194"/>
      <c r="CA141" s="123"/>
      <c r="CB141" s="195"/>
      <c r="CC141" s="194"/>
      <c r="CD141" s="123"/>
      <c r="CE141" s="195"/>
      <c r="CF141" s="194"/>
      <c r="CG141" s="123"/>
      <c r="CH141" s="195"/>
      <c r="CI141" s="194"/>
      <c r="CJ141" s="123"/>
      <c r="CK141" s="195"/>
      <c r="CL141" s="194"/>
      <c r="CM141" s="123"/>
      <c r="CN141" s="195"/>
      <c r="CO141" s="194"/>
      <c r="CP141" s="123"/>
      <c r="CQ141" s="195"/>
      <c r="CR141" s="194"/>
      <c r="CS141" s="123"/>
      <c r="CT141" s="195"/>
      <c r="CU141" s="194"/>
      <c r="CV141" s="123"/>
      <c r="CW141" s="195"/>
      <c r="CX141" s="194"/>
      <c r="CY141" s="123"/>
      <c r="CZ141" s="195"/>
      <c r="DA141" s="194"/>
      <c r="DB141" s="123"/>
      <c r="DC141" s="195"/>
      <c r="DD141" s="194"/>
      <c r="DE141" s="123"/>
      <c r="DF141" s="195"/>
      <c r="DH141" s="311"/>
      <c r="DI141" s="311"/>
      <c r="DJ141" s="311"/>
      <c r="DK141" s="311"/>
      <c r="DL141" s="321"/>
      <c r="DM141" s="321"/>
      <c r="DN141" s="321"/>
      <c r="DO141" s="321"/>
      <c r="DP141" s="321"/>
      <c r="DQ141" s="321"/>
      <c r="DR141" s="321"/>
      <c r="DS141" s="321"/>
    </row>
    <row r="142" spans="1:123" ht="7.4" customHeight="1" x14ac:dyDescent="0.5">
      <c r="A142" s="42"/>
      <c r="B142" s="42"/>
      <c r="C142" s="333"/>
      <c r="D142" s="333"/>
      <c r="E142" s="41"/>
      <c r="F142" s="42"/>
      <c r="G142" s="56"/>
      <c r="H142" s="56"/>
      <c r="I142" s="56"/>
      <c r="J142" s="56"/>
      <c r="K142" s="56"/>
      <c r="L142" s="56"/>
      <c r="M142" s="56"/>
      <c r="N142" s="56"/>
      <c r="O142" s="56"/>
      <c r="P142" s="56"/>
      <c r="Q142" s="56"/>
      <c r="R142" s="126"/>
      <c r="S142" s="42"/>
      <c r="AJ142" s="41"/>
      <c r="AK142" s="42"/>
      <c r="AL142" s="311"/>
      <c r="AM142" s="311"/>
      <c r="AN142" s="311"/>
      <c r="AO142" s="311"/>
      <c r="AP142" s="43"/>
      <c r="AQ142" s="42"/>
      <c r="AR142" s="46"/>
      <c r="AS142" s="46"/>
      <c r="AT142" s="46"/>
      <c r="AU142" s="46"/>
      <c r="AV142" s="46"/>
      <c r="AW142" s="46"/>
      <c r="AX142" s="105"/>
      <c r="AY142" s="79"/>
      <c r="AZ142" s="119"/>
      <c r="BA142" s="119"/>
      <c r="BB142" s="119"/>
      <c r="BC142" s="119"/>
      <c r="BD142" s="119"/>
      <c r="BE142" s="119"/>
      <c r="BF142" s="119"/>
      <c r="BG142" s="119"/>
      <c r="BH142" s="124"/>
      <c r="BI142" s="41"/>
      <c r="BK142" s="194"/>
      <c r="BL142" s="123"/>
      <c r="BM142" s="195"/>
      <c r="BN142" s="194"/>
      <c r="BO142" s="123"/>
      <c r="BP142" s="195"/>
      <c r="BQ142" s="194"/>
      <c r="BR142" s="123"/>
      <c r="BS142" s="195"/>
      <c r="BT142" s="194"/>
      <c r="BU142" s="123"/>
      <c r="BV142" s="195"/>
      <c r="BW142" s="194"/>
      <c r="BX142" s="123"/>
      <c r="BY142" s="195"/>
      <c r="BZ142" s="194"/>
      <c r="CA142" s="123"/>
      <c r="CB142" s="195"/>
      <c r="CC142" s="194"/>
      <c r="CD142" s="123"/>
      <c r="CE142" s="195"/>
      <c r="CF142" s="194"/>
      <c r="CG142" s="123"/>
      <c r="CH142" s="195"/>
      <c r="CI142" s="194"/>
      <c r="CJ142" s="123"/>
      <c r="CK142" s="195"/>
      <c r="CL142" s="194"/>
      <c r="CM142" s="123"/>
      <c r="CN142" s="195"/>
      <c r="CO142" s="194"/>
      <c r="CP142" s="123"/>
      <c r="CQ142" s="195"/>
      <c r="CR142" s="194"/>
      <c r="CS142" s="123"/>
      <c r="CT142" s="195"/>
      <c r="CU142" s="194"/>
      <c r="CV142" s="123"/>
      <c r="CW142" s="195"/>
      <c r="CX142" s="194"/>
      <c r="CY142" s="123"/>
      <c r="CZ142" s="195"/>
      <c r="DA142" s="194"/>
      <c r="DB142" s="123"/>
      <c r="DC142" s="195"/>
      <c r="DD142" s="194"/>
      <c r="DE142" s="123"/>
      <c r="DF142" s="195"/>
      <c r="DH142" s="311"/>
      <c r="DI142" s="311"/>
      <c r="DJ142" s="311"/>
      <c r="DK142" s="311"/>
      <c r="DL142" s="321"/>
      <c r="DM142" s="321"/>
      <c r="DN142" s="321"/>
      <c r="DO142" s="321"/>
      <c r="DP142" s="321"/>
      <c r="DQ142" s="321"/>
      <c r="DR142" s="321"/>
      <c r="DS142" s="321"/>
    </row>
    <row r="143" spans="1:123" ht="7.4" customHeight="1" x14ac:dyDescent="0.5">
      <c r="A143" s="42"/>
      <c r="B143" s="42"/>
      <c r="C143" s="311">
        <f>C139+1</f>
        <v>7</v>
      </c>
      <c r="D143" s="311"/>
      <c r="E143" s="41"/>
      <c r="F143" s="42"/>
      <c r="G143" s="319" t="str">
        <f>IF(AL143=0,"N/A","AXE_WS_8"&amp;"_SS")</f>
        <v>AXE_WS_8_SS</v>
      </c>
      <c r="H143" s="319"/>
      <c r="I143" s="319"/>
      <c r="J143" s="319"/>
      <c r="K143" s="319"/>
      <c r="L143" s="319"/>
      <c r="M143" s="319"/>
      <c r="N143" s="319"/>
      <c r="O143" s="319"/>
      <c r="P143" s="319"/>
      <c r="Q143" s="319"/>
      <c r="R143" s="320"/>
      <c r="S143" s="42"/>
      <c r="T143" s="405" t="str">
        <f>VLOOKUP(G143,PL!$B$9:$BH$1265,14,FALSE)</f>
        <v>Spring Washer</v>
      </c>
      <c r="U143" s="405"/>
      <c r="V143" s="405"/>
      <c r="W143" s="405"/>
      <c r="X143" s="405"/>
      <c r="Y143" s="405"/>
      <c r="Z143" s="405"/>
      <c r="AA143" s="405"/>
      <c r="AB143" s="405"/>
      <c r="AC143" s="405"/>
      <c r="AD143" s="405"/>
      <c r="AE143" s="405"/>
      <c r="AF143" s="405"/>
      <c r="AG143" s="405"/>
      <c r="AH143" s="405"/>
      <c r="AI143" s="405"/>
      <c r="AJ143" s="411"/>
      <c r="AK143" s="42"/>
      <c r="AL143" s="311">
        <f>ROUND(SUM(BK143:DF143)*(1+$BF$72),0)</f>
        <v>416</v>
      </c>
      <c r="AM143" s="311"/>
      <c r="AN143" s="311"/>
      <c r="AO143" s="311"/>
      <c r="AP143" s="43"/>
      <c r="AQ143" s="111"/>
      <c r="AR143" s="308" t="str">
        <f>VLOOKUP(G143,PL!$B$9:$BH$818,52,FALSE)</f>
        <v>SOL-5951</v>
      </c>
      <c r="AS143" s="309"/>
      <c r="AT143" s="309"/>
      <c r="AU143" s="309"/>
      <c r="AV143" s="309"/>
      <c r="AW143" s="309"/>
      <c r="AX143" s="309"/>
      <c r="AY143" s="309"/>
      <c r="AZ143" s="309"/>
      <c r="BA143" s="309"/>
      <c r="BB143" s="309"/>
      <c r="BC143" s="309"/>
      <c r="BD143" s="309"/>
      <c r="BE143" s="309"/>
      <c r="BF143" s="309"/>
      <c r="BG143" s="309"/>
      <c r="BH143" s="124"/>
      <c r="BI143" s="41"/>
      <c r="BK143" s="412">
        <f>BK139+BK135</f>
        <v>400</v>
      </c>
      <c r="BL143" s="413"/>
      <c r="BM143" s="414"/>
      <c r="BN143" s="412">
        <f>BN139+BN135</f>
        <v>0</v>
      </c>
      <c r="BO143" s="413"/>
      <c r="BP143" s="414"/>
      <c r="BQ143" s="412">
        <f>BQ139+BQ135</f>
        <v>0</v>
      </c>
      <c r="BR143" s="413"/>
      <c r="BS143" s="414"/>
      <c r="BT143" s="412">
        <f>BT139+BT135</f>
        <v>0</v>
      </c>
      <c r="BU143" s="413"/>
      <c r="BV143" s="414"/>
      <c r="BW143" s="412">
        <f>BW139+BW135</f>
        <v>0</v>
      </c>
      <c r="BX143" s="413"/>
      <c r="BY143" s="414"/>
      <c r="BZ143" s="412">
        <f>BZ139+BZ135</f>
        <v>0</v>
      </c>
      <c r="CA143" s="413"/>
      <c r="CB143" s="414"/>
      <c r="CC143" s="412">
        <f>CC139+CC135</f>
        <v>0</v>
      </c>
      <c r="CD143" s="413"/>
      <c r="CE143" s="414"/>
      <c r="CF143" s="412">
        <f>CF139+CF135</f>
        <v>0</v>
      </c>
      <c r="CG143" s="413"/>
      <c r="CH143" s="414"/>
      <c r="CI143" s="412">
        <f>CI139+CI135</f>
        <v>0</v>
      </c>
      <c r="CJ143" s="413"/>
      <c r="CK143" s="414"/>
      <c r="CL143" s="412">
        <f>CL139+CL135</f>
        <v>0</v>
      </c>
      <c r="CM143" s="413"/>
      <c r="CN143" s="414"/>
      <c r="CO143" s="412">
        <f>CO139+CO135</f>
        <v>0</v>
      </c>
      <c r="CP143" s="413"/>
      <c r="CQ143" s="414"/>
      <c r="CR143" s="412">
        <f>CR139+CR135</f>
        <v>0</v>
      </c>
      <c r="CS143" s="413"/>
      <c r="CT143" s="414"/>
      <c r="CU143" s="412">
        <f>CU139+CU135</f>
        <v>0</v>
      </c>
      <c r="CV143" s="413"/>
      <c r="CW143" s="414"/>
      <c r="CX143" s="412">
        <f>CX139+CX135</f>
        <v>0</v>
      </c>
      <c r="CY143" s="413"/>
      <c r="CZ143" s="414"/>
      <c r="DA143" s="412">
        <f>DA139+DA135</f>
        <v>0</v>
      </c>
      <c r="DB143" s="413"/>
      <c r="DC143" s="414"/>
      <c r="DD143" s="412">
        <f>DD139+DD135</f>
        <v>0</v>
      </c>
      <c r="DE143" s="413"/>
      <c r="DF143" s="414"/>
      <c r="DH143" s="311"/>
      <c r="DI143" s="311"/>
      <c r="DJ143" s="311"/>
      <c r="DK143" s="311"/>
      <c r="DL143" s="321"/>
      <c r="DM143" s="321"/>
      <c r="DN143" s="321"/>
      <c r="DO143" s="321"/>
      <c r="DP143" s="321"/>
      <c r="DQ143" s="321"/>
      <c r="DR143" s="321"/>
      <c r="DS143" s="321"/>
    </row>
    <row r="144" spans="1:123" ht="7.4" customHeight="1" x14ac:dyDescent="0.5">
      <c r="A144" s="42"/>
      <c r="B144" s="42"/>
      <c r="C144" s="311"/>
      <c r="D144" s="311"/>
      <c r="E144" s="41"/>
      <c r="F144" s="42"/>
      <c r="G144" s="319"/>
      <c r="H144" s="319"/>
      <c r="I144" s="319"/>
      <c r="J144" s="319"/>
      <c r="K144" s="319"/>
      <c r="L144" s="319"/>
      <c r="M144" s="319"/>
      <c r="N144" s="319"/>
      <c r="O144" s="319"/>
      <c r="P144" s="319"/>
      <c r="Q144" s="319"/>
      <c r="R144" s="320"/>
      <c r="S144" s="42"/>
      <c r="T144" s="405"/>
      <c r="U144" s="405"/>
      <c r="V144" s="405"/>
      <c r="W144" s="405"/>
      <c r="X144" s="405"/>
      <c r="Y144" s="405"/>
      <c r="Z144" s="405"/>
      <c r="AA144" s="405"/>
      <c r="AB144" s="405"/>
      <c r="AC144" s="405"/>
      <c r="AD144" s="405"/>
      <c r="AE144" s="405"/>
      <c r="AF144" s="405"/>
      <c r="AG144" s="405"/>
      <c r="AH144" s="405"/>
      <c r="AI144" s="405"/>
      <c r="AJ144" s="411"/>
      <c r="AK144" s="42"/>
      <c r="AL144" s="311"/>
      <c r="AM144" s="311"/>
      <c r="AN144" s="311"/>
      <c r="AO144" s="311"/>
      <c r="AP144" s="43"/>
      <c r="AQ144" s="111"/>
      <c r="AR144" s="309"/>
      <c r="AS144" s="309"/>
      <c r="AT144" s="309"/>
      <c r="AU144" s="309"/>
      <c r="AV144" s="309"/>
      <c r="AW144" s="309"/>
      <c r="AX144" s="309"/>
      <c r="AY144" s="309"/>
      <c r="AZ144" s="309"/>
      <c r="BA144" s="309"/>
      <c r="BB144" s="309"/>
      <c r="BC144" s="309"/>
      <c r="BD144" s="309"/>
      <c r="BE144" s="309"/>
      <c r="BF144" s="309"/>
      <c r="BG144" s="309"/>
      <c r="BH144" s="124"/>
      <c r="BI144" s="41"/>
      <c r="BK144" s="412"/>
      <c r="BL144" s="413"/>
      <c r="BM144" s="414"/>
      <c r="BN144" s="412"/>
      <c r="BO144" s="413"/>
      <c r="BP144" s="414"/>
      <c r="BQ144" s="412"/>
      <c r="BR144" s="413"/>
      <c r="BS144" s="414"/>
      <c r="BT144" s="412"/>
      <c r="BU144" s="413"/>
      <c r="BV144" s="414"/>
      <c r="BW144" s="412"/>
      <c r="BX144" s="413"/>
      <c r="BY144" s="414"/>
      <c r="BZ144" s="412"/>
      <c r="CA144" s="413"/>
      <c r="CB144" s="414"/>
      <c r="CC144" s="412"/>
      <c r="CD144" s="413"/>
      <c r="CE144" s="414"/>
      <c r="CF144" s="412"/>
      <c r="CG144" s="413"/>
      <c r="CH144" s="414"/>
      <c r="CI144" s="412"/>
      <c r="CJ144" s="413"/>
      <c r="CK144" s="414"/>
      <c r="CL144" s="412"/>
      <c r="CM144" s="413"/>
      <c r="CN144" s="414"/>
      <c r="CO144" s="412"/>
      <c r="CP144" s="413"/>
      <c r="CQ144" s="414"/>
      <c r="CR144" s="412"/>
      <c r="CS144" s="413"/>
      <c r="CT144" s="414"/>
      <c r="CU144" s="412"/>
      <c r="CV144" s="413"/>
      <c r="CW144" s="414"/>
      <c r="CX144" s="412"/>
      <c r="CY144" s="413"/>
      <c r="CZ144" s="414"/>
      <c r="DA144" s="412"/>
      <c r="DB144" s="413"/>
      <c r="DC144" s="414"/>
      <c r="DD144" s="412"/>
      <c r="DE144" s="413"/>
      <c r="DF144" s="414"/>
      <c r="DH144" s="311"/>
      <c r="DI144" s="311"/>
      <c r="DJ144" s="311"/>
      <c r="DK144" s="311"/>
      <c r="DL144" s="321"/>
      <c r="DM144" s="321"/>
      <c r="DN144" s="321"/>
      <c r="DO144" s="321"/>
      <c r="DP144" s="321"/>
      <c r="DQ144" s="321"/>
      <c r="DR144" s="321"/>
      <c r="DS144" s="321"/>
    </row>
    <row r="145" spans="1:123" ht="7.4" customHeight="1" x14ac:dyDescent="0.5">
      <c r="A145" s="42"/>
      <c r="B145" s="42"/>
      <c r="C145" s="333"/>
      <c r="D145" s="333"/>
      <c r="E145" s="41"/>
      <c r="F145" s="42"/>
      <c r="G145" s="56"/>
      <c r="H145" s="56"/>
      <c r="I145" s="56"/>
      <c r="J145" s="56"/>
      <c r="K145" s="56"/>
      <c r="L145" s="56"/>
      <c r="M145" s="56"/>
      <c r="N145" s="56"/>
      <c r="O145" s="56"/>
      <c r="P145" s="56"/>
      <c r="Q145" s="56"/>
      <c r="R145" s="126"/>
      <c r="S145" s="42"/>
      <c r="T145" s="116" t="str">
        <f>VLOOKUP(G143,PL!$B$9:$BH$1265,33,FALSE)</f>
        <v>Stainless Steel, M8</v>
      </c>
      <c r="AJ145" s="41"/>
      <c r="AK145" s="42"/>
      <c r="AL145" s="311"/>
      <c r="AM145" s="311"/>
      <c r="AN145" s="311"/>
      <c r="AO145" s="311"/>
      <c r="AP145" s="43"/>
      <c r="AQ145" s="42"/>
      <c r="AR145" s="46"/>
      <c r="AS145" s="46"/>
      <c r="AT145" s="46"/>
      <c r="AU145" s="46"/>
      <c r="AV145" s="46"/>
      <c r="AW145" s="46"/>
      <c r="AX145" s="105"/>
      <c r="AY145" s="79"/>
      <c r="AZ145" s="119"/>
      <c r="BA145" s="119"/>
      <c r="BB145" s="119"/>
      <c r="BC145" s="119"/>
      <c r="BD145" s="119"/>
      <c r="BE145" s="119"/>
      <c r="BF145" s="119"/>
      <c r="BG145" s="119"/>
      <c r="BH145" s="124"/>
      <c r="BI145" s="41"/>
      <c r="BK145" s="194"/>
      <c r="BL145" s="123"/>
      <c r="BM145" s="195"/>
      <c r="BN145" s="194"/>
      <c r="BO145" s="123"/>
      <c r="BP145" s="195"/>
      <c r="BQ145" s="194"/>
      <c r="BR145" s="123"/>
      <c r="BS145" s="195"/>
      <c r="BT145" s="194"/>
      <c r="BU145" s="123"/>
      <c r="BV145" s="195"/>
      <c r="BW145" s="194"/>
      <c r="BX145" s="123"/>
      <c r="BY145" s="195"/>
      <c r="BZ145" s="194"/>
      <c r="CA145" s="123"/>
      <c r="CB145" s="195"/>
      <c r="CC145" s="194"/>
      <c r="CD145" s="123"/>
      <c r="CE145" s="195"/>
      <c r="CF145" s="194"/>
      <c r="CG145" s="123"/>
      <c r="CH145" s="195"/>
      <c r="CI145" s="194"/>
      <c r="CJ145" s="123"/>
      <c r="CK145" s="195"/>
      <c r="CL145" s="194"/>
      <c r="CM145" s="123"/>
      <c r="CN145" s="195"/>
      <c r="CO145" s="194"/>
      <c r="CP145" s="123"/>
      <c r="CQ145" s="195"/>
      <c r="CR145" s="194"/>
      <c r="CS145" s="123"/>
      <c r="CT145" s="195"/>
      <c r="CU145" s="194"/>
      <c r="CV145" s="123"/>
      <c r="CW145" s="195"/>
      <c r="CX145" s="194"/>
      <c r="CY145" s="123"/>
      <c r="CZ145" s="195"/>
      <c r="DA145" s="194"/>
      <c r="DB145" s="123"/>
      <c r="DC145" s="195"/>
      <c r="DD145" s="194"/>
      <c r="DE145" s="123"/>
      <c r="DF145" s="195"/>
      <c r="DH145" s="311"/>
      <c r="DI145" s="311"/>
      <c r="DJ145" s="311"/>
      <c r="DK145" s="311"/>
      <c r="DL145" s="321"/>
      <c r="DM145" s="321"/>
      <c r="DN145" s="321"/>
      <c r="DO145" s="321"/>
      <c r="DP145" s="321"/>
      <c r="DQ145" s="321"/>
      <c r="DR145" s="321"/>
      <c r="DS145" s="321"/>
    </row>
    <row r="146" spans="1:123" ht="7.4" customHeight="1" x14ac:dyDescent="0.5">
      <c r="A146" s="42"/>
      <c r="B146" s="42"/>
      <c r="C146" s="333"/>
      <c r="D146" s="333"/>
      <c r="E146" s="41"/>
      <c r="F146" s="42"/>
      <c r="G146" s="56"/>
      <c r="H146" s="56"/>
      <c r="I146" s="56"/>
      <c r="J146" s="56"/>
      <c r="K146" s="56"/>
      <c r="L146" s="56"/>
      <c r="M146" s="56"/>
      <c r="N146" s="56"/>
      <c r="O146" s="56"/>
      <c r="P146" s="56"/>
      <c r="Q146" s="56"/>
      <c r="R146" s="126"/>
      <c r="S146" s="42"/>
      <c r="AJ146" s="41"/>
      <c r="AK146" s="42"/>
      <c r="AL146" s="311"/>
      <c r="AM146" s="311"/>
      <c r="AN146" s="311"/>
      <c r="AO146" s="311"/>
      <c r="AP146" s="43"/>
      <c r="AQ146" s="42"/>
      <c r="AR146" s="46"/>
      <c r="AS146" s="46"/>
      <c r="AT146" s="46"/>
      <c r="AU146" s="46"/>
      <c r="AV146" s="46"/>
      <c r="AW146" s="46"/>
      <c r="AX146" s="105"/>
      <c r="AY146" s="79"/>
      <c r="AZ146" s="119"/>
      <c r="BA146" s="119"/>
      <c r="BB146" s="119"/>
      <c r="BC146" s="119"/>
      <c r="BD146" s="119"/>
      <c r="BE146" s="119"/>
      <c r="BF146" s="119"/>
      <c r="BG146" s="119"/>
      <c r="BH146" s="124"/>
      <c r="BI146" s="41"/>
      <c r="BK146" s="194"/>
      <c r="BL146" s="123"/>
      <c r="BM146" s="195"/>
      <c r="BN146" s="194"/>
      <c r="BO146" s="123"/>
      <c r="BP146" s="195"/>
      <c r="BQ146" s="194"/>
      <c r="BR146" s="123"/>
      <c r="BS146" s="195"/>
      <c r="BT146" s="194"/>
      <c r="BU146" s="123"/>
      <c r="BV146" s="195"/>
      <c r="BW146" s="194"/>
      <c r="BX146" s="123"/>
      <c r="BY146" s="195"/>
      <c r="BZ146" s="194"/>
      <c r="CA146" s="123"/>
      <c r="CB146" s="195"/>
      <c r="CC146" s="194"/>
      <c r="CD146" s="123"/>
      <c r="CE146" s="195"/>
      <c r="CF146" s="194"/>
      <c r="CG146" s="123"/>
      <c r="CH146" s="195"/>
      <c r="CI146" s="194"/>
      <c r="CJ146" s="123"/>
      <c r="CK146" s="195"/>
      <c r="CL146" s="194"/>
      <c r="CM146" s="123"/>
      <c r="CN146" s="195"/>
      <c r="CO146" s="194"/>
      <c r="CP146" s="123"/>
      <c r="CQ146" s="195"/>
      <c r="CR146" s="194"/>
      <c r="CS146" s="123"/>
      <c r="CT146" s="195"/>
      <c r="CU146" s="194"/>
      <c r="CV146" s="123"/>
      <c r="CW146" s="195"/>
      <c r="CX146" s="194"/>
      <c r="CY146" s="123"/>
      <c r="CZ146" s="195"/>
      <c r="DA146" s="194"/>
      <c r="DB146" s="123"/>
      <c r="DC146" s="195"/>
      <c r="DD146" s="194"/>
      <c r="DE146" s="123"/>
      <c r="DF146" s="195"/>
      <c r="DH146" s="311"/>
      <c r="DI146" s="311"/>
      <c r="DJ146" s="311"/>
      <c r="DK146" s="311"/>
      <c r="DL146" s="321"/>
      <c r="DM146" s="321"/>
      <c r="DN146" s="321"/>
      <c r="DO146" s="321"/>
      <c r="DP146" s="321"/>
      <c r="DQ146" s="321"/>
      <c r="DR146" s="321"/>
      <c r="DS146" s="321"/>
    </row>
    <row r="147" spans="1:123" ht="7.4" customHeight="1" x14ac:dyDescent="0.5">
      <c r="A147" s="42"/>
      <c r="B147" s="42"/>
      <c r="C147" s="311">
        <f>C143+1</f>
        <v>8</v>
      </c>
      <c r="D147" s="311"/>
      <c r="E147" s="41"/>
      <c r="F147" s="42"/>
      <c r="G147" s="319" t="str">
        <f>IF(AL147=0,"N/A","AXE_NHF_8_SS")</f>
        <v>AXE_NHF_8_SS</v>
      </c>
      <c r="H147" s="319"/>
      <c r="I147" s="319"/>
      <c r="J147" s="319"/>
      <c r="K147" s="319"/>
      <c r="L147" s="319"/>
      <c r="M147" s="319"/>
      <c r="N147" s="319"/>
      <c r="O147" s="319"/>
      <c r="P147" s="319"/>
      <c r="Q147" s="319"/>
      <c r="R147" s="320"/>
      <c r="S147" s="42"/>
      <c r="T147" s="405" t="str">
        <f>VLOOKUP(G147,PL!$B$9:$BH$1265,14,FALSE)</f>
        <v>Hex Flange Nut</v>
      </c>
      <c r="U147" s="405"/>
      <c r="V147" s="405"/>
      <c r="W147" s="405"/>
      <c r="X147" s="405"/>
      <c r="Y147" s="405"/>
      <c r="Z147" s="405"/>
      <c r="AA147" s="405"/>
      <c r="AB147" s="405"/>
      <c r="AC147" s="405"/>
      <c r="AD147" s="405"/>
      <c r="AE147" s="405"/>
      <c r="AF147" s="405"/>
      <c r="AG147" s="405"/>
      <c r="AH147" s="405"/>
      <c r="AI147" s="405"/>
      <c r="AJ147" s="411"/>
      <c r="AK147" s="42"/>
      <c r="AL147" s="311">
        <f>ROUND(SUM(BK147:DF147)*(1+$BF$72),0)</f>
        <v>416</v>
      </c>
      <c r="AM147" s="311"/>
      <c r="AN147" s="311"/>
      <c r="AO147" s="311"/>
      <c r="AP147" s="43"/>
      <c r="AQ147" s="111"/>
      <c r="AR147" s="308" t="str">
        <f>VLOOKUP(G147,PL!$B$9:$BH$818,52,FALSE)</f>
        <v>SOL-59530</v>
      </c>
      <c r="AS147" s="309"/>
      <c r="AT147" s="309"/>
      <c r="AU147" s="309"/>
      <c r="AV147" s="309"/>
      <c r="AW147" s="309"/>
      <c r="AX147" s="309"/>
      <c r="AY147" s="309"/>
      <c r="AZ147" s="309"/>
      <c r="BA147" s="309"/>
      <c r="BB147" s="309"/>
      <c r="BC147" s="309"/>
      <c r="BD147" s="309"/>
      <c r="BE147" s="309"/>
      <c r="BF147" s="309"/>
      <c r="BG147" s="309"/>
      <c r="BH147" s="124"/>
      <c r="BI147" s="41"/>
      <c r="BK147" s="412">
        <f>BK135</f>
        <v>400</v>
      </c>
      <c r="BL147" s="413"/>
      <c r="BM147" s="414"/>
      <c r="BN147" s="412">
        <f>BN135</f>
        <v>0</v>
      </c>
      <c r="BO147" s="413"/>
      <c r="BP147" s="414"/>
      <c r="BQ147" s="412">
        <f>BQ135</f>
        <v>0</v>
      </c>
      <c r="BR147" s="413"/>
      <c r="BS147" s="414"/>
      <c r="BT147" s="412">
        <f>BT135</f>
        <v>0</v>
      </c>
      <c r="BU147" s="413"/>
      <c r="BV147" s="414"/>
      <c r="BW147" s="412">
        <f>BW135</f>
        <v>0</v>
      </c>
      <c r="BX147" s="413"/>
      <c r="BY147" s="414"/>
      <c r="BZ147" s="412">
        <f>BZ135</f>
        <v>0</v>
      </c>
      <c r="CA147" s="413"/>
      <c r="CB147" s="414"/>
      <c r="CC147" s="412">
        <f>CC135</f>
        <v>0</v>
      </c>
      <c r="CD147" s="413"/>
      <c r="CE147" s="414"/>
      <c r="CF147" s="412">
        <f>CF135</f>
        <v>0</v>
      </c>
      <c r="CG147" s="413"/>
      <c r="CH147" s="414"/>
      <c r="CI147" s="412">
        <f>CI135</f>
        <v>0</v>
      </c>
      <c r="CJ147" s="413"/>
      <c r="CK147" s="414"/>
      <c r="CL147" s="412">
        <f>CL135</f>
        <v>0</v>
      </c>
      <c r="CM147" s="413"/>
      <c r="CN147" s="414"/>
      <c r="CO147" s="412">
        <f>CO135</f>
        <v>0</v>
      </c>
      <c r="CP147" s="413"/>
      <c r="CQ147" s="414"/>
      <c r="CR147" s="412">
        <f>CR135</f>
        <v>0</v>
      </c>
      <c r="CS147" s="413"/>
      <c r="CT147" s="414"/>
      <c r="CU147" s="412">
        <f>CU135</f>
        <v>0</v>
      </c>
      <c r="CV147" s="413"/>
      <c r="CW147" s="414"/>
      <c r="CX147" s="412">
        <f>CX135</f>
        <v>0</v>
      </c>
      <c r="CY147" s="413"/>
      <c r="CZ147" s="414"/>
      <c r="DA147" s="412">
        <f>DA135</f>
        <v>0</v>
      </c>
      <c r="DB147" s="413"/>
      <c r="DC147" s="414"/>
      <c r="DD147" s="412">
        <f>DD135</f>
        <v>0</v>
      </c>
      <c r="DE147" s="413"/>
      <c r="DF147" s="414"/>
      <c r="DH147" s="311"/>
      <c r="DI147" s="311"/>
      <c r="DJ147" s="311"/>
      <c r="DK147" s="311"/>
      <c r="DL147" s="321"/>
      <c r="DM147" s="321"/>
      <c r="DN147" s="321"/>
      <c r="DO147" s="321"/>
      <c r="DP147" s="321"/>
      <c r="DQ147" s="321"/>
      <c r="DR147" s="321"/>
      <c r="DS147" s="321"/>
    </row>
    <row r="148" spans="1:123" ht="7.4" customHeight="1" x14ac:dyDescent="0.5">
      <c r="A148" s="42"/>
      <c r="B148" s="42"/>
      <c r="C148" s="311"/>
      <c r="D148" s="311"/>
      <c r="E148" s="41"/>
      <c r="F148" s="42"/>
      <c r="G148" s="319"/>
      <c r="H148" s="319"/>
      <c r="I148" s="319"/>
      <c r="J148" s="319"/>
      <c r="K148" s="319"/>
      <c r="L148" s="319"/>
      <c r="M148" s="319"/>
      <c r="N148" s="319"/>
      <c r="O148" s="319"/>
      <c r="P148" s="319"/>
      <c r="Q148" s="319"/>
      <c r="R148" s="320"/>
      <c r="S148" s="42"/>
      <c r="T148" s="405"/>
      <c r="U148" s="405"/>
      <c r="V148" s="405"/>
      <c r="W148" s="405"/>
      <c r="X148" s="405"/>
      <c r="Y148" s="405"/>
      <c r="Z148" s="405"/>
      <c r="AA148" s="405"/>
      <c r="AB148" s="405"/>
      <c r="AC148" s="405"/>
      <c r="AD148" s="405"/>
      <c r="AE148" s="405"/>
      <c r="AF148" s="405"/>
      <c r="AG148" s="405"/>
      <c r="AH148" s="405"/>
      <c r="AI148" s="405"/>
      <c r="AJ148" s="411"/>
      <c r="AK148" s="42"/>
      <c r="AL148" s="311"/>
      <c r="AM148" s="311"/>
      <c r="AN148" s="311"/>
      <c r="AO148" s="311"/>
      <c r="AP148" s="43"/>
      <c r="AQ148" s="111"/>
      <c r="AR148" s="309"/>
      <c r="AS148" s="309"/>
      <c r="AT148" s="309"/>
      <c r="AU148" s="309"/>
      <c r="AV148" s="309"/>
      <c r="AW148" s="309"/>
      <c r="AX148" s="309"/>
      <c r="AY148" s="309"/>
      <c r="AZ148" s="309"/>
      <c r="BA148" s="309"/>
      <c r="BB148" s="309"/>
      <c r="BC148" s="309"/>
      <c r="BD148" s="309"/>
      <c r="BE148" s="309"/>
      <c r="BF148" s="309"/>
      <c r="BG148" s="309"/>
      <c r="BH148" s="124"/>
      <c r="BI148" s="41"/>
      <c r="BK148" s="412"/>
      <c r="BL148" s="413"/>
      <c r="BM148" s="414"/>
      <c r="BN148" s="412"/>
      <c r="BO148" s="413"/>
      <c r="BP148" s="414"/>
      <c r="BQ148" s="412"/>
      <c r="BR148" s="413"/>
      <c r="BS148" s="414"/>
      <c r="BT148" s="412"/>
      <c r="BU148" s="413"/>
      <c r="BV148" s="414"/>
      <c r="BW148" s="412"/>
      <c r="BX148" s="413"/>
      <c r="BY148" s="414"/>
      <c r="BZ148" s="412"/>
      <c r="CA148" s="413"/>
      <c r="CB148" s="414"/>
      <c r="CC148" s="412"/>
      <c r="CD148" s="413"/>
      <c r="CE148" s="414"/>
      <c r="CF148" s="412"/>
      <c r="CG148" s="413"/>
      <c r="CH148" s="414"/>
      <c r="CI148" s="412"/>
      <c r="CJ148" s="413"/>
      <c r="CK148" s="414"/>
      <c r="CL148" s="412"/>
      <c r="CM148" s="413"/>
      <c r="CN148" s="414"/>
      <c r="CO148" s="412"/>
      <c r="CP148" s="413"/>
      <c r="CQ148" s="414"/>
      <c r="CR148" s="412"/>
      <c r="CS148" s="413"/>
      <c r="CT148" s="414"/>
      <c r="CU148" s="412"/>
      <c r="CV148" s="413"/>
      <c r="CW148" s="414"/>
      <c r="CX148" s="412"/>
      <c r="CY148" s="413"/>
      <c r="CZ148" s="414"/>
      <c r="DA148" s="412"/>
      <c r="DB148" s="413"/>
      <c r="DC148" s="414"/>
      <c r="DD148" s="412"/>
      <c r="DE148" s="413"/>
      <c r="DF148" s="414"/>
      <c r="DH148" s="311"/>
      <c r="DI148" s="311"/>
      <c r="DJ148" s="311"/>
      <c r="DK148" s="311"/>
      <c r="DL148" s="321"/>
      <c r="DM148" s="321"/>
      <c r="DN148" s="321"/>
      <c r="DO148" s="321"/>
      <c r="DP148" s="321"/>
      <c r="DQ148" s="321"/>
      <c r="DR148" s="321"/>
      <c r="DS148" s="321"/>
    </row>
    <row r="149" spans="1:123" ht="7.4" customHeight="1" x14ac:dyDescent="0.5">
      <c r="A149" s="42"/>
      <c r="B149" s="42"/>
      <c r="C149" s="333"/>
      <c r="D149" s="333"/>
      <c r="E149" s="41"/>
      <c r="F149" s="42"/>
      <c r="G149" s="56"/>
      <c r="H149" s="56"/>
      <c r="I149" s="56"/>
      <c r="J149" s="56"/>
      <c r="K149" s="56"/>
      <c r="L149" s="56"/>
      <c r="M149" s="56"/>
      <c r="N149" s="56"/>
      <c r="O149" s="56"/>
      <c r="P149" s="56"/>
      <c r="Q149" s="56"/>
      <c r="R149" s="126"/>
      <c r="S149" s="42"/>
      <c r="T149" s="116" t="str">
        <f>VLOOKUP(G147,PL!$B$9:$BH$1265,33,FALSE)</f>
        <v>Stainless Steel, M8</v>
      </c>
      <c r="AJ149" s="41"/>
      <c r="AK149" s="42"/>
      <c r="AL149" s="311"/>
      <c r="AM149" s="311"/>
      <c r="AN149" s="311"/>
      <c r="AO149" s="311"/>
      <c r="AP149" s="43"/>
      <c r="AQ149" s="42"/>
      <c r="AR149" s="46"/>
      <c r="AS149" s="46"/>
      <c r="AT149" s="46"/>
      <c r="AU149" s="46"/>
      <c r="AV149" s="46"/>
      <c r="AW149" s="46"/>
      <c r="AX149" s="105"/>
      <c r="AY149" s="79"/>
      <c r="AZ149" s="119"/>
      <c r="BA149" s="119"/>
      <c r="BB149" s="119"/>
      <c r="BC149" s="119"/>
      <c r="BD149" s="119"/>
      <c r="BE149" s="119"/>
      <c r="BF149" s="119"/>
      <c r="BG149" s="119"/>
      <c r="BH149" s="124"/>
      <c r="BI149" s="41"/>
      <c r="BK149" s="194"/>
      <c r="BL149" s="123"/>
      <c r="BM149" s="195"/>
      <c r="BN149" s="194"/>
      <c r="BO149" s="123"/>
      <c r="BP149" s="195"/>
      <c r="BQ149" s="194"/>
      <c r="BR149" s="123"/>
      <c r="BS149" s="195"/>
      <c r="BT149" s="194"/>
      <c r="BU149" s="123"/>
      <c r="BV149" s="195"/>
      <c r="BW149" s="194"/>
      <c r="BX149" s="123"/>
      <c r="BY149" s="195"/>
      <c r="BZ149" s="194"/>
      <c r="CA149" s="123"/>
      <c r="CB149" s="195"/>
      <c r="CC149" s="194"/>
      <c r="CD149" s="123"/>
      <c r="CE149" s="195"/>
      <c r="CF149" s="194"/>
      <c r="CG149" s="123"/>
      <c r="CH149" s="195"/>
      <c r="CI149" s="194"/>
      <c r="CJ149" s="123"/>
      <c r="CK149" s="195"/>
      <c r="CL149" s="194"/>
      <c r="CM149" s="123"/>
      <c r="CN149" s="195"/>
      <c r="CO149" s="194"/>
      <c r="CP149" s="123"/>
      <c r="CQ149" s="195"/>
      <c r="CR149" s="194"/>
      <c r="CS149" s="123"/>
      <c r="CT149" s="195"/>
      <c r="CU149" s="194"/>
      <c r="CV149" s="123"/>
      <c r="CW149" s="195"/>
      <c r="CX149" s="194"/>
      <c r="CY149" s="123"/>
      <c r="CZ149" s="195"/>
      <c r="DA149" s="194"/>
      <c r="DB149" s="123"/>
      <c r="DC149" s="195"/>
      <c r="DD149" s="194"/>
      <c r="DE149" s="123"/>
      <c r="DF149" s="195"/>
      <c r="DH149" s="311"/>
      <c r="DI149" s="311"/>
      <c r="DJ149" s="311"/>
      <c r="DK149" s="311"/>
      <c r="DL149" s="321"/>
      <c r="DM149" s="321"/>
      <c r="DN149" s="321"/>
      <c r="DO149" s="321"/>
      <c r="DP149" s="321"/>
      <c r="DQ149" s="321"/>
      <c r="DR149" s="321"/>
      <c r="DS149" s="321"/>
    </row>
    <row r="150" spans="1:123" ht="7.4" customHeight="1" x14ac:dyDescent="0.5">
      <c r="A150" s="42"/>
      <c r="B150" s="42"/>
      <c r="C150" s="333"/>
      <c r="D150" s="333"/>
      <c r="E150" s="41"/>
      <c r="F150" s="42"/>
      <c r="G150" s="56"/>
      <c r="H150" s="56"/>
      <c r="I150" s="56"/>
      <c r="J150" s="56"/>
      <c r="K150" s="56"/>
      <c r="L150" s="56"/>
      <c r="M150" s="56"/>
      <c r="N150" s="56"/>
      <c r="O150" s="56"/>
      <c r="P150" s="56"/>
      <c r="Q150" s="56"/>
      <c r="R150" s="126"/>
      <c r="S150" s="42"/>
      <c r="AJ150" s="41"/>
      <c r="AK150" s="42"/>
      <c r="AL150" s="311"/>
      <c r="AM150" s="311"/>
      <c r="AN150" s="311"/>
      <c r="AO150" s="311"/>
      <c r="AP150" s="43"/>
      <c r="AQ150" s="42"/>
      <c r="AR150" s="46"/>
      <c r="AS150" s="46"/>
      <c r="AT150" s="46"/>
      <c r="AU150" s="46"/>
      <c r="AV150" s="46"/>
      <c r="AW150" s="46"/>
      <c r="AX150" s="105"/>
      <c r="AY150" s="79"/>
      <c r="AZ150" s="119"/>
      <c r="BA150" s="119"/>
      <c r="BB150" s="119"/>
      <c r="BC150" s="119"/>
      <c r="BD150" s="119"/>
      <c r="BE150" s="119"/>
      <c r="BF150" s="119"/>
      <c r="BG150" s="119"/>
      <c r="BH150" s="124"/>
      <c r="BI150" s="41"/>
      <c r="BK150" s="194"/>
      <c r="BL150" s="123"/>
      <c r="BM150" s="195"/>
      <c r="BN150" s="194"/>
      <c r="BO150" s="123"/>
      <c r="BP150" s="195"/>
      <c r="BQ150" s="194"/>
      <c r="BR150" s="123"/>
      <c r="BS150" s="195"/>
      <c r="BT150" s="194"/>
      <c r="BU150" s="123"/>
      <c r="BV150" s="195"/>
      <c r="BW150" s="194"/>
      <c r="BX150" s="123"/>
      <c r="BY150" s="195"/>
      <c r="BZ150" s="194"/>
      <c r="CA150" s="123"/>
      <c r="CB150" s="195"/>
      <c r="CC150" s="194"/>
      <c r="CD150" s="123"/>
      <c r="CE150" s="195"/>
      <c r="CF150" s="194"/>
      <c r="CG150" s="123"/>
      <c r="CH150" s="195"/>
      <c r="CI150" s="194"/>
      <c r="CJ150" s="123"/>
      <c r="CK150" s="195"/>
      <c r="CL150" s="194"/>
      <c r="CM150" s="123"/>
      <c r="CN150" s="195"/>
      <c r="CO150" s="194"/>
      <c r="CP150" s="123"/>
      <c r="CQ150" s="195"/>
      <c r="CR150" s="194"/>
      <c r="CS150" s="123"/>
      <c r="CT150" s="195"/>
      <c r="CU150" s="194"/>
      <c r="CV150" s="123"/>
      <c r="CW150" s="195"/>
      <c r="CX150" s="194"/>
      <c r="CY150" s="123"/>
      <c r="CZ150" s="195"/>
      <c r="DA150" s="194"/>
      <c r="DB150" s="123"/>
      <c r="DC150" s="195"/>
      <c r="DD150" s="194"/>
      <c r="DE150" s="123"/>
      <c r="DF150" s="195"/>
      <c r="DH150" s="311"/>
      <c r="DI150" s="311"/>
      <c r="DJ150" s="311"/>
      <c r="DK150" s="311"/>
      <c r="DL150" s="321"/>
      <c r="DM150" s="321"/>
      <c r="DN150" s="321"/>
      <c r="DO150" s="321"/>
      <c r="DP150" s="321"/>
      <c r="DQ150" s="321"/>
      <c r="DR150" s="321"/>
      <c r="DS150" s="321"/>
    </row>
    <row r="151" spans="1:123" ht="7.4" customHeight="1" x14ac:dyDescent="0.5">
      <c r="A151" s="42"/>
      <c r="B151" s="42"/>
      <c r="C151" s="311">
        <f>C147+1</f>
        <v>9</v>
      </c>
      <c r="D151" s="311"/>
      <c r="E151" s="41"/>
      <c r="F151" s="42"/>
      <c r="G151" s="319" t="str">
        <f>IF(AL151=0,"N/A","AXE_NSQ_8_SS")</f>
        <v>N/A</v>
      </c>
      <c r="H151" s="319"/>
      <c r="I151" s="319"/>
      <c r="J151" s="319"/>
      <c r="K151" s="319"/>
      <c r="L151" s="319"/>
      <c r="M151" s="319"/>
      <c r="N151" s="319"/>
      <c r="O151" s="319"/>
      <c r="P151" s="319"/>
      <c r="Q151" s="319"/>
      <c r="R151" s="320"/>
      <c r="S151" s="42"/>
      <c r="T151" s="405" t="str">
        <f>VLOOKUP(G151,PL!$B$9:$BH$1265,14,FALSE)</f>
        <v>No Item</v>
      </c>
      <c r="U151" s="405"/>
      <c r="V151" s="405"/>
      <c r="W151" s="405"/>
      <c r="X151" s="405"/>
      <c r="Y151" s="405"/>
      <c r="Z151" s="405"/>
      <c r="AA151" s="405"/>
      <c r="AB151" s="405"/>
      <c r="AC151" s="405"/>
      <c r="AD151" s="405"/>
      <c r="AE151" s="405"/>
      <c r="AF151" s="405"/>
      <c r="AG151" s="405"/>
      <c r="AH151" s="405"/>
      <c r="AI151" s="405"/>
      <c r="AJ151" s="411"/>
      <c r="AK151" s="42"/>
      <c r="AL151" s="311">
        <f>ROUND(SUM(BK151:DF151)*(1+$BF$72),0)</f>
        <v>0</v>
      </c>
      <c r="AM151" s="311"/>
      <c r="AN151" s="311"/>
      <c r="AO151" s="311"/>
      <c r="AP151" s="43"/>
      <c r="AQ151" s="111"/>
      <c r="AR151" s="308" t="str">
        <f>VLOOKUP(G151,PL!$B$9:$BH$818,52,FALSE)</f>
        <v>-</v>
      </c>
      <c r="AS151" s="309"/>
      <c r="AT151" s="309"/>
      <c r="AU151" s="309"/>
      <c r="AV151" s="309"/>
      <c r="AW151" s="309"/>
      <c r="AX151" s="309"/>
      <c r="AY151" s="309"/>
      <c r="AZ151" s="309"/>
      <c r="BA151" s="309"/>
      <c r="BB151" s="309"/>
      <c r="BC151" s="309"/>
      <c r="BD151" s="309"/>
      <c r="BE151" s="309"/>
      <c r="BF151" s="309"/>
      <c r="BG151" s="309"/>
      <c r="BH151" s="124"/>
      <c r="BI151" s="41"/>
      <c r="BK151" s="412">
        <f>BK139</f>
        <v>0</v>
      </c>
      <c r="BL151" s="413"/>
      <c r="BM151" s="414"/>
      <c r="BN151" s="412">
        <f>BN139</f>
        <v>0</v>
      </c>
      <c r="BO151" s="413"/>
      <c r="BP151" s="414"/>
      <c r="BQ151" s="412">
        <f>BQ139</f>
        <v>0</v>
      </c>
      <c r="BR151" s="413"/>
      <c r="BS151" s="414"/>
      <c r="BT151" s="412">
        <f>BT139</f>
        <v>0</v>
      </c>
      <c r="BU151" s="413"/>
      <c r="BV151" s="414"/>
      <c r="BW151" s="412">
        <f>BW139</f>
        <v>0</v>
      </c>
      <c r="BX151" s="413"/>
      <c r="BY151" s="414"/>
      <c r="BZ151" s="412">
        <f>BZ139</f>
        <v>0</v>
      </c>
      <c r="CA151" s="413"/>
      <c r="CB151" s="414"/>
      <c r="CC151" s="412">
        <f>CC139</f>
        <v>0</v>
      </c>
      <c r="CD151" s="413"/>
      <c r="CE151" s="414"/>
      <c r="CF151" s="412">
        <f>CF139</f>
        <v>0</v>
      </c>
      <c r="CG151" s="413"/>
      <c r="CH151" s="414"/>
      <c r="CI151" s="412">
        <f>CI139</f>
        <v>0</v>
      </c>
      <c r="CJ151" s="413"/>
      <c r="CK151" s="414"/>
      <c r="CL151" s="412">
        <f>CL139</f>
        <v>0</v>
      </c>
      <c r="CM151" s="413"/>
      <c r="CN151" s="414"/>
      <c r="CO151" s="412">
        <f>CO139</f>
        <v>0</v>
      </c>
      <c r="CP151" s="413"/>
      <c r="CQ151" s="414"/>
      <c r="CR151" s="412">
        <f>CR139</f>
        <v>0</v>
      </c>
      <c r="CS151" s="413"/>
      <c r="CT151" s="414"/>
      <c r="CU151" s="412">
        <f>CU139</f>
        <v>0</v>
      </c>
      <c r="CV151" s="413"/>
      <c r="CW151" s="414"/>
      <c r="CX151" s="412">
        <f>CX139</f>
        <v>0</v>
      </c>
      <c r="CY151" s="413"/>
      <c r="CZ151" s="414"/>
      <c r="DA151" s="412">
        <f>DA139</f>
        <v>0</v>
      </c>
      <c r="DB151" s="413"/>
      <c r="DC151" s="414"/>
      <c r="DD151" s="412">
        <f>DD139</f>
        <v>0</v>
      </c>
      <c r="DE151" s="413"/>
      <c r="DF151" s="414"/>
      <c r="DH151" s="311"/>
      <c r="DI151" s="311"/>
      <c r="DJ151" s="311"/>
      <c r="DK151" s="311"/>
      <c r="DL151" s="321"/>
      <c r="DM151" s="321"/>
      <c r="DN151" s="321"/>
      <c r="DO151" s="321"/>
      <c r="DP151" s="321"/>
      <c r="DQ151" s="321"/>
      <c r="DR151" s="321"/>
      <c r="DS151" s="321"/>
    </row>
    <row r="152" spans="1:123" ht="7.4" customHeight="1" x14ac:dyDescent="0.5">
      <c r="A152" s="42"/>
      <c r="B152" s="42"/>
      <c r="C152" s="311"/>
      <c r="D152" s="311"/>
      <c r="E152" s="41"/>
      <c r="F152" s="42"/>
      <c r="G152" s="319"/>
      <c r="H152" s="319"/>
      <c r="I152" s="319"/>
      <c r="J152" s="319"/>
      <c r="K152" s="319"/>
      <c r="L152" s="319"/>
      <c r="M152" s="319"/>
      <c r="N152" s="319"/>
      <c r="O152" s="319"/>
      <c r="P152" s="319"/>
      <c r="Q152" s="319"/>
      <c r="R152" s="320"/>
      <c r="S152" s="42"/>
      <c r="T152" s="405"/>
      <c r="U152" s="405"/>
      <c r="V152" s="405"/>
      <c r="W152" s="405"/>
      <c r="X152" s="405"/>
      <c r="Y152" s="405"/>
      <c r="Z152" s="405"/>
      <c r="AA152" s="405"/>
      <c r="AB152" s="405"/>
      <c r="AC152" s="405"/>
      <c r="AD152" s="405"/>
      <c r="AE152" s="405"/>
      <c r="AF152" s="405"/>
      <c r="AG152" s="405"/>
      <c r="AH152" s="405"/>
      <c r="AI152" s="405"/>
      <c r="AJ152" s="411"/>
      <c r="AK152" s="42"/>
      <c r="AL152" s="311"/>
      <c r="AM152" s="311"/>
      <c r="AN152" s="311"/>
      <c r="AO152" s="311"/>
      <c r="AP152" s="43"/>
      <c r="AQ152" s="111"/>
      <c r="AR152" s="309"/>
      <c r="AS152" s="309"/>
      <c r="AT152" s="309"/>
      <c r="AU152" s="309"/>
      <c r="AV152" s="309"/>
      <c r="AW152" s="309"/>
      <c r="AX152" s="309"/>
      <c r="AY152" s="309"/>
      <c r="AZ152" s="309"/>
      <c r="BA152" s="309"/>
      <c r="BB152" s="309"/>
      <c r="BC152" s="309"/>
      <c r="BD152" s="309"/>
      <c r="BE152" s="309"/>
      <c r="BF152" s="309"/>
      <c r="BG152" s="309"/>
      <c r="BH152" s="124"/>
      <c r="BI152" s="41"/>
      <c r="BK152" s="412"/>
      <c r="BL152" s="413"/>
      <c r="BM152" s="414"/>
      <c r="BN152" s="412"/>
      <c r="BO152" s="413"/>
      <c r="BP152" s="414"/>
      <c r="BQ152" s="412"/>
      <c r="BR152" s="413"/>
      <c r="BS152" s="414"/>
      <c r="BT152" s="412"/>
      <c r="BU152" s="413"/>
      <c r="BV152" s="414"/>
      <c r="BW152" s="412"/>
      <c r="BX152" s="413"/>
      <c r="BY152" s="414"/>
      <c r="BZ152" s="412"/>
      <c r="CA152" s="413"/>
      <c r="CB152" s="414"/>
      <c r="CC152" s="412"/>
      <c r="CD152" s="413"/>
      <c r="CE152" s="414"/>
      <c r="CF152" s="412"/>
      <c r="CG152" s="413"/>
      <c r="CH152" s="414"/>
      <c r="CI152" s="412"/>
      <c r="CJ152" s="413"/>
      <c r="CK152" s="414"/>
      <c r="CL152" s="412"/>
      <c r="CM152" s="413"/>
      <c r="CN152" s="414"/>
      <c r="CO152" s="412"/>
      <c r="CP152" s="413"/>
      <c r="CQ152" s="414"/>
      <c r="CR152" s="412"/>
      <c r="CS152" s="413"/>
      <c r="CT152" s="414"/>
      <c r="CU152" s="412"/>
      <c r="CV152" s="413"/>
      <c r="CW152" s="414"/>
      <c r="CX152" s="412"/>
      <c r="CY152" s="413"/>
      <c r="CZ152" s="414"/>
      <c r="DA152" s="412"/>
      <c r="DB152" s="413"/>
      <c r="DC152" s="414"/>
      <c r="DD152" s="412"/>
      <c r="DE152" s="413"/>
      <c r="DF152" s="414"/>
      <c r="DH152" s="311"/>
      <c r="DI152" s="311"/>
      <c r="DJ152" s="311"/>
      <c r="DK152" s="311"/>
      <c r="DL152" s="321"/>
      <c r="DM152" s="321"/>
      <c r="DN152" s="321"/>
      <c r="DO152" s="321"/>
      <c r="DP152" s="321"/>
      <c r="DQ152" s="321"/>
      <c r="DR152" s="321"/>
      <c r="DS152" s="321"/>
    </row>
    <row r="153" spans="1:123" ht="7.4" customHeight="1" x14ac:dyDescent="0.5">
      <c r="A153" s="42"/>
      <c r="B153" s="42"/>
      <c r="C153" s="333"/>
      <c r="D153" s="333"/>
      <c r="E153" s="41"/>
      <c r="F153" s="42"/>
      <c r="G153" s="56"/>
      <c r="H153" s="56"/>
      <c r="I153" s="56"/>
      <c r="J153" s="56"/>
      <c r="K153" s="56"/>
      <c r="L153" s="56"/>
      <c r="M153" s="56"/>
      <c r="N153" s="56"/>
      <c r="O153" s="56"/>
      <c r="P153" s="56"/>
      <c r="Q153" s="56"/>
      <c r="R153" s="126"/>
      <c r="S153" s="42"/>
      <c r="T153" s="116" t="str">
        <f>VLOOKUP(G151,PL!$B$9:$BH$1265,33,FALSE)</f>
        <v>.</v>
      </c>
      <c r="AJ153" s="41"/>
      <c r="AK153" s="42"/>
      <c r="AL153" s="311"/>
      <c r="AM153" s="311"/>
      <c r="AN153" s="311"/>
      <c r="AO153" s="311"/>
      <c r="AP153" s="43"/>
      <c r="AQ153" s="42"/>
      <c r="AR153" s="46"/>
      <c r="AS153" s="46"/>
      <c r="AT153" s="46"/>
      <c r="AU153" s="46"/>
      <c r="AV153" s="46"/>
      <c r="AW153" s="46"/>
      <c r="AX153" s="105"/>
      <c r="AY153" s="79"/>
      <c r="AZ153" s="119"/>
      <c r="BA153" s="119"/>
      <c r="BB153" s="119"/>
      <c r="BC153" s="119"/>
      <c r="BD153" s="119"/>
      <c r="BE153" s="119"/>
      <c r="BF153" s="119"/>
      <c r="BG153" s="119"/>
      <c r="BH153" s="124"/>
      <c r="BI153" s="41"/>
      <c r="BK153" s="194"/>
      <c r="BL153" s="123"/>
      <c r="BM153" s="195"/>
      <c r="BN153" s="194"/>
      <c r="BO153" s="123"/>
      <c r="BP153" s="195"/>
      <c r="BQ153" s="194"/>
      <c r="BR153" s="123"/>
      <c r="BS153" s="195"/>
      <c r="BT153" s="194"/>
      <c r="BU153" s="123"/>
      <c r="BV153" s="195"/>
      <c r="BW153" s="194"/>
      <c r="BX153" s="123"/>
      <c r="BY153" s="195"/>
      <c r="BZ153" s="194"/>
      <c r="CA153" s="123"/>
      <c r="CB153" s="195"/>
      <c r="CC153" s="194"/>
      <c r="CD153" s="123"/>
      <c r="CE153" s="195"/>
      <c r="CF153" s="194"/>
      <c r="CG153" s="123"/>
      <c r="CH153" s="195"/>
      <c r="CI153" s="194"/>
      <c r="CJ153" s="123"/>
      <c r="CK153" s="195"/>
      <c r="CL153" s="194"/>
      <c r="CM153" s="123"/>
      <c r="CN153" s="195"/>
      <c r="CO153" s="194"/>
      <c r="CP153" s="123"/>
      <c r="CQ153" s="195"/>
      <c r="CR153" s="194"/>
      <c r="CS153" s="123"/>
      <c r="CT153" s="195"/>
      <c r="CU153" s="194"/>
      <c r="CV153" s="123"/>
      <c r="CW153" s="195"/>
      <c r="CX153" s="194"/>
      <c r="CY153" s="123"/>
      <c r="CZ153" s="195"/>
      <c r="DA153" s="194"/>
      <c r="DB153" s="123"/>
      <c r="DC153" s="195"/>
      <c r="DD153" s="194"/>
      <c r="DE153" s="123"/>
      <c r="DF153" s="195"/>
      <c r="DH153" s="311"/>
      <c r="DI153" s="311"/>
      <c r="DJ153" s="311"/>
      <c r="DK153" s="311"/>
      <c r="DL153" s="321"/>
      <c r="DM153" s="321"/>
      <c r="DN153" s="321"/>
      <c r="DO153" s="321"/>
      <c r="DP153" s="321"/>
      <c r="DQ153" s="321"/>
      <c r="DR153" s="321"/>
      <c r="DS153" s="321"/>
    </row>
    <row r="154" spans="1:123" ht="7.4" customHeight="1" x14ac:dyDescent="0.5">
      <c r="A154" s="42"/>
      <c r="B154" s="42"/>
      <c r="C154" s="333"/>
      <c r="D154" s="333"/>
      <c r="E154" s="41"/>
      <c r="F154" s="42"/>
      <c r="G154" s="56"/>
      <c r="H154" s="56"/>
      <c r="I154" s="56"/>
      <c r="J154" s="56"/>
      <c r="K154" s="56"/>
      <c r="L154" s="56"/>
      <c r="M154" s="56"/>
      <c r="N154" s="56"/>
      <c r="O154" s="56"/>
      <c r="P154" s="56"/>
      <c r="Q154" s="56"/>
      <c r="R154" s="126"/>
      <c r="S154" s="42"/>
      <c r="AJ154" s="41"/>
      <c r="AK154" s="42"/>
      <c r="AL154" s="311"/>
      <c r="AM154" s="311"/>
      <c r="AN154" s="311"/>
      <c r="AO154" s="311"/>
      <c r="AP154" s="43"/>
      <c r="AQ154" s="42"/>
      <c r="AR154" s="46"/>
      <c r="AS154" s="46"/>
      <c r="AT154" s="46"/>
      <c r="AU154" s="46"/>
      <c r="AV154" s="46"/>
      <c r="AW154" s="46"/>
      <c r="AX154" s="105"/>
      <c r="AY154" s="79"/>
      <c r="AZ154" s="119"/>
      <c r="BA154" s="119"/>
      <c r="BB154" s="119"/>
      <c r="BC154" s="119"/>
      <c r="BD154" s="119"/>
      <c r="BE154" s="119"/>
      <c r="BF154" s="119"/>
      <c r="BG154" s="119"/>
      <c r="BH154" s="124"/>
      <c r="BI154" s="41"/>
      <c r="BK154" s="194"/>
      <c r="BL154" s="123"/>
      <c r="BM154" s="195"/>
      <c r="BN154" s="194"/>
      <c r="BO154" s="123"/>
      <c r="BP154" s="195"/>
      <c r="BQ154" s="194"/>
      <c r="BR154" s="123"/>
      <c r="BS154" s="195"/>
      <c r="BT154" s="194"/>
      <c r="BU154" s="123"/>
      <c r="BV154" s="195"/>
      <c r="BW154" s="194"/>
      <c r="BX154" s="123"/>
      <c r="BY154" s="195"/>
      <c r="BZ154" s="194"/>
      <c r="CA154" s="123"/>
      <c r="CB154" s="195"/>
      <c r="CC154" s="194"/>
      <c r="CD154" s="123"/>
      <c r="CE154" s="195"/>
      <c r="CF154" s="194"/>
      <c r="CG154" s="123"/>
      <c r="CH154" s="195"/>
      <c r="CI154" s="194"/>
      <c r="CJ154" s="123"/>
      <c r="CK154" s="195"/>
      <c r="CL154" s="194"/>
      <c r="CM154" s="123"/>
      <c r="CN154" s="195"/>
      <c r="CO154" s="194"/>
      <c r="CP154" s="123"/>
      <c r="CQ154" s="195"/>
      <c r="CR154" s="194"/>
      <c r="CS154" s="123"/>
      <c r="CT154" s="195"/>
      <c r="CU154" s="194"/>
      <c r="CV154" s="123"/>
      <c r="CW154" s="195"/>
      <c r="CX154" s="194"/>
      <c r="CY154" s="123"/>
      <c r="CZ154" s="195"/>
      <c r="DA154" s="194"/>
      <c r="DB154" s="123"/>
      <c r="DC154" s="195"/>
      <c r="DD154" s="194"/>
      <c r="DE154" s="123"/>
      <c r="DF154" s="195"/>
      <c r="DH154" s="311"/>
      <c r="DI154" s="311"/>
      <c r="DJ154" s="311"/>
      <c r="DK154" s="311"/>
      <c r="DL154" s="321"/>
      <c r="DM154" s="321"/>
      <c r="DN154" s="321"/>
      <c r="DO154" s="321"/>
      <c r="DP154" s="321"/>
      <c r="DQ154" s="321"/>
      <c r="DR154" s="321"/>
      <c r="DS154" s="321"/>
    </row>
    <row r="155" spans="1:123" ht="7.4" customHeight="1" x14ac:dyDescent="0.5">
      <c r="A155" s="42"/>
      <c r="B155" s="42"/>
      <c r="C155" s="311">
        <f>C151+1</f>
        <v>10</v>
      </c>
      <c r="D155" s="311"/>
      <c r="E155" s="41"/>
      <c r="F155" s="42"/>
      <c r="G155" s="319" t="str">
        <f>IF(AL155=0,"N/A","AXE_NST_8_PP")</f>
        <v>N/A</v>
      </c>
      <c r="H155" s="319"/>
      <c r="I155" s="319"/>
      <c r="J155" s="319"/>
      <c r="K155" s="319"/>
      <c r="L155" s="319"/>
      <c r="M155" s="319"/>
      <c r="N155" s="319"/>
      <c r="O155" s="319"/>
      <c r="P155" s="319"/>
      <c r="Q155" s="319"/>
      <c r="R155" s="320"/>
      <c r="S155" s="42"/>
      <c r="T155" s="405" t="str">
        <f>VLOOKUP(G155,PL!$B$9:$BH$1265,14,FALSE)</f>
        <v>No Item</v>
      </c>
      <c r="U155" s="405"/>
      <c r="V155" s="405"/>
      <c r="W155" s="405"/>
      <c r="X155" s="405"/>
      <c r="Y155" s="405"/>
      <c r="Z155" s="405"/>
      <c r="AA155" s="405"/>
      <c r="AB155" s="405"/>
      <c r="AC155" s="405"/>
      <c r="AD155" s="405"/>
      <c r="AE155" s="405"/>
      <c r="AF155" s="405"/>
      <c r="AG155" s="405"/>
      <c r="AH155" s="405"/>
      <c r="AI155" s="405"/>
      <c r="AJ155" s="411"/>
      <c r="AK155" s="42"/>
      <c r="AL155" s="311">
        <f>ROUND(SUM(BK155:DF155)*(1+$BF$72),0)</f>
        <v>0</v>
      </c>
      <c r="AM155" s="311"/>
      <c r="AN155" s="311"/>
      <c r="AO155" s="311"/>
      <c r="AP155" s="43"/>
      <c r="AQ155" s="111"/>
      <c r="AR155" s="308" t="str">
        <f>VLOOKUP(G155,PL!$B$9:$BH$818,52,FALSE)</f>
        <v>-</v>
      </c>
      <c r="AS155" s="309"/>
      <c r="AT155" s="309"/>
      <c r="AU155" s="309"/>
      <c r="AV155" s="309"/>
      <c r="AW155" s="309"/>
      <c r="AX155" s="309"/>
      <c r="AY155" s="309"/>
      <c r="AZ155" s="309"/>
      <c r="BA155" s="309"/>
      <c r="BB155" s="309"/>
      <c r="BC155" s="309"/>
      <c r="BD155" s="309"/>
      <c r="BE155" s="309"/>
      <c r="BF155" s="309"/>
      <c r="BG155" s="309"/>
      <c r="BH155" s="124"/>
      <c r="BI155" s="41"/>
      <c r="BK155" s="412">
        <f>BK151</f>
        <v>0</v>
      </c>
      <c r="BL155" s="413"/>
      <c r="BM155" s="414"/>
      <c r="BN155" s="412">
        <f>BN151</f>
        <v>0</v>
      </c>
      <c r="BO155" s="413"/>
      <c r="BP155" s="414"/>
      <c r="BQ155" s="412">
        <f>BQ151</f>
        <v>0</v>
      </c>
      <c r="BR155" s="413"/>
      <c r="BS155" s="414"/>
      <c r="BT155" s="412">
        <f>BT151</f>
        <v>0</v>
      </c>
      <c r="BU155" s="413"/>
      <c r="BV155" s="414"/>
      <c r="BW155" s="412">
        <f>BW151</f>
        <v>0</v>
      </c>
      <c r="BX155" s="413"/>
      <c r="BY155" s="414"/>
      <c r="BZ155" s="412">
        <f>BZ151</f>
        <v>0</v>
      </c>
      <c r="CA155" s="413"/>
      <c r="CB155" s="414"/>
      <c r="CC155" s="412">
        <f>CC151</f>
        <v>0</v>
      </c>
      <c r="CD155" s="413"/>
      <c r="CE155" s="414"/>
      <c r="CF155" s="412">
        <f>CF151</f>
        <v>0</v>
      </c>
      <c r="CG155" s="413"/>
      <c r="CH155" s="414"/>
      <c r="CI155" s="412">
        <f>CI151</f>
        <v>0</v>
      </c>
      <c r="CJ155" s="413"/>
      <c r="CK155" s="414"/>
      <c r="CL155" s="412">
        <f>CL151</f>
        <v>0</v>
      </c>
      <c r="CM155" s="413"/>
      <c r="CN155" s="414"/>
      <c r="CO155" s="412">
        <f>CO151</f>
        <v>0</v>
      </c>
      <c r="CP155" s="413"/>
      <c r="CQ155" s="414"/>
      <c r="CR155" s="412">
        <f>CR151</f>
        <v>0</v>
      </c>
      <c r="CS155" s="413"/>
      <c r="CT155" s="414"/>
      <c r="CU155" s="412">
        <f>CU151</f>
        <v>0</v>
      </c>
      <c r="CV155" s="413"/>
      <c r="CW155" s="414"/>
      <c r="CX155" s="412">
        <f>CX151</f>
        <v>0</v>
      </c>
      <c r="CY155" s="413"/>
      <c r="CZ155" s="414"/>
      <c r="DA155" s="412">
        <f>DA151</f>
        <v>0</v>
      </c>
      <c r="DB155" s="413"/>
      <c r="DC155" s="414"/>
      <c r="DD155" s="412">
        <f>DD151</f>
        <v>0</v>
      </c>
      <c r="DE155" s="413"/>
      <c r="DF155" s="414"/>
      <c r="DH155" s="311"/>
      <c r="DI155" s="311"/>
      <c r="DJ155" s="311"/>
      <c r="DK155" s="311"/>
      <c r="DL155" s="321"/>
      <c r="DM155" s="321"/>
      <c r="DN155" s="321"/>
      <c r="DO155" s="321"/>
      <c r="DP155" s="321"/>
      <c r="DQ155" s="321"/>
      <c r="DR155" s="321"/>
      <c r="DS155" s="321"/>
    </row>
    <row r="156" spans="1:123" ht="7.4" customHeight="1" x14ac:dyDescent="0.5">
      <c r="A156" s="42"/>
      <c r="B156" s="42"/>
      <c r="C156" s="311"/>
      <c r="D156" s="311"/>
      <c r="E156" s="41"/>
      <c r="F156" s="42"/>
      <c r="G156" s="319"/>
      <c r="H156" s="319"/>
      <c r="I156" s="319"/>
      <c r="J156" s="319"/>
      <c r="K156" s="319"/>
      <c r="L156" s="319"/>
      <c r="M156" s="319"/>
      <c r="N156" s="319"/>
      <c r="O156" s="319"/>
      <c r="P156" s="319"/>
      <c r="Q156" s="319"/>
      <c r="R156" s="320"/>
      <c r="S156" s="42"/>
      <c r="T156" s="405"/>
      <c r="U156" s="405"/>
      <c r="V156" s="405"/>
      <c r="W156" s="405"/>
      <c r="X156" s="405"/>
      <c r="Y156" s="405"/>
      <c r="Z156" s="405"/>
      <c r="AA156" s="405"/>
      <c r="AB156" s="405"/>
      <c r="AC156" s="405"/>
      <c r="AD156" s="405"/>
      <c r="AE156" s="405"/>
      <c r="AF156" s="405"/>
      <c r="AG156" s="405"/>
      <c r="AH156" s="405"/>
      <c r="AI156" s="405"/>
      <c r="AJ156" s="411"/>
      <c r="AK156" s="42"/>
      <c r="AL156" s="311"/>
      <c r="AM156" s="311"/>
      <c r="AN156" s="311"/>
      <c r="AO156" s="311"/>
      <c r="AP156" s="43"/>
      <c r="AQ156" s="111"/>
      <c r="AR156" s="309"/>
      <c r="AS156" s="309"/>
      <c r="AT156" s="309"/>
      <c r="AU156" s="309"/>
      <c r="AV156" s="309"/>
      <c r="AW156" s="309"/>
      <c r="AX156" s="309"/>
      <c r="AY156" s="309"/>
      <c r="AZ156" s="309"/>
      <c r="BA156" s="309"/>
      <c r="BB156" s="309"/>
      <c r="BC156" s="309"/>
      <c r="BD156" s="309"/>
      <c r="BE156" s="309"/>
      <c r="BF156" s="309"/>
      <c r="BG156" s="309"/>
      <c r="BH156" s="124"/>
      <c r="BI156" s="41"/>
      <c r="BK156" s="412"/>
      <c r="BL156" s="413"/>
      <c r="BM156" s="414"/>
      <c r="BN156" s="412"/>
      <c r="BO156" s="413"/>
      <c r="BP156" s="414"/>
      <c r="BQ156" s="412"/>
      <c r="BR156" s="413"/>
      <c r="BS156" s="414"/>
      <c r="BT156" s="412"/>
      <c r="BU156" s="413"/>
      <c r="BV156" s="414"/>
      <c r="BW156" s="412"/>
      <c r="BX156" s="413"/>
      <c r="BY156" s="414"/>
      <c r="BZ156" s="412"/>
      <c r="CA156" s="413"/>
      <c r="CB156" s="414"/>
      <c r="CC156" s="412"/>
      <c r="CD156" s="413"/>
      <c r="CE156" s="414"/>
      <c r="CF156" s="412"/>
      <c r="CG156" s="413"/>
      <c r="CH156" s="414"/>
      <c r="CI156" s="412"/>
      <c r="CJ156" s="413"/>
      <c r="CK156" s="414"/>
      <c r="CL156" s="412"/>
      <c r="CM156" s="413"/>
      <c r="CN156" s="414"/>
      <c r="CO156" s="412"/>
      <c r="CP156" s="413"/>
      <c r="CQ156" s="414"/>
      <c r="CR156" s="412"/>
      <c r="CS156" s="413"/>
      <c r="CT156" s="414"/>
      <c r="CU156" s="412"/>
      <c r="CV156" s="413"/>
      <c r="CW156" s="414"/>
      <c r="CX156" s="412"/>
      <c r="CY156" s="413"/>
      <c r="CZ156" s="414"/>
      <c r="DA156" s="412"/>
      <c r="DB156" s="413"/>
      <c r="DC156" s="414"/>
      <c r="DD156" s="412"/>
      <c r="DE156" s="413"/>
      <c r="DF156" s="414"/>
      <c r="DH156" s="311"/>
      <c r="DI156" s="311"/>
      <c r="DJ156" s="311"/>
      <c r="DK156" s="311"/>
      <c r="DL156" s="321"/>
      <c r="DM156" s="321"/>
      <c r="DN156" s="321"/>
      <c r="DO156" s="321"/>
      <c r="DP156" s="321"/>
      <c r="DQ156" s="321"/>
      <c r="DR156" s="321"/>
      <c r="DS156" s="321"/>
    </row>
    <row r="157" spans="1:123" ht="7.4" customHeight="1" x14ac:dyDescent="0.5">
      <c r="A157" s="42"/>
      <c r="B157" s="42"/>
      <c r="C157" s="333"/>
      <c r="D157" s="333"/>
      <c r="E157" s="41"/>
      <c r="F157" s="42"/>
      <c r="G157" s="56"/>
      <c r="H157" s="56"/>
      <c r="I157" s="56"/>
      <c r="J157" s="56"/>
      <c r="K157" s="56"/>
      <c r="L157" s="56"/>
      <c r="M157" s="56"/>
      <c r="N157" s="56"/>
      <c r="O157" s="56"/>
      <c r="P157" s="56"/>
      <c r="Q157" s="56"/>
      <c r="R157" s="126"/>
      <c r="S157" s="42"/>
      <c r="T157" s="116" t="str">
        <f>VLOOKUP(G155,PL!$B$9:$BH$1265,33,FALSE)</f>
        <v>.</v>
      </c>
      <c r="AJ157" s="41"/>
      <c r="AK157" s="42"/>
      <c r="AL157" s="311"/>
      <c r="AM157" s="311"/>
      <c r="AN157" s="311"/>
      <c r="AO157" s="311"/>
      <c r="AP157" s="43"/>
      <c r="AQ157" s="42"/>
      <c r="AR157" s="46"/>
      <c r="AS157" s="46"/>
      <c r="AT157" s="46"/>
      <c r="AU157" s="46"/>
      <c r="AV157" s="46"/>
      <c r="AW157" s="46"/>
      <c r="AX157" s="105"/>
      <c r="AY157" s="79"/>
      <c r="AZ157" s="119"/>
      <c r="BA157" s="119"/>
      <c r="BB157" s="119"/>
      <c r="BC157" s="119"/>
      <c r="BD157" s="119"/>
      <c r="BE157" s="119"/>
      <c r="BF157" s="119"/>
      <c r="BG157" s="119"/>
      <c r="BH157" s="124"/>
      <c r="BI157" s="41"/>
      <c r="BK157" s="194"/>
      <c r="BL157" s="123"/>
      <c r="BM157" s="195"/>
      <c r="BN157" s="194"/>
      <c r="BO157" s="123"/>
      <c r="BP157" s="195"/>
      <c r="BQ157" s="194"/>
      <c r="BR157" s="123"/>
      <c r="BS157" s="195"/>
      <c r="BT157" s="194"/>
      <c r="BU157" s="123"/>
      <c r="BV157" s="195"/>
      <c r="BW157" s="194"/>
      <c r="BX157" s="123"/>
      <c r="BY157" s="195"/>
      <c r="BZ157" s="194"/>
      <c r="CA157" s="123"/>
      <c r="CB157" s="195"/>
      <c r="CC157" s="194"/>
      <c r="CD157" s="123"/>
      <c r="CE157" s="195"/>
      <c r="CF157" s="194"/>
      <c r="CG157" s="123"/>
      <c r="CH157" s="195"/>
      <c r="CI157" s="194"/>
      <c r="CJ157" s="123"/>
      <c r="CK157" s="195"/>
      <c r="CL157" s="194"/>
      <c r="CM157" s="123"/>
      <c r="CN157" s="195"/>
      <c r="CO157" s="194"/>
      <c r="CP157" s="123"/>
      <c r="CQ157" s="195"/>
      <c r="CR157" s="194"/>
      <c r="CS157" s="123"/>
      <c r="CT157" s="195"/>
      <c r="CU157" s="194"/>
      <c r="CV157" s="123"/>
      <c r="CW157" s="195"/>
      <c r="CX157" s="194"/>
      <c r="CY157" s="123"/>
      <c r="CZ157" s="195"/>
      <c r="DA157" s="194"/>
      <c r="DB157" s="123"/>
      <c r="DC157" s="195"/>
      <c r="DD157" s="194"/>
      <c r="DE157" s="123"/>
      <c r="DF157" s="195"/>
      <c r="DH157" s="311"/>
      <c r="DI157" s="311"/>
      <c r="DJ157" s="311"/>
      <c r="DK157" s="311"/>
      <c r="DL157" s="321"/>
      <c r="DM157" s="321"/>
      <c r="DN157" s="321"/>
      <c r="DO157" s="321"/>
      <c r="DP157" s="321"/>
      <c r="DQ157" s="321"/>
      <c r="DR157" s="321"/>
      <c r="DS157" s="321"/>
    </row>
    <row r="158" spans="1:123" ht="7.4" customHeight="1" x14ac:dyDescent="0.5">
      <c r="A158" s="42"/>
      <c r="B158" s="42"/>
      <c r="C158" s="55"/>
      <c r="D158" s="55"/>
      <c r="E158" s="41"/>
      <c r="F158" s="42"/>
      <c r="G158" s="56"/>
      <c r="H158" s="56"/>
      <c r="I158" s="56"/>
      <c r="J158" s="56"/>
      <c r="K158" s="56"/>
      <c r="L158" s="56"/>
      <c r="M158" s="56"/>
      <c r="N158" s="56"/>
      <c r="O158" s="56"/>
      <c r="P158" s="56"/>
      <c r="Q158" s="56"/>
      <c r="R158" s="126"/>
      <c r="S158" s="42"/>
      <c r="AJ158" s="41"/>
      <c r="AK158" s="42"/>
      <c r="AL158" s="311"/>
      <c r="AM158" s="311"/>
      <c r="AN158" s="311"/>
      <c r="AO158" s="311"/>
      <c r="AP158" s="43"/>
      <c r="AQ158" s="42"/>
      <c r="AR158" s="46"/>
      <c r="AS158" s="46"/>
      <c r="AT158" s="46"/>
      <c r="AU158" s="46"/>
      <c r="AV158" s="46"/>
      <c r="AW158" s="46"/>
      <c r="AX158" s="105"/>
      <c r="AY158" s="79"/>
      <c r="AZ158" s="119"/>
      <c r="BA158" s="119"/>
      <c r="BB158" s="119"/>
      <c r="BC158" s="119"/>
      <c r="BD158" s="119"/>
      <c r="BE158" s="119"/>
      <c r="BF158" s="119"/>
      <c r="BG158" s="119"/>
      <c r="BH158" s="124"/>
      <c r="BI158" s="41"/>
      <c r="BK158" s="194"/>
      <c r="BL158" s="123"/>
      <c r="BM158" s="195"/>
      <c r="BN158" s="194"/>
      <c r="BO158" s="123"/>
      <c r="BP158" s="195"/>
      <c r="BQ158" s="194"/>
      <c r="BR158" s="123"/>
      <c r="BS158" s="195"/>
      <c r="BT158" s="194"/>
      <c r="BU158" s="123"/>
      <c r="BV158" s="195"/>
      <c r="BW158" s="194"/>
      <c r="BX158" s="123"/>
      <c r="BY158" s="195"/>
      <c r="BZ158" s="194"/>
      <c r="CA158" s="123"/>
      <c r="CB158" s="195"/>
      <c r="CC158" s="194"/>
      <c r="CD158" s="123"/>
      <c r="CE158" s="195"/>
      <c r="CF158" s="194"/>
      <c r="CG158" s="123"/>
      <c r="CH158" s="195"/>
      <c r="CI158" s="194"/>
      <c r="CJ158" s="123"/>
      <c r="CK158" s="195"/>
      <c r="CL158" s="194"/>
      <c r="CM158" s="123"/>
      <c r="CN158" s="195"/>
      <c r="CO158" s="194"/>
      <c r="CP158" s="123"/>
      <c r="CQ158" s="195"/>
      <c r="CR158" s="194"/>
      <c r="CS158" s="123"/>
      <c r="CT158" s="195"/>
      <c r="CU158" s="194"/>
      <c r="CV158" s="123"/>
      <c r="CW158" s="195"/>
      <c r="CX158" s="194"/>
      <c r="CY158" s="123"/>
      <c r="CZ158" s="195"/>
      <c r="DA158" s="194"/>
      <c r="DB158" s="123"/>
      <c r="DC158" s="195"/>
      <c r="DD158" s="194"/>
      <c r="DE158" s="123"/>
      <c r="DF158" s="195"/>
      <c r="DH158" s="311"/>
      <c r="DI158" s="311"/>
      <c r="DJ158" s="311"/>
      <c r="DK158" s="311"/>
      <c r="DL158" s="321"/>
      <c r="DM158" s="321"/>
      <c r="DN158" s="321"/>
      <c r="DO158" s="321"/>
      <c r="DP158" s="321"/>
      <c r="DQ158" s="321"/>
      <c r="DR158" s="321"/>
      <c r="DS158" s="321"/>
    </row>
    <row r="159" spans="1:123" ht="7.4" customHeight="1" x14ac:dyDescent="0.5">
      <c r="A159" s="42"/>
      <c r="B159" s="42"/>
      <c r="C159" s="311">
        <f>C155+1</f>
        <v>11</v>
      </c>
      <c r="D159" s="311"/>
      <c r="E159" s="41"/>
      <c r="F159" s="42"/>
      <c r="G159" s="319" t="str">
        <f>IF(AL159=0,"N/A","AXE_ST_6.3_22_SC")</f>
        <v>AXE_ST_6.3_22_SC</v>
      </c>
      <c r="H159" s="319"/>
      <c r="I159" s="319"/>
      <c r="J159" s="319"/>
      <c r="K159" s="319"/>
      <c r="L159" s="319"/>
      <c r="M159" s="319"/>
      <c r="N159" s="319"/>
      <c r="O159" s="319"/>
      <c r="P159" s="319"/>
      <c r="Q159" s="319"/>
      <c r="R159" s="320"/>
      <c r="S159" s="42"/>
      <c r="T159" s="405" t="str">
        <f>VLOOKUP(G159,PL!$B$9:$BH$1265,14,FALSE)</f>
        <v>Self Drilling Tek Screw</v>
      </c>
      <c r="U159" s="405"/>
      <c r="V159" s="405"/>
      <c r="W159" s="405"/>
      <c r="X159" s="405"/>
      <c r="Y159" s="405"/>
      <c r="Z159" s="405"/>
      <c r="AA159" s="405"/>
      <c r="AB159" s="405"/>
      <c r="AC159" s="405"/>
      <c r="AD159" s="405"/>
      <c r="AE159" s="405"/>
      <c r="AF159" s="405"/>
      <c r="AG159" s="405"/>
      <c r="AH159" s="405"/>
      <c r="AI159" s="405"/>
      <c r="AJ159" s="411"/>
      <c r="AK159" s="42"/>
      <c r="AL159" s="311">
        <f>ROUND(SUM(BK159:DF159)*(1+$BF$72),0)</f>
        <v>1664</v>
      </c>
      <c r="AM159" s="311"/>
      <c r="AN159" s="311"/>
      <c r="AO159" s="311"/>
      <c r="AP159" s="43"/>
      <c r="AQ159" s="111"/>
      <c r="AR159" s="308" t="str">
        <f>VLOOKUP(G159,PL!$B$9:$BH$818,52,FALSE)</f>
        <v>SOL-5952</v>
      </c>
      <c r="AS159" s="309"/>
      <c r="AT159" s="309"/>
      <c r="AU159" s="309"/>
      <c r="AV159" s="309"/>
      <c r="AW159" s="309"/>
      <c r="AX159" s="309"/>
      <c r="AY159" s="309"/>
      <c r="AZ159" s="309"/>
      <c r="BA159" s="309"/>
      <c r="BB159" s="309"/>
      <c r="BC159" s="309"/>
      <c r="BD159" s="309"/>
      <c r="BE159" s="309"/>
      <c r="BF159" s="309"/>
      <c r="BG159" s="309"/>
      <c r="BH159" s="124"/>
      <c r="BI159" s="41"/>
      <c r="BK159" s="412">
        <f>IF(OR(MID($G$127,8,2)="IB",MID($G$127,8,2)="RS",MID($G$127,8,2)="CO"),BK127*4,
IF(MID($G$127,8,2)="RF",BK127*2,0))</f>
        <v>1600</v>
      </c>
      <c r="BL159" s="413"/>
      <c r="BM159" s="414"/>
      <c r="BN159" s="412">
        <f>IF(OR(MID($G$127,8,2)="IB",MID($G$127,8,2)="RS",MID($G$127,8,2)="CO"),BN127*4,
IF(MID($G$127,8,2)="RF",BN127*2,0))</f>
        <v>0</v>
      </c>
      <c r="BO159" s="413"/>
      <c r="BP159" s="414"/>
      <c r="BQ159" s="412">
        <f>IF(OR(MID($G$127,8,2)="IB",MID($G$127,8,2)="RS",MID($G$127,8,2)="CO"),BQ127*4,
IF(MID($G$127,8,2)="RF",BQ127*2,0))</f>
        <v>0</v>
      </c>
      <c r="BR159" s="413"/>
      <c r="BS159" s="414"/>
      <c r="BT159" s="412">
        <f>IF(OR(MID($G$127,8,2)="IB",MID($G$127,8,2)="RS",MID($G$127,8,2)="CO"),BT127*4,
IF(MID($G$127,8,2)="RF",BT127*2,0))</f>
        <v>0</v>
      </c>
      <c r="BU159" s="413"/>
      <c r="BV159" s="414"/>
      <c r="BW159" s="412">
        <f>IF(OR(MID($G$127,8,2)="IB",MID($G$127,8,2)="RS",MID($G$127,8,2)="CO"),BW127*4,
IF(MID($G$127,8,2)="RF",BW127*2,0))</f>
        <v>0</v>
      </c>
      <c r="BX159" s="413"/>
      <c r="BY159" s="414"/>
      <c r="BZ159" s="412">
        <f>IF(OR(MID($G$127,8,2)="IB",MID($G$127,8,2)="RS",MID($G$127,8,2)="CO"),BZ127*4,
IF(MID($G$127,8,2)="RF",BZ127*2,0))</f>
        <v>0</v>
      </c>
      <c r="CA159" s="413"/>
      <c r="CB159" s="414"/>
      <c r="CC159" s="412">
        <f>IF(OR(MID($G$127,8,2)="IB",MID($G$127,8,2)="RS",MID($G$127,8,2)="CO"),CC127*4,
IF(MID($G$127,8,2)="RF",CC127*2,0))</f>
        <v>0</v>
      </c>
      <c r="CD159" s="413"/>
      <c r="CE159" s="414"/>
      <c r="CF159" s="412">
        <f>IF(OR(MID($G$127,8,2)="IB",MID($G$127,8,2)="RS",MID($G$127,8,2)="CO"),CF127*4,
IF(MID($G$127,8,2)="RF",CF127*2,0))</f>
        <v>0</v>
      </c>
      <c r="CG159" s="413"/>
      <c r="CH159" s="414"/>
      <c r="CI159" s="412">
        <f>IF(OR(MID($G$127,8,2)="IB",MID($G$127,8,2)="RS",MID($G$127,8,2)="CO"),CI127*4,
IF(MID($G$127,8,2)="RF",CI127*2,0))</f>
        <v>0</v>
      </c>
      <c r="CJ159" s="413"/>
      <c r="CK159" s="414"/>
      <c r="CL159" s="412">
        <f>IF(OR(MID($G$127,8,2)="IB",MID($G$127,8,2)="RS",MID($G$127,8,2)="CO"),CL127*4,
IF(MID($G$127,8,2)="RF",CL127*2,0))</f>
        <v>0</v>
      </c>
      <c r="CM159" s="413"/>
      <c r="CN159" s="414"/>
      <c r="CO159" s="412">
        <f>IF(OR(MID($G$127,8,2)="IB",MID($G$127,8,2)="RS",MID($G$127,8,2)="CO"),CO127*4,
IF(MID($G$127,8,2)="RF",CO127*2,0))</f>
        <v>0</v>
      </c>
      <c r="CP159" s="413"/>
      <c r="CQ159" s="414"/>
      <c r="CR159" s="412">
        <f>IF(OR(MID($G$127,8,2)="IB",MID($G$127,8,2)="RS",MID($G$127,8,2)="CO"),CR127*4,
IF(MID($G$127,8,2)="RF",CR127*2,0))</f>
        <v>0</v>
      </c>
      <c r="CS159" s="413"/>
      <c r="CT159" s="414"/>
      <c r="CU159" s="412">
        <f>IF(OR(MID($G$127,8,2)="IB",MID($G$127,8,2)="RS",MID($G$127,8,2)="CO"),CU127*4,
IF(MID($G$127,8,2)="RF",CU127*2,0))</f>
        <v>0</v>
      </c>
      <c r="CV159" s="413"/>
      <c r="CW159" s="414"/>
      <c r="CX159" s="412">
        <f>IF(OR(MID($G$127,8,2)="IB",MID($G$127,8,2)="RS",MID($G$127,8,2)="CO"),CX127*4,
IF(MID($G$127,8,2)="RF",CX127*2,0))</f>
        <v>0</v>
      </c>
      <c r="CY159" s="413"/>
      <c r="CZ159" s="414"/>
      <c r="DA159" s="412">
        <f>IF(OR(MID($G$127,8,2)="IB",MID($G$127,8,2)="RS",MID($G$127,8,2)="CO"),DA127*4,
IF(MID($G$127,8,2)="RF",DA127*2,0))</f>
        <v>0</v>
      </c>
      <c r="DB159" s="413"/>
      <c r="DC159" s="414"/>
      <c r="DD159" s="412">
        <f>IF(OR(MID($G$127,8,2)="IB",MID($G$127,8,2)="RS",MID($G$127,8,2)="CO"),DD127*4,
IF(MID($G$127,8,2)="RF",DD127*2,0))</f>
        <v>0</v>
      </c>
      <c r="DE159" s="413"/>
      <c r="DF159" s="414"/>
      <c r="DH159" s="311"/>
      <c r="DI159" s="311"/>
      <c r="DJ159" s="311"/>
      <c r="DK159" s="311"/>
      <c r="DL159" s="321"/>
      <c r="DM159" s="321"/>
      <c r="DN159" s="321"/>
      <c r="DO159" s="321"/>
      <c r="DP159" s="321"/>
      <c r="DQ159" s="321"/>
      <c r="DR159" s="321"/>
      <c r="DS159" s="321"/>
    </row>
    <row r="160" spans="1:123" ht="7.4" customHeight="1" x14ac:dyDescent="0.5">
      <c r="A160" s="42"/>
      <c r="B160" s="42"/>
      <c r="C160" s="311"/>
      <c r="D160" s="311"/>
      <c r="E160" s="41"/>
      <c r="F160" s="42"/>
      <c r="G160" s="319"/>
      <c r="H160" s="319"/>
      <c r="I160" s="319"/>
      <c r="J160" s="319"/>
      <c r="K160" s="319"/>
      <c r="L160" s="319"/>
      <c r="M160" s="319"/>
      <c r="N160" s="319"/>
      <c r="O160" s="319"/>
      <c r="P160" s="319"/>
      <c r="Q160" s="319"/>
      <c r="R160" s="320"/>
      <c r="S160" s="42"/>
      <c r="T160" s="405"/>
      <c r="U160" s="405"/>
      <c r="V160" s="405"/>
      <c r="W160" s="405"/>
      <c r="X160" s="405"/>
      <c r="Y160" s="405"/>
      <c r="Z160" s="405"/>
      <c r="AA160" s="405"/>
      <c r="AB160" s="405"/>
      <c r="AC160" s="405"/>
      <c r="AD160" s="405"/>
      <c r="AE160" s="405"/>
      <c r="AF160" s="405"/>
      <c r="AG160" s="405"/>
      <c r="AH160" s="405"/>
      <c r="AI160" s="405"/>
      <c r="AJ160" s="411"/>
      <c r="AK160" s="42"/>
      <c r="AL160" s="311"/>
      <c r="AM160" s="311"/>
      <c r="AN160" s="311"/>
      <c r="AO160" s="311"/>
      <c r="AP160" s="43"/>
      <c r="AQ160" s="111"/>
      <c r="AR160" s="309"/>
      <c r="AS160" s="309"/>
      <c r="AT160" s="309"/>
      <c r="AU160" s="309"/>
      <c r="AV160" s="309"/>
      <c r="AW160" s="309"/>
      <c r="AX160" s="309"/>
      <c r="AY160" s="309"/>
      <c r="AZ160" s="309"/>
      <c r="BA160" s="309"/>
      <c r="BB160" s="309"/>
      <c r="BC160" s="309"/>
      <c r="BD160" s="309"/>
      <c r="BE160" s="309"/>
      <c r="BF160" s="309"/>
      <c r="BG160" s="309"/>
      <c r="BH160" s="124"/>
      <c r="BI160" s="41"/>
      <c r="BK160" s="412"/>
      <c r="BL160" s="413"/>
      <c r="BM160" s="414"/>
      <c r="BN160" s="412"/>
      <c r="BO160" s="413"/>
      <c r="BP160" s="414"/>
      <c r="BQ160" s="412"/>
      <c r="BR160" s="413"/>
      <c r="BS160" s="414"/>
      <c r="BT160" s="412"/>
      <c r="BU160" s="413"/>
      <c r="BV160" s="414"/>
      <c r="BW160" s="412"/>
      <c r="BX160" s="413"/>
      <c r="BY160" s="414"/>
      <c r="BZ160" s="412"/>
      <c r="CA160" s="413"/>
      <c r="CB160" s="414"/>
      <c r="CC160" s="412"/>
      <c r="CD160" s="413"/>
      <c r="CE160" s="414"/>
      <c r="CF160" s="412"/>
      <c r="CG160" s="413"/>
      <c r="CH160" s="414"/>
      <c r="CI160" s="412"/>
      <c r="CJ160" s="413"/>
      <c r="CK160" s="414"/>
      <c r="CL160" s="412"/>
      <c r="CM160" s="413"/>
      <c r="CN160" s="414"/>
      <c r="CO160" s="412"/>
      <c r="CP160" s="413"/>
      <c r="CQ160" s="414"/>
      <c r="CR160" s="412"/>
      <c r="CS160" s="413"/>
      <c r="CT160" s="414"/>
      <c r="CU160" s="412"/>
      <c r="CV160" s="413"/>
      <c r="CW160" s="414"/>
      <c r="CX160" s="412"/>
      <c r="CY160" s="413"/>
      <c r="CZ160" s="414"/>
      <c r="DA160" s="412"/>
      <c r="DB160" s="413"/>
      <c r="DC160" s="414"/>
      <c r="DD160" s="412"/>
      <c r="DE160" s="413"/>
      <c r="DF160" s="414"/>
      <c r="DH160" s="311"/>
      <c r="DI160" s="311"/>
      <c r="DJ160" s="311"/>
      <c r="DK160" s="311"/>
      <c r="DL160" s="321"/>
      <c r="DM160" s="321"/>
      <c r="DN160" s="321"/>
      <c r="DO160" s="321"/>
      <c r="DP160" s="321"/>
      <c r="DQ160" s="321"/>
      <c r="DR160" s="321"/>
      <c r="DS160" s="321"/>
    </row>
    <row r="161" spans="1:123" ht="7.4" customHeight="1" x14ac:dyDescent="0.5">
      <c r="A161" s="42"/>
      <c r="B161" s="42"/>
      <c r="C161" s="55"/>
      <c r="D161" s="55"/>
      <c r="E161" s="41"/>
      <c r="F161" s="42"/>
      <c r="G161" s="56"/>
      <c r="H161" s="56"/>
      <c r="I161" s="56"/>
      <c r="J161" s="56"/>
      <c r="K161" s="56"/>
      <c r="L161" s="56"/>
      <c r="M161" s="56"/>
      <c r="N161" s="56"/>
      <c r="O161" s="56"/>
      <c r="P161" s="56"/>
      <c r="Q161" s="56"/>
      <c r="R161" s="126"/>
      <c r="S161" s="42"/>
      <c r="T161" s="116" t="str">
        <f>VLOOKUP(G159,PL!$B$9:$BH$1265,33,FALSE)</f>
        <v>Class4 Coated Steel, M6.3x22</v>
      </c>
      <c r="AJ161" s="41"/>
      <c r="AK161" s="42"/>
      <c r="AL161" s="311"/>
      <c r="AM161" s="311"/>
      <c r="AN161" s="311"/>
      <c r="AO161" s="311"/>
      <c r="AP161" s="43"/>
      <c r="AQ161" s="229"/>
      <c r="AR161" s="46"/>
      <c r="AS161" s="46"/>
      <c r="AT161" s="46"/>
      <c r="AU161" s="46"/>
      <c r="AV161" s="46"/>
      <c r="AW161" s="46"/>
      <c r="AX161" s="105"/>
      <c r="AY161" s="79"/>
      <c r="AZ161" s="119"/>
      <c r="BA161" s="119"/>
      <c r="BB161" s="119"/>
      <c r="BC161" s="119"/>
      <c r="BD161" s="119"/>
      <c r="BE161" s="119"/>
      <c r="BF161" s="119"/>
      <c r="BG161" s="119"/>
      <c r="BH161" s="124"/>
      <c r="BI161" s="41"/>
      <c r="BK161" s="194"/>
      <c r="BL161" s="123"/>
      <c r="BM161" s="195"/>
      <c r="BN161" s="194"/>
      <c r="BO161" s="123"/>
      <c r="BP161" s="195"/>
      <c r="BQ161" s="194"/>
      <c r="BR161" s="123"/>
      <c r="BS161" s="195"/>
      <c r="BT161" s="246"/>
      <c r="BU161" s="122"/>
      <c r="BV161" s="247"/>
      <c r="BW161" s="194"/>
      <c r="BX161" s="123"/>
      <c r="BY161" s="195"/>
      <c r="BZ161" s="194"/>
      <c r="CA161" s="123"/>
      <c r="CB161" s="195"/>
      <c r="CC161" s="194"/>
      <c r="CD161" s="123"/>
      <c r="CE161" s="195"/>
      <c r="CF161" s="194"/>
      <c r="CG161" s="123"/>
      <c r="CH161" s="195"/>
      <c r="CI161" s="194"/>
      <c r="CJ161" s="123"/>
      <c r="CK161" s="195"/>
      <c r="CL161" s="194"/>
      <c r="CM161" s="123"/>
      <c r="CN161" s="195"/>
      <c r="CO161" s="194"/>
      <c r="CP161" s="123"/>
      <c r="CQ161" s="195"/>
      <c r="CR161" s="194"/>
      <c r="CS161" s="123"/>
      <c r="CT161" s="195"/>
      <c r="CU161" s="194"/>
      <c r="CV161" s="123"/>
      <c r="CW161" s="195"/>
      <c r="CX161" s="194"/>
      <c r="CY161" s="123"/>
      <c r="CZ161" s="195"/>
      <c r="DA161" s="194"/>
      <c r="DB161" s="123"/>
      <c r="DC161" s="195"/>
      <c r="DD161" s="194"/>
      <c r="DE161" s="123"/>
      <c r="DF161" s="195"/>
      <c r="DH161" s="311"/>
      <c r="DI161" s="311"/>
      <c r="DJ161" s="311"/>
      <c r="DK161" s="311"/>
      <c r="DL161" s="321"/>
      <c r="DM161" s="321"/>
      <c r="DN161" s="321"/>
      <c r="DO161" s="321"/>
      <c r="DP161" s="321"/>
      <c r="DQ161" s="321"/>
      <c r="DR161" s="321"/>
      <c r="DS161" s="321"/>
    </row>
    <row r="162" spans="1:123" ht="7.4" customHeight="1" x14ac:dyDescent="0.5">
      <c r="A162" s="42"/>
      <c r="B162" s="42"/>
      <c r="C162" s="55"/>
      <c r="D162" s="55"/>
      <c r="E162" s="41"/>
      <c r="F162" s="42"/>
      <c r="G162" s="56"/>
      <c r="H162" s="56"/>
      <c r="I162" s="56"/>
      <c r="J162" s="56"/>
      <c r="K162" s="56"/>
      <c r="L162" s="56"/>
      <c r="M162" s="56"/>
      <c r="N162" s="56"/>
      <c r="O162" s="56"/>
      <c r="P162" s="56"/>
      <c r="Q162" s="56"/>
      <c r="R162" s="126"/>
      <c r="S162" s="42"/>
      <c r="AJ162" s="41"/>
      <c r="AK162" s="42"/>
      <c r="AL162" s="311"/>
      <c r="AM162" s="311"/>
      <c r="AN162" s="311"/>
      <c r="AO162" s="311"/>
      <c r="AP162" s="43"/>
      <c r="AQ162" s="229"/>
      <c r="AR162" s="46"/>
      <c r="AS162" s="46"/>
      <c r="AT162" s="46"/>
      <c r="AU162" s="46"/>
      <c r="AV162" s="46"/>
      <c r="AW162" s="46"/>
      <c r="AX162" s="105"/>
      <c r="AY162" s="79"/>
      <c r="AZ162" s="119"/>
      <c r="BA162" s="119"/>
      <c r="BB162" s="119"/>
      <c r="BC162" s="119"/>
      <c r="BD162" s="119"/>
      <c r="BE162" s="119"/>
      <c r="BF162" s="119"/>
      <c r="BG162" s="119"/>
      <c r="BH162" s="124"/>
      <c r="BI162" s="41"/>
      <c r="BK162" s="194"/>
      <c r="BL162" s="123"/>
      <c r="BM162" s="195"/>
      <c r="BN162" s="194"/>
      <c r="BO162" s="123"/>
      <c r="BP162" s="195"/>
      <c r="BQ162" s="194"/>
      <c r="BR162" s="123"/>
      <c r="BS162" s="195"/>
      <c r="BT162" s="194"/>
      <c r="BU162" s="123"/>
      <c r="BV162" s="195"/>
      <c r="BW162" s="194"/>
      <c r="BX162" s="123"/>
      <c r="BY162" s="195"/>
      <c r="BZ162" s="194"/>
      <c r="CA162" s="123"/>
      <c r="CB162" s="195"/>
      <c r="CC162" s="194"/>
      <c r="CD162" s="123"/>
      <c r="CE162" s="195"/>
      <c r="CF162" s="194"/>
      <c r="CG162" s="123"/>
      <c r="CH162" s="195"/>
      <c r="CI162" s="194"/>
      <c r="CJ162" s="123"/>
      <c r="CK162" s="195"/>
      <c r="CL162" s="194"/>
      <c r="CM162" s="123"/>
      <c r="CN162" s="195"/>
      <c r="CO162" s="194"/>
      <c r="CP162" s="123"/>
      <c r="CQ162" s="195"/>
      <c r="CR162" s="194"/>
      <c r="CS162" s="123"/>
      <c r="CT162" s="195"/>
      <c r="CU162" s="194"/>
      <c r="CV162" s="123"/>
      <c r="CW162" s="195"/>
      <c r="CX162" s="194"/>
      <c r="CY162" s="123"/>
      <c r="CZ162" s="195"/>
      <c r="DA162" s="194"/>
      <c r="DB162" s="123"/>
      <c r="DC162" s="195"/>
      <c r="DD162" s="194"/>
      <c r="DE162" s="123"/>
      <c r="DF162" s="195"/>
      <c r="DH162" s="311"/>
      <c r="DI162" s="311"/>
      <c r="DJ162" s="311"/>
      <c r="DK162" s="311"/>
      <c r="DL162" s="321"/>
      <c r="DM162" s="321"/>
      <c r="DN162" s="321"/>
      <c r="DO162" s="321"/>
      <c r="DP162" s="321"/>
      <c r="DQ162" s="321"/>
      <c r="DR162" s="321"/>
      <c r="DS162" s="321"/>
    </row>
    <row r="163" spans="1:123" ht="7.4" customHeight="1" x14ac:dyDescent="0.5">
      <c r="A163" s="42"/>
      <c r="B163" s="42"/>
      <c r="C163" s="311">
        <f>C159+1</f>
        <v>12</v>
      </c>
      <c r="D163" s="311"/>
      <c r="E163" s="41"/>
      <c r="F163" s="42"/>
      <c r="G163" s="319" t="str">
        <f>IF(AL163=0,"N/A","AXE_ST_5.5_85_SC")</f>
        <v>N/A</v>
      </c>
      <c r="H163" s="319"/>
      <c r="I163" s="319"/>
      <c r="J163" s="319"/>
      <c r="K163" s="319"/>
      <c r="L163" s="319"/>
      <c r="M163" s="319"/>
      <c r="N163" s="319"/>
      <c r="O163" s="319"/>
      <c r="P163" s="319"/>
      <c r="Q163" s="319"/>
      <c r="R163" s="320"/>
      <c r="S163" s="42"/>
      <c r="T163" s="405" t="str">
        <f>VLOOKUP(G163,PL!$B$9:$BH$1265,14,FALSE)</f>
        <v>No Item</v>
      </c>
      <c r="U163" s="405"/>
      <c r="V163" s="405"/>
      <c r="W163" s="405"/>
      <c r="X163" s="405"/>
      <c r="Y163" s="405"/>
      <c r="Z163" s="405"/>
      <c r="AA163" s="405"/>
      <c r="AB163" s="405"/>
      <c r="AC163" s="405"/>
      <c r="AD163" s="405"/>
      <c r="AE163" s="405"/>
      <c r="AF163" s="405"/>
      <c r="AG163" s="405"/>
      <c r="AH163" s="405"/>
      <c r="AI163" s="405"/>
      <c r="AJ163" s="411"/>
      <c r="AK163" s="42"/>
      <c r="AL163" s="311">
        <f>ROUND(SUM(BK163:DF163)*(1+$BF$72),0)</f>
        <v>0</v>
      </c>
      <c r="AM163" s="311"/>
      <c r="AN163" s="311"/>
      <c r="AO163" s="311"/>
      <c r="AP163" s="43"/>
      <c r="AQ163" s="111"/>
      <c r="AR163" s="308" t="str">
        <f>VLOOKUP(G163,PL!$B$9:$BH$818,52,FALSE)</f>
        <v>-</v>
      </c>
      <c r="AS163" s="309"/>
      <c r="AT163" s="309"/>
      <c r="AU163" s="309"/>
      <c r="AV163" s="309"/>
      <c r="AW163" s="309"/>
      <c r="AX163" s="309"/>
      <c r="AY163" s="309"/>
      <c r="AZ163" s="309"/>
      <c r="BA163" s="309"/>
      <c r="BB163" s="309"/>
      <c r="BC163" s="309"/>
      <c r="BD163" s="309"/>
      <c r="BE163" s="309"/>
      <c r="BF163" s="309"/>
      <c r="BG163" s="309"/>
      <c r="BH163" s="124"/>
      <c r="BI163" s="41"/>
      <c r="BK163" s="412">
        <f>IF(MID($G$127,8,1)="L",IF($AO$35="Flat Surface",0,BK127),0)</f>
        <v>0</v>
      </c>
      <c r="BL163" s="413"/>
      <c r="BM163" s="414"/>
      <c r="BN163" s="412">
        <f>IF(MID($G$127,8,1)="L",IF($AO$35="Flat Surface",0,BN127),0)</f>
        <v>0</v>
      </c>
      <c r="BO163" s="413"/>
      <c r="BP163" s="414"/>
      <c r="BQ163" s="412">
        <f>IF(MID($G$127,8,1)="L",IF($AO$35="Flat Surface",0,BQ127),0)</f>
        <v>0</v>
      </c>
      <c r="BR163" s="413"/>
      <c r="BS163" s="414"/>
      <c r="BT163" s="412">
        <f>IF(MID($G$127,8,1)="L",IF($AO$35="Flat Surface",0,BT127),0)</f>
        <v>0</v>
      </c>
      <c r="BU163" s="413"/>
      <c r="BV163" s="414"/>
      <c r="BW163" s="412">
        <f>IF(MID($G$127,8,1)="L",IF($AO$35="Flat Surface",0,BW127),0)</f>
        <v>0</v>
      </c>
      <c r="BX163" s="413"/>
      <c r="BY163" s="414"/>
      <c r="BZ163" s="412">
        <f>IF(MID($G$127,8,1)="L",IF($AO$35="Flat Surface",0,BZ127),0)</f>
        <v>0</v>
      </c>
      <c r="CA163" s="413"/>
      <c r="CB163" s="414"/>
      <c r="CC163" s="412">
        <f>IF(MID($G$127,8,1)="L",IF($AO$35="Flat Surface",0,CC127),0)</f>
        <v>0</v>
      </c>
      <c r="CD163" s="413"/>
      <c r="CE163" s="414"/>
      <c r="CF163" s="412">
        <f>IF(MID($G$127,8,1)="L",IF($AO$35="Flat Surface",0,CF127),0)</f>
        <v>0</v>
      </c>
      <c r="CG163" s="413"/>
      <c r="CH163" s="414"/>
      <c r="CI163" s="412">
        <f>IF(MID($G$127,8,1)="L",IF($AO$35="Flat Surface",0,CI127),0)</f>
        <v>0</v>
      </c>
      <c r="CJ163" s="413"/>
      <c r="CK163" s="414"/>
      <c r="CL163" s="412">
        <f>IF(MID($G$127,8,1)="L",IF($AO$35="Flat Surface",0,CL127),0)</f>
        <v>0</v>
      </c>
      <c r="CM163" s="413"/>
      <c r="CN163" s="414"/>
      <c r="CO163" s="412">
        <f>IF(MID($G$127,8,1)="L",IF($AO$35="Flat Surface",0,CO127),0)</f>
        <v>0</v>
      </c>
      <c r="CP163" s="413"/>
      <c r="CQ163" s="414"/>
      <c r="CR163" s="412">
        <f>IF(MID($G$127,8,1)="L",IF($AO$35="Flat Surface",0,CR127),0)</f>
        <v>0</v>
      </c>
      <c r="CS163" s="413"/>
      <c r="CT163" s="414"/>
      <c r="CU163" s="412">
        <f>IF(MID($G$127,8,1)="L",IF($AO$35="Flat Surface",0,CU127),0)</f>
        <v>0</v>
      </c>
      <c r="CV163" s="413"/>
      <c r="CW163" s="414"/>
      <c r="CX163" s="412">
        <f>IF(MID($G$127,8,1)="L",IF($AO$35="Flat Surface",0,CX127),0)</f>
        <v>0</v>
      </c>
      <c r="CY163" s="413"/>
      <c r="CZ163" s="414"/>
      <c r="DA163" s="412">
        <f>IF(MID($G$127,8,1)="L",IF($AO$35="Flat Surface",0,DA127),0)</f>
        <v>0</v>
      </c>
      <c r="DB163" s="413"/>
      <c r="DC163" s="414"/>
      <c r="DD163" s="412">
        <f>IF(MID($G$127,8,1)="L",IF($AO$35="Flat Surface",0,DD127),0)</f>
        <v>0</v>
      </c>
      <c r="DE163" s="413"/>
      <c r="DF163" s="414"/>
      <c r="DH163" s="311"/>
      <c r="DI163" s="311"/>
      <c r="DJ163" s="311"/>
      <c r="DK163" s="311"/>
      <c r="DL163" s="321"/>
      <c r="DM163" s="321"/>
      <c r="DN163" s="321"/>
      <c r="DO163" s="321"/>
      <c r="DP163" s="321"/>
      <c r="DQ163" s="321"/>
      <c r="DR163" s="321"/>
      <c r="DS163" s="321"/>
    </row>
    <row r="164" spans="1:123" ht="7.4" customHeight="1" x14ac:dyDescent="0.5">
      <c r="A164" s="42"/>
      <c r="B164" s="42"/>
      <c r="C164" s="311"/>
      <c r="D164" s="311"/>
      <c r="E164" s="41"/>
      <c r="F164" s="42"/>
      <c r="G164" s="319"/>
      <c r="H164" s="319"/>
      <c r="I164" s="319"/>
      <c r="J164" s="319"/>
      <c r="K164" s="319"/>
      <c r="L164" s="319"/>
      <c r="M164" s="319"/>
      <c r="N164" s="319"/>
      <c r="O164" s="319"/>
      <c r="P164" s="319"/>
      <c r="Q164" s="319"/>
      <c r="R164" s="320"/>
      <c r="S164" s="42"/>
      <c r="T164" s="405"/>
      <c r="U164" s="405"/>
      <c r="V164" s="405"/>
      <c r="W164" s="405"/>
      <c r="X164" s="405"/>
      <c r="Y164" s="405"/>
      <c r="Z164" s="405"/>
      <c r="AA164" s="405"/>
      <c r="AB164" s="405"/>
      <c r="AC164" s="405"/>
      <c r="AD164" s="405"/>
      <c r="AE164" s="405"/>
      <c r="AF164" s="405"/>
      <c r="AG164" s="405"/>
      <c r="AH164" s="405"/>
      <c r="AI164" s="405"/>
      <c r="AJ164" s="411"/>
      <c r="AK164" s="42"/>
      <c r="AL164" s="311"/>
      <c r="AM164" s="311"/>
      <c r="AN164" s="311"/>
      <c r="AO164" s="311"/>
      <c r="AP164" s="43"/>
      <c r="AQ164" s="111"/>
      <c r="AR164" s="309"/>
      <c r="AS164" s="309"/>
      <c r="AT164" s="309"/>
      <c r="AU164" s="309"/>
      <c r="AV164" s="309"/>
      <c r="AW164" s="309"/>
      <c r="AX164" s="309"/>
      <c r="AY164" s="309"/>
      <c r="AZ164" s="309"/>
      <c r="BA164" s="309"/>
      <c r="BB164" s="309"/>
      <c r="BC164" s="309"/>
      <c r="BD164" s="309"/>
      <c r="BE164" s="309"/>
      <c r="BF164" s="309"/>
      <c r="BG164" s="309"/>
      <c r="BH164" s="124"/>
      <c r="BI164" s="41"/>
      <c r="BK164" s="412"/>
      <c r="BL164" s="413"/>
      <c r="BM164" s="414"/>
      <c r="BN164" s="412"/>
      <c r="BO164" s="413"/>
      <c r="BP164" s="414"/>
      <c r="BQ164" s="412"/>
      <c r="BR164" s="413"/>
      <c r="BS164" s="414"/>
      <c r="BT164" s="412"/>
      <c r="BU164" s="413"/>
      <c r="BV164" s="414"/>
      <c r="BW164" s="412"/>
      <c r="BX164" s="413"/>
      <c r="BY164" s="414"/>
      <c r="BZ164" s="412"/>
      <c r="CA164" s="413"/>
      <c r="CB164" s="414"/>
      <c r="CC164" s="412"/>
      <c r="CD164" s="413"/>
      <c r="CE164" s="414"/>
      <c r="CF164" s="412"/>
      <c r="CG164" s="413"/>
      <c r="CH164" s="414"/>
      <c r="CI164" s="412"/>
      <c r="CJ164" s="413"/>
      <c r="CK164" s="414"/>
      <c r="CL164" s="412"/>
      <c r="CM164" s="413"/>
      <c r="CN164" s="414"/>
      <c r="CO164" s="412"/>
      <c r="CP164" s="413"/>
      <c r="CQ164" s="414"/>
      <c r="CR164" s="412"/>
      <c r="CS164" s="413"/>
      <c r="CT164" s="414"/>
      <c r="CU164" s="412"/>
      <c r="CV164" s="413"/>
      <c r="CW164" s="414"/>
      <c r="CX164" s="412"/>
      <c r="CY164" s="413"/>
      <c r="CZ164" s="414"/>
      <c r="DA164" s="412"/>
      <c r="DB164" s="413"/>
      <c r="DC164" s="414"/>
      <c r="DD164" s="412"/>
      <c r="DE164" s="413"/>
      <c r="DF164" s="414"/>
      <c r="DH164" s="311"/>
      <c r="DI164" s="311"/>
      <c r="DJ164" s="311"/>
      <c r="DK164" s="311"/>
      <c r="DL164" s="321"/>
      <c r="DM164" s="321"/>
      <c r="DN164" s="321"/>
      <c r="DO164" s="321"/>
      <c r="DP164" s="321"/>
      <c r="DQ164" s="321"/>
      <c r="DR164" s="321"/>
      <c r="DS164" s="321"/>
    </row>
    <row r="165" spans="1:123" ht="7.4" customHeight="1" x14ac:dyDescent="0.5">
      <c r="A165" s="42"/>
      <c r="B165" s="42"/>
      <c r="C165" s="55"/>
      <c r="D165" s="55"/>
      <c r="E165" s="41"/>
      <c r="F165" s="42"/>
      <c r="G165" s="56"/>
      <c r="H165" s="56"/>
      <c r="I165" s="56"/>
      <c r="J165" s="56"/>
      <c r="K165" s="56"/>
      <c r="L165" s="56"/>
      <c r="M165" s="56"/>
      <c r="N165" s="56"/>
      <c r="O165" s="56"/>
      <c r="P165" s="56"/>
      <c r="Q165" s="56"/>
      <c r="R165" s="126"/>
      <c r="S165" s="42"/>
      <c r="T165" s="116" t="str">
        <f>VLOOKUP(G163,PL!$B$9:$BH$1265,33,FALSE)</f>
        <v>.</v>
      </c>
      <c r="AJ165" s="41"/>
      <c r="AK165" s="42"/>
      <c r="AL165" s="311"/>
      <c r="AM165" s="311"/>
      <c r="AN165" s="311"/>
      <c r="AO165" s="311"/>
      <c r="AP165" s="43"/>
      <c r="AQ165" s="229"/>
      <c r="AR165" s="46"/>
      <c r="AS165" s="46"/>
      <c r="AT165" s="46"/>
      <c r="AU165" s="46"/>
      <c r="AV165" s="46"/>
      <c r="AW165" s="46"/>
      <c r="AX165" s="105"/>
      <c r="AY165" s="79"/>
      <c r="AZ165" s="119"/>
      <c r="BA165" s="119"/>
      <c r="BB165" s="119"/>
      <c r="BC165" s="119"/>
      <c r="BD165" s="119"/>
      <c r="BE165" s="119"/>
      <c r="BF165" s="119"/>
      <c r="BG165" s="119"/>
      <c r="BH165" s="124"/>
      <c r="BI165" s="41"/>
      <c r="BK165" s="194"/>
      <c r="BL165" s="123"/>
      <c r="BM165" s="195"/>
      <c r="BN165" s="194"/>
      <c r="BO165" s="123"/>
      <c r="BP165" s="195"/>
      <c r="BQ165" s="194"/>
      <c r="BR165" s="123"/>
      <c r="BS165" s="195"/>
      <c r="BT165" s="246"/>
      <c r="BU165" s="122"/>
      <c r="BV165" s="247"/>
      <c r="BW165" s="194"/>
      <c r="BX165" s="123"/>
      <c r="BY165" s="195"/>
      <c r="BZ165" s="194"/>
      <c r="CA165" s="123"/>
      <c r="CB165" s="195"/>
      <c r="CC165" s="194"/>
      <c r="CD165" s="123"/>
      <c r="CE165" s="195"/>
      <c r="CF165" s="194"/>
      <c r="CG165" s="123"/>
      <c r="CH165" s="195"/>
      <c r="CI165" s="194"/>
      <c r="CJ165" s="123"/>
      <c r="CK165" s="195"/>
      <c r="CL165" s="194"/>
      <c r="CM165" s="123"/>
      <c r="CN165" s="195"/>
      <c r="CO165" s="194"/>
      <c r="CP165" s="123"/>
      <c r="CQ165" s="195"/>
      <c r="CR165" s="194"/>
      <c r="CS165" s="123"/>
      <c r="CT165" s="195"/>
      <c r="CU165" s="194"/>
      <c r="CV165" s="123"/>
      <c r="CW165" s="195"/>
      <c r="CX165" s="194"/>
      <c r="CY165" s="123"/>
      <c r="CZ165" s="195"/>
      <c r="DA165" s="194"/>
      <c r="DB165" s="123"/>
      <c r="DC165" s="195"/>
      <c r="DD165" s="194"/>
      <c r="DE165" s="123"/>
      <c r="DF165" s="195"/>
      <c r="DH165" s="311"/>
      <c r="DI165" s="311"/>
      <c r="DJ165" s="311"/>
      <c r="DK165" s="311"/>
      <c r="DL165" s="321"/>
      <c r="DM165" s="321"/>
      <c r="DN165" s="321"/>
      <c r="DO165" s="321"/>
      <c r="DP165" s="321"/>
      <c r="DQ165" s="321"/>
      <c r="DR165" s="321"/>
      <c r="DS165" s="321"/>
    </row>
    <row r="166" spans="1:123" ht="7.4" customHeight="1" x14ac:dyDescent="0.5">
      <c r="A166" s="42"/>
      <c r="B166" s="42"/>
      <c r="C166" s="55"/>
      <c r="D166" s="55"/>
      <c r="E166" s="41"/>
      <c r="F166" s="42"/>
      <c r="G166" s="56"/>
      <c r="H166" s="56"/>
      <c r="I166" s="56"/>
      <c r="J166" s="56"/>
      <c r="K166" s="56"/>
      <c r="L166" s="56"/>
      <c r="M166" s="56"/>
      <c r="N166" s="56"/>
      <c r="O166" s="56"/>
      <c r="P166" s="56"/>
      <c r="Q166" s="56"/>
      <c r="R166" s="126"/>
      <c r="S166" s="42"/>
      <c r="AJ166" s="41"/>
      <c r="AK166" s="42"/>
      <c r="AL166" s="311"/>
      <c r="AM166" s="311"/>
      <c r="AN166" s="311"/>
      <c r="AO166" s="311"/>
      <c r="AP166" s="43"/>
      <c r="AQ166" s="229"/>
      <c r="AR166" s="46"/>
      <c r="AS166" s="46"/>
      <c r="AT166" s="46"/>
      <c r="AU166" s="46"/>
      <c r="AV166" s="46"/>
      <c r="AW166" s="46"/>
      <c r="AX166" s="105"/>
      <c r="AY166" s="79"/>
      <c r="AZ166" s="119"/>
      <c r="BA166" s="119"/>
      <c r="BB166" s="119"/>
      <c r="BC166" s="119"/>
      <c r="BD166" s="119"/>
      <c r="BE166" s="119"/>
      <c r="BF166" s="119"/>
      <c r="BG166" s="119"/>
      <c r="BH166" s="124"/>
      <c r="BI166" s="41"/>
      <c r="BK166" s="194"/>
      <c r="BL166" s="123"/>
      <c r="BM166" s="195"/>
      <c r="BN166" s="194"/>
      <c r="BO166" s="123"/>
      <c r="BP166" s="195"/>
      <c r="BQ166" s="194"/>
      <c r="BR166" s="123"/>
      <c r="BS166" s="195"/>
      <c r="BT166" s="194"/>
      <c r="BU166" s="123"/>
      <c r="BV166" s="195"/>
      <c r="BW166" s="194"/>
      <c r="BX166" s="123"/>
      <c r="BY166" s="195"/>
      <c r="BZ166" s="194"/>
      <c r="CA166" s="123"/>
      <c r="CB166" s="195"/>
      <c r="CC166" s="194"/>
      <c r="CD166" s="123"/>
      <c r="CE166" s="195"/>
      <c r="CF166" s="194"/>
      <c r="CG166" s="123"/>
      <c r="CH166" s="195"/>
      <c r="CI166" s="194"/>
      <c r="CJ166" s="123"/>
      <c r="CK166" s="195"/>
      <c r="CL166" s="194"/>
      <c r="CM166" s="123"/>
      <c r="CN166" s="195"/>
      <c r="CO166" s="194"/>
      <c r="CP166" s="123"/>
      <c r="CQ166" s="195"/>
      <c r="CR166" s="194"/>
      <c r="CS166" s="123"/>
      <c r="CT166" s="195"/>
      <c r="CU166" s="194"/>
      <c r="CV166" s="123"/>
      <c r="CW166" s="195"/>
      <c r="CX166" s="194"/>
      <c r="CY166" s="123"/>
      <c r="CZ166" s="195"/>
      <c r="DA166" s="194"/>
      <c r="DB166" s="123"/>
      <c r="DC166" s="195"/>
      <c r="DD166" s="194"/>
      <c r="DE166" s="123"/>
      <c r="DF166" s="195"/>
      <c r="DH166" s="311"/>
      <c r="DI166" s="311"/>
      <c r="DJ166" s="311"/>
      <c r="DK166" s="311"/>
      <c r="DL166" s="321"/>
      <c r="DM166" s="321"/>
      <c r="DN166" s="321"/>
      <c r="DO166" s="321"/>
      <c r="DP166" s="321"/>
      <c r="DQ166" s="321"/>
      <c r="DR166" s="321"/>
      <c r="DS166" s="321"/>
    </row>
    <row r="167" spans="1:123" ht="7.4" customHeight="1" x14ac:dyDescent="0.5">
      <c r="A167" s="42"/>
      <c r="B167" s="42"/>
      <c r="C167" s="311">
        <f>C163+1</f>
        <v>13</v>
      </c>
      <c r="D167" s="311"/>
      <c r="E167" s="41"/>
      <c r="F167" s="42"/>
      <c r="G167" s="322" t="str">
        <f>IF(AL167=0,"N/A","Anti_Seize_S")</f>
        <v>N/A</v>
      </c>
      <c r="H167" s="322"/>
      <c r="I167" s="322"/>
      <c r="J167" s="322"/>
      <c r="K167" s="322"/>
      <c r="L167" s="322"/>
      <c r="M167" s="322"/>
      <c r="N167" s="322"/>
      <c r="O167" s="322"/>
      <c r="P167" s="322"/>
      <c r="Q167" s="322"/>
      <c r="R167" s="323"/>
      <c r="S167" s="42"/>
      <c r="T167" s="316" t="str">
        <f>VLOOKUP(G167,PL!$B$9:$BH$1265,14,FALSE)</f>
        <v>No Item</v>
      </c>
      <c r="U167" s="316"/>
      <c r="V167" s="316"/>
      <c r="W167" s="316"/>
      <c r="X167" s="316"/>
      <c r="Y167" s="316"/>
      <c r="Z167" s="316"/>
      <c r="AA167" s="316"/>
      <c r="AB167" s="316"/>
      <c r="AC167" s="316"/>
      <c r="AD167" s="316"/>
      <c r="AE167" s="316"/>
      <c r="AF167" s="316"/>
      <c r="AG167" s="316"/>
      <c r="AH167" s="316"/>
      <c r="AI167" s="316"/>
      <c r="AJ167" s="317"/>
      <c r="AK167" s="42"/>
      <c r="AL167" s="311">
        <f>SUM(BK167:DF167)</f>
        <v>0</v>
      </c>
      <c r="AM167" s="311"/>
      <c r="AN167" s="311"/>
      <c r="AO167" s="311"/>
      <c r="AP167" s="43"/>
      <c r="AQ167" s="111"/>
      <c r="AR167" s="308" t="str">
        <f>VLOOKUP(G167,PL!$B$9:$BH$818,52,FALSE)</f>
        <v>-</v>
      </c>
      <c r="AS167" s="309"/>
      <c r="AT167" s="309"/>
      <c r="AU167" s="309"/>
      <c r="AV167" s="309"/>
      <c r="AW167" s="309"/>
      <c r="AX167" s="309"/>
      <c r="AY167" s="309"/>
      <c r="AZ167" s="309"/>
      <c r="BA167" s="309"/>
      <c r="BB167" s="309"/>
      <c r="BC167" s="309"/>
      <c r="BD167" s="309"/>
      <c r="BE167" s="309"/>
      <c r="BF167" s="309"/>
      <c r="BG167" s="309"/>
      <c r="BH167" s="124"/>
      <c r="BI167" s="41"/>
      <c r="BK167" s="500">
        <f>IF($N$70="Not Included",ROUNDUP(SUM(BK123:DF123)/1000,0),0)</f>
        <v>0</v>
      </c>
      <c r="BL167" s="501"/>
      <c r="BM167" s="502"/>
      <c r="BN167" s="194"/>
      <c r="BO167" s="123"/>
      <c r="BP167" s="195"/>
      <c r="BQ167" s="194"/>
      <c r="BR167" s="123"/>
      <c r="BS167" s="195"/>
      <c r="BT167" s="194"/>
      <c r="BU167" s="123"/>
      <c r="BV167" s="195"/>
      <c r="BW167" s="194"/>
      <c r="BX167" s="123"/>
      <c r="BY167" s="195"/>
      <c r="BZ167" s="194"/>
      <c r="CA167" s="123"/>
      <c r="CB167" s="195"/>
      <c r="CC167" s="194"/>
      <c r="CD167" s="123"/>
      <c r="CE167" s="195"/>
      <c r="CF167" s="194"/>
      <c r="CG167" s="123"/>
      <c r="CH167" s="195"/>
      <c r="CI167" s="194"/>
      <c r="CJ167" s="123"/>
      <c r="CK167" s="195"/>
      <c r="CL167" s="194"/>
      <c r="CM167" s="123"/>
      <c r="CN167" s="195"/>
      <c r="CO167" s="194"/>
      <c r="CP167" s="123"/>
      <c r="CQ167" s="195"/>
      <c r="CR167" s="194"/>
      <c r="CS167" s="123"/>
      <c r="CT167" s="195"/>
      <c r="CU167" s="194"/>
      <c r="CV167" s="123"/>
      <c r="CW167" s="195"/>
      <c r="CX167" s="194"/>
      <c r="CY167" s="123"/>
      <c r="CZ167" s="195"/>
      <c r="DA167" s="194"/>
      <c r="DB167" s="123"/>
      <c r="DC167" s="195"/>
      <c r="DD167" s="194"/>
      <c r="DE167" s="123"/>
      <c r="DF167" s="195"/>
      <c r="DL167" s="105"/>
      <c r="DM167" s="105"/>
      <c r="DN167" s="105"/>
      <c r="DO167" s="105"/>
      <c r="DP167" s="105"/>
      <c r="DQ167" s="105"/>
      <c r="DR167" s="105"/>
      <c r="DS167" s="105"/>
    </row>
    <row r="168" spans="1:123" ht="7.4" customHeight="1" x14ac:dyDescent="0.5">
      <c r="A168" s="42"/>
      <c r="B168" s="42"/>
      <c r="C168" s="311"/>
      <c r="D168" s="311"/>
      <c r="E168" s="41"/>
      <c r="F168" s="42"/>
      <c r="G168" s="322"/>
      <c r="H168" s="322"/>
      <c r="I168" s="322"/>
      <c r="J168" s="322"/>
      <c r="K168" s="322"/>
      <c r="L168" s="322"/>
      <c r="M168" s="322"/>
      <c r="N168" s="322"/>
      <c r="O168" s="322"/>
      <c r="P168" s="322"/>
      <c r="Q168" s="322"/>
      <c r="R168" s="323"/>
      <c r="S168" s="42"/>
      <c r="T168" s="316"/>
      <c r="U168" s="316"/>
      <c r="V168" s="316"/>
      <c r="W168" s="316"/>
      <c r="X168" s="316"/>
      <c r="Y168" s="316"/>
      <c r="Z168" s="316"/>
      <c r="AA168" s="316"/>
      <c r="AB168" s="316"/>
      <c r="AC168" s="316"/>
      <c r="AD168" s="316"/>
      <c r="AE168" s="316"/>
      <c r="AF168" s="316"/>
      <c r="AG168" s="316"/>
      <c r="AH168" s="316"/>
      <c r="AI168" s="316"/>
      <c r="AJ168" s="317"/>
      <c r="AK168" s="42"/>
      <c r="AL168" s="311"/>
      <c r="AM168" s="311"/>
      <c r="AN168" s="311"/>
      <c r="AO168" s="311"/>
      <c r="AP168" s="43"/>
      <c r="AQ168" s="111"/>
      <c r="AR168" s="309"/>
      <c r="AS168" s="309"/>
      <c r="AT168" s="309"/>
      <c r="AU168" s="309"/>
      <c r="AV168" s="309"/>
      <c r="AW168" s="309"/>
      <c r="AX168" s="309"/>
      <c r="AY168" s="309"/>
      <c r="AZ168" s="309"/>
      <c r="BA168" s="309"/>
      <c r="BB168" s="309"/>
      <c r="BC168" s="309"/>
      <c r="BD168" s="309"/>
      <c r="BE168" s="309"/>
      <c r="BF168" s="309"/>
      <c r="BG168" s="309"/>
      <c r="BH168" s="124"/>
      <c r="BI168" s="41"/>
      <c r="BK168" s="500"/>
      <c r="BL168" s="501"/>
      <c r="BM168" s="502"/>
      <c r="BN168" s="194"/>
      <c r="BO168" s="123"/>
      <c r="BP168" s="195"/>
      <c r="BQ168" s="194"/>
      <c r="BR168" s="123"/>
      <c r="BS168" s="195"/>
      <c r="BT168" s="194"/>
      <c r="BU168" s="123"/>
      <c r="BV168" s="195"/>
      <c r="BW168" s="194"/>
      <c r="BX168" s="123"/>
      <c r="BY168" s="195"/>
      <c r="BZ168" s="194"/>
      <c r="CA168" s="123"/>
      <c r="CB168" s="195"/>
      <c r="CC168" s="194"/>
      <c r="CD168" s="123"/>
      <c r="CE168" s="195"/>
      <c r="CF168" s="194"/>
      <c r="CG168" s="123"/>
      <c r="CH168" s="195"/>
      <c r="CI168" s="194"/>
      <c r="CJ168" s="123"/>
      <c r="CK168" s="195"/>
      <c r="CL168" s="194"/>
      <c r="CM168" s="123"/>
      <c r="CN168" s="195"/>
      <c r="CO168" s="194"/>
      <c r="CP168" s="123"/>
      <c r="CQ168" s="195"/>
      <c r="CR168" s="194"/>
      <c r="CS168" s="123"/>
      <c r="CT168" s="195"/>
      <c r="CU168" s="194"/>
      <c r="CV168" s="123"/>
      <c r="CW168" s="195"/>
      <c r="CX168" s="194"/>
      <c r="CY168" s="123"/>
      <c r="CZ168" s="195"/>
      <c r="DA168" s="194"/>
      <c r="DB168" s="123"/>
      <c r="DC168" s="195"/>
      <c r="DD168" s="194"/>
      <c r="DE168" s="123"/>
      <c r="DF168" s="195"/>
      <c r="DL168" s="105"/>
      <c r="DM168" s="105"/>
      <c r="DN168" s="105"/>
      <c r="DO168" s="105"/>
      <c r="DP168" s="105"/>
      <c r="DQ168" s="105"/>
      <c r="DR168" s="105"/>
      <c r="DS168" s="105"/>
    </row>
    <row r="169" spans="1:123" ht="7.4" customHeight="1" x14ac:dyDescent="0.5">
      <c r="A169" s="42"/>
      <c r="B169" s="42"/>
      <c r="C169" s="75"/>
      <c r="D169" s="75"/>
      <c r="E169" s="41"/>
      <c r="F169" s="42"/>
      <c r="G169" s="56"/>
      <c r="H169" s="56"/>
      <c r="I169" s="56"/>
      <c r="J169" s="56"/>
      <c r="K169" s="56"/>
      <c r="L169" s="56"/>
      <c r="M169" s="56"/>
      <c r="N169" s="56"/>
      <c r="O169" s="56"/>
      <c r="P169" s="56"/>
      <c r="Q169" s="56"/>
      <c r="R169" s="126"/>
      <c r="S169" s="42"/>
      <c r="T169" s="116" t="str">
        <f>VLOOKUP(G167,PL!$B$9:$BH$1265,33,FALSE)</f>
        <v>.</v>
      </c>
      <c r="U169" s="49"/>
      <c r="V169" s="49"/>
      <c r="W169" s="49"/>
      <c r="X169" s="49"/>
      <c r="Y169" s="49"/>
      <c r="Z169" s="49"/>
      <c r="AA169" s="49"/>
      <c r="AB169" s="49"/>
      <c r="AC169" s="49"/>
      <c r="AD169" s="49"/>
      <c r="AE169" s="49"/>
      <c r="AF169" s="49"/>
      <c r="AG169" s="49"/>
      <c r="AH169" s="49"/>
      <c r="AI169" s="49"/>
      <c r="AJ169" s="110"/>
      <c r="AK169" s="42"/>
      <c r="AL169" s="127"/>
      <c r="AM169" s="127"/>
      <c r="AN169" s="127"/>
      <c r="AO169" s="127"/>
      <c r="AP169" s="43"/>
      <c r="AQ169" s="111"/>
      <c r="AR169" s="112"/>
      <c r="AS169" s="112"/>
      <c r="AT169" s="112"/>
      <c r="AU169" s="112"/>
      <c r="AV169" s="112"/>
      <c r="AW169" s="112"/>
      <c r="AX169" s="112"/>
      <c r="AY169" s="112"/>
      <c r="AZ169" s="112"/>
      <c r="BA169" s="112"/>
      <c r="BB169" s="112"/>
      <c r="BC169" s="112"/>
      <c r="BD169" s="112"/>
      <c r="BE169" s="112"/>
      <c r="BF169" s="112"/>
      <c r="BG169" s="112"/>
      <c r="BH169" s="124"/>
      <c r="BI169" s="41"/>
      <c r="BK169" s="194"/>
      <c r="BL169" s="123"/>
      <c r="BM169" s="195"/>
      <c r="BN169" s="194"/>
      <c r="BO169" s="123"/>
      <c r="BP169" s="195"/>
      <c r="BQ169" s="194"/>
      <c r="BR169" s="123"/>
      <c r="BS169" s="195"/>
      <c r="BT169" s="194"/>
      <c r="BU169" s="123"/>
      <c r="BV169" s="195"/>
      <c r="BW169" s="194"/>
      <c r="BX169" s="123"/>
      <c r="BY169" s="195"/>
      <c r="BZ169" s="194"/>
      <c r="CA169" s="123"/>
      <c r="CB169" s="195"/>
      <c r="CC169" s="194"/>
      <c r="CD169" s="123"/>
      <c r="CE169" s="195"/>
      <c r="CF169" s="194"/>
      <c r="CG169" s="123"/>
      <c r="CH169" s="195"/>
      <c r="CI169" s="194"/>
      <c r="CJ169" s="123"/>
      <c r="CK169" s="195"/>
      <c r="CL169" s="194"/>
      <c r="CM169" s="123"/>
      <c r="CN169" s="195"/>
      <c r="CO169" s="194"/>
      <c r="CP169" s="123"/>
      <c r="CQ169" s="195"/>
      <c r="CR169" s="194"/>
      <c r="CS169" s="123"/>
      <c r="CT169" s="195"/>
      <c r="CU169" s="194"/>
      <c r="CV169" s="123"/>
      <c r="CW169" s="195"/>
      <c r="CX169" s="194"/>
      <c r="CY169" s="123"/>
      <c r="CZ169" s="195"/>
      <c r="DA169" s="194"/>
      <c r="DB169" s="123"/>
      <c r="DC169" s="195"/>
      <c r="DD169" s="194"/>
      <c r="DE169" s="123"/>
      <c r="DF169" s="195"/>
      <c r="DL169" s="105"/>
      <c r="DM169" s="105"/>
      <c r="DN169" s="105"/>
      <c r="DO169" s="105"/>
      <c r="DP169" s="105"/>
      <c r="DQ169" s="105"/>
      <c r="DR169" s="105"/>
      <c r="DS169" s="105"/>
    </row>
    <row r="170" spans="1:123" ht="7.4" customHeight="1" x14ac:dyDescent="0.5">
      <c r="A170" s="42"/>
      <c r="B170" s="42"/>
      <c r="C170" s="55"/>
      <c r="D170" s="55"/>
      <c r="E170" s="41"/>
      <c r="F170" s="42"/>
      <c r="G170" s="56"/>
      <c r="H170" s="56"/>
      <c r="I170" s="56"/>
      <c r="J170" s="56"/>
      <c r="K170" s="56"/>
      <c r="L170" s="56"/>
      <c r="M170" s="56"/>
      <c r="N170" s="56"/>
      <c r="O170" s="56"/>
      <c r="P170" s="56"/>
      <c r="Q170" s="56"/>
      <c r="R170" s="126"/>
      <c r="S170" s="42"/>
      <c r="AJ170" s="41"/>
      <c r="AK170" s="42"/>
      <c r="AL170" s="75"/>
      <c r="AM170" s="75"/>
      <c r="AN170" s="75"/>
      <c r="AO170" s="75"/>
      <c r="AP170" s="43"/>
      <c r="AQ170" s="42"/>
      <c r="AR170" s="119"/>
      <c r="AS170" s="119"/>
      <c r="AT170" s="119"/>
      <c r="AU170" s="119"/>
      <c r="AV170" s="119"/>
      <c r="AW170" s="119"/>
      <c r="AX170" s="105"/>
      <c r="AZ170" s="119"/>
      <c r="BA170" s="119"/>
      <c r="BB170" s="119"/>
      <c r="BC170" s="119"/>
      <c r="BD170" s="119"/>
      <c r="BE170" s="119"/>
      <c r="BF170" s="119"/>
      <c r="BG170" s="119"/>
      <c r="BH170" s="124"/>
      <c r="BI170" s="41"/>
      <c r="BK170" s="194"/>
      <c r="BL170" s="123"/>
      <c r="BM170" s="195"/>
      <c r="BN170" s="194"/>
      <c r="BO170" s="123"/>
      <c r="BP170" s="195"/>
      <c r="BQ170" s="194"/>
      <c r="BR170" s="123"/>
      <c r="BS170" s="195"/>
      <c r="BT170" s="194"/>
      <c r="BU170" s="123"/>
      <c r="BV170" s="195"/>
      <c r="BW170" s="194"/>
      <c r="BX170" s="123"/>
      <c r="BY170" s="195"/>
      <c r="BZ170" s="194"/>
      <c r="CA170" s="123"/>
      <c r="CB170" s="195"/>
      <c r="CC170" s="194"/>
      <c r="CD170" s="123"/>
      <c r="CE170" s="195"/>
      <c r="CF170" s="194"/>
      <c r="CG170" s="123"/>
      <c r="CH170" s="195"/>
      <c r="CI170" s="194"/>
      <c r="CJ170" s="123"/>
      <c r="CK170" s="195"/>
      <c r="CL170" s="194"/>
      <c r="CM170" s="123"/>
      <c r="CN170" s="195"/>
      <c r="CO170" s="194"/>
      <c r="CP170" s="123"/>
      <c r="CQ170" s="195"/>
      <c r="CR170" s="194"/>
      <c r="CS170" s="123"/>
      <c r="CT170" s="195"/>
      <c r="CU170" s="194"/>
      <c r="CV170" s="123"/>
      <c r="CW170" s="195"/>
      <c r="CX170" s="194"/>
      <c r="CY170" s="123"/>
      <c r="CZ170" s="195"/>
      <c r="DA170" s="194"/>
      <c r="DB170" s="123"/>
      <c r="DC170" s="195"/>
      <c r="DD170" s="194"/>
      <c r="DE170" s="123"/>
      <c r="DF170" s="195"/>
      <c r="DL170" s="105"/>
      <c r="DM170" s="105"/>
      <c r="DN170" s="105"/>
      <c r="DO170" s="105"/>
      <c r="DP170" s="105"/>
      <c r="DQ170" s="105"/>
      <c r="DR170" s="105"/>
      <c r="DS170" s="105"/>
    </row>
    <row r="171" spans="1:123" ht="7.4" customHeight="1" x14ac:dyDescent="0.5">
      <c r="A171" s="42"/>
      <c r="B171" s="42"/>
      <c r="C171" s="311">
        <f>C167+1</f>
        <v>14</v>
      </c>
      <c r="D171" s="311"/>
      <c r="E171" s="41"/>
      <c r="F171" s="42"/>
      <c r="G171" s="314" t="s">
        <v>55</v>
      </c>
      <c r="H171" s="314"/>
      <c r="I171" s="314"/>
      <c r="J171" s="314"/>
      <c r="K171" s="314"/>
      <c r="L171" s="314"/>
      <c r="M171" s="314"/>
      <c r="N171" s="314"/>
      <c r="O171" s="314"/>
      <c r="P171" s="314"/>
      <c r="Q171" s="314"/>
      <c r="R171" s="315"/>
      <c r="S171" s="42"/>
      <c r="T171" s="316" t="str">
        <f>IF(AL171=1,"Transport estimate","Transport excluded")</f>
        <v>Transport excluded</v>
      </c>
      <c r="U171" s="316"/>
      <c r="V171" s="316"/>
      <c r="W171" s="316"/>
      <c r="X171" s="316"/>
      <c r="Y171" s="316"/>
      <c r="Z171" s="316"/>
      <c r="AA171" s="316"/>
      <c r="AB171" s="316"/>
      <c r="AC171" s="316"/>
      <c r="AD171" s="316"/>
      <c r="AE171" s="316"/>
      <c r="AF171" s="316"/>
      <c r="AG171" s="316"/>
      <c r="AH171" s="316"/>
      <c r="AI171" s="316"/>
      <c r="AJ171" s="317"/>
      <c r="AK171" s="42"/>
      <c r="AL171" s="318">
        <v>0</v>
      </c>
      <c r="AM171" s="318"/>
      <c r="AN171" s="318"/>
      <c r="AO171" s="318"/>
      <c r="AP171" s="43"/>
      <c r="AQ171" s="111"/>
      <c r="AR171" s="308" t="str">
        <f>VLOOKUP(G171,PL!$B$9:$BH$818,52,FALSE)</f>
        <v>-</v>
      </c>
      <c r="AS171" s="309"/>
      <c r="AT171" s="309"/>
      <c r="AU171" s="309"/>
      <c r="AV171" s="309"/>
      <c r="AW171" s="309"/>
      <c r="AX171" s="309"/>
      <c r="AY171" s="309"/>
      <c r="AZ171" s="309"/>
      <c r="BA171" s="309"/>
      <c r="BB171" s="309"/>
      <c r="BC171" s="309"/>
      <c r="BD171" s="309"/>
      <c r="BE171" s="309"/>
      <c r="BF171" s="309"/>
      <c r="BG171" s="309"/>
      <c r="BH171" s="124"/>
      <c r="BI171" s="41"/>
      <c r="BK171" s="412"/>
      <c r="BL171" s="413"/>
      <c r="BM171" s="414"/>
      <c r="BN171" s="194"/>
      <c r="BO171" s="123"/>
      <c r="BP171" s="195"/>
      <c r="BQ171" s="194"/>
      <c r="BR171" s="123"/>
      <c r="BS171" s="195"/>
      <c r="BT171" s="194"/>
      <c r="BU171" s="123"/>
      <c r="BV171" s="195"/>
      <c r="BW171" s="194"/>
      <c r="BX171" s="123"/>
      <c r="BY171" s="195"/>
      <c r="BZ171" s="194"/>
      <c r="CA171" s="123"/>
      <c r="CB171" s="195"/>
      <c r="CC171" s="194"/>
      <c r="CD171" s="123"/>
      <c r="CE171" s="195"/>
      <c r="CF171" s="194"/>
      <c r="CG171" s="123"/>
      <c r="CH171" s="195"/>
      <c r="CI171" s="194"/>
      <c r="CJ171" s="123"/>
      <c r="CK171" s="195"/>
      <c r="CL171" s="194"/>
      <c r="CM171" s="123"/>
      <c r="CN171" s="195"/>
      <c r="CO171" s="194"/>
      <c r="CP171" s="123"/>
      <c r="CQ171" s="195"/>
      <c r="CR171" s="194"/>
      <c r="CS171" s="123"/>
      <c r="CT171" s="195"/>
      <c r="CU171" s="194"/>
      <c r="CV171" s="123"/>
      <c r="CW171" s="195"/>
      <c r="CX171" s="194"/>
      <c r="CY171" s="123"/>
      <c r="CZ171" s="195"/>
      <c r="DA171" s="194"/>
      <c r="DB171" s="123"/>
      <c r="DC171" s="195"/>
      <c r="DD171" s="194"/>
      <c r="DE171" s="123"/>
      <c r="DF171" s="195"/>
      <c r="DH171" s="311"/>
      <c r="DI171" s="311"/>
      <c r="DJ171" s="311"/>
      <c r="DK171" s="311"/>
      <c r="DL171" s="321"/>
      <c r="DM171" s="321"/>
      <c r="DN171" s="321"/>
      <c r="DO171" s="321"/>
      <c r="DP171" s="321"/>
      <c r="DQ171" s="321"/>
      <c r="DR171" s="321"/>
      <c r="DS171" s="321"/>
    </row>
    <row r="172" spans="1:123" ht="7.4" customHeight="1" x14ac:dyDescent="0.5">
      <c r="A172" s="42"/>
      <c r="B172" s="42"/>
      <c r="C172" s="311"/>
      <c r="D172" s="311"/>
      <c r="E172" s="41"/>
      <c r="F172" s="42"/>
      <c r="G172" s="314"/>
      <c r="H172" s="314"/>
      <c r="I172" s="314"/>
      <c r="J172" s="314"/>
      <c r="K172" s="314"/>
      <c r="L172" s="314"/>
      <c r="M172" s="314"/>
      <c r="N172" s="314"/>
      <c r="O172" s="314"/>
      <c r="P172" s="314"/>
      <c r="Q172" s="314"/>
      <c r="R172" s="315"/>
      <c r="S172" s="42"/>
      <c r="T172" s="316"/>
      <c r="U172" s="316"/>
      <c r="V172" s="316"/>
      <c r="W172" s="316"/>
      <c r="X172" s="316"/>
      <c r="Y172" s="316"/>
      <c r="Z172" s="316"/>
      <c r="AA172" s="316"/>
      <c r="AB172" s="316"/>
      <c r="AC172" s="316"/>
      <c r="AD172" s="316"/>
      <c r="AE172" s="316"/>
      <c r="AF172" s="316"/>
      <c r="AG172" s="316"/>
      <c r="AH172" s="316"/>
      <c r="AI172" s="316"/>
      <c r="AJ172" s="317"/>
      <c r="AK172" s="42"/>
      <c r="AL172" s="318"/>
      <c r="AM172" s="318"/>
      <c r="AN172" s="318"/>
      <c r="AO172" s="318"/>
      <c r="AP172" s="43"/>
      <c r="AQ172" s="111"/>
      <c r="AR172" s="309"/>
      <c r="AS172" s="309"/>
      <c r="AT172" s="309"/>
      <c r="AU172" s="309"/>
      <c r="AV172" s="309"/>
      <c r="AW172" s="309"/>
      <c r="AX172" s="309"/>
      <c r="AY172" s="309"/>
      <c r="AZ172" s="309"/>
      <c r="BA172" s="309"/>
      <c r="BB172" s="309"/>
      <c r="BC172" s="309"/>
      <c r="BD172" s="309"/>
      <c r="BE172" s="309"/>
      <c r="BF172" s="309"/>
      <c r="BG172" s="309"/>
      <c r="BH172" s="124"/>
      <c r="BI172" s="41"/>
      <c r="BK172" s="412"/>
      <c r="BL172" s="413"/>
      <c r="BM172" s="414"/>
      <c r="BN172" s="194"/>
      <c r="BO172" s="123"/>
      <c r="BP172" s="195"/>
      <c r="BQ172" s="194"/>
      <c r="BR172" s="123"/>
      <c r="BS172" s="195"/>
      <c r="BT172" s="194"/>
      <c r="BU172" s="123"/>
      <c r="BV172" s="195"/>
      <c r="BW172" s="194"/>
      <c r="BX172" s="123"/>
      <c r="BY172" s="195"/>
      <c r="BZ172" s="194"/>
      <c r="CA172" s="123"/>
      <c r="CB172" s="195"/>
      <c r="CC172" s="194"/>
      <c r="CD172" s="123"/>
      <c r="CE172" s="195"/>
      <c r="CF172" s="194"/>
      <c r="CG172" s="123"/>
      <c r="CH172" s="195"/>
      <c r="CI172" s="194"/>
      <c r="CJ172" s="123"/>
      <c r="CK172" s="195"/>
      <c r="CL172" s="194"/>
      <c r="CM172" s="123"/>
      <c r="CN172" s="195"/>
      <c r="CO172" s="194"/>
      <c r="CP172" s="123"/>
      <c r="CQ172" s="195"/>
      <c r="CR172" s="194"/>
      <c r="CS172" s="123"/>
      <c r="CT172" s="195"/>
      <c r="CU172" s="194"/>
      <c r="CV172" s="123"/>
      <c r="CW172" s="195"/>
      <c r="CX172" s="194"/>
      <c r="CY172" s="123"/>
      <c r="CZ172" s="195"/>
      <c r="DA172" s="194"/>
      <c r="DB172" s="123"/>
      <c r="DC172" s="195"/>
      <c r="DD172" s="194"/>
      <c r="DE172" s="123"/>
      <c r="DF172" s="195"/>
      <c r="DL172" s="105"/>
      <c r="DM172" s="105"/>
      <c r="DN172" s="105"/>
      <c r="DO172" s="105"/>
      <c r="DP172" s="105"/>
      <c r="DQ172" s="105"/>
      <c r="DR172" s="105"/>
      <c r="DS172" s="105"/>
    </row>
    <row r="173" spans="1:123" ht="7.4" customHeight="1" x14ac:dyDescent="0.5">
      <c r="A173" s="42"/>
      <c r="B173" s="42"/>
      <c r="C173" s="75"/>
      <c r="D173" s="75"/>
      <c r="E173" s="41"/>
      <c r="F173" s="42"/>
      <c r="G173" s="56"/>
      <c r="H173" s="56"/>
      <c r="I173" s="56"/>
      <c r="J173" s="56"/>
      <c r="K173" s="56"/>
      <c r="L173" s="56"/>
      <c r="M173" s="56"/>
      <c r="N173" s="56"/>
      <c r="O173" s="56"/>
      <c r="P173" s="56"/>
      <c r="Q173" s="56"/>
      <c r="R173" s="126"/>
      <c r="S173" s="42"/>
      <c r="T173" s="49"/>
      <c r="U173" s="49"/>
      <c r="V173" s="49"/>
      <c r="W173" s="49"/>
      <c r="X173" s="49"/>
      <c r="Y173" s="49"/>
      <c r="Z173" s="49"/>
      <c r="AA173" s="49"/>
      <c r="AB173" s="49"/>
      <c r="AC173" s="49"/>
      <c r="AD173" s="49"/>
      <c r="AE173" s="49"/>
      <c r="AF173" s="49"/>
      <c r="AG173" s="49"/>
      <c r="AH173" s="49"/>
      <c r="AI173" s="49"/>
      <c r="AJ173" s="110"/>
      <c r="AK173" s="42"/>
      <c r="AL173" s="127"/>
      <c r="AM173" s="127"/>
      <c r="AN173" s="127"/>
      <c r="AO173" s="127"/>
      <c r="AP173" s="43"/>
      <c r="AQ173" s="128"/>
      <c r="AR173" s="275"/>
      <c r="AS173" s="275"/>
      <c r="AT173" s="275"/>
      <c r="AU173" s="275"/>
      <c r="AV173" s="275"/>
      <c r="AW173" s="275"/>
      <c r="AX173" s="105"/>
      <c r="AY173" s="130"/>
      <c r="AZ173" s="131"/>
      <c r="BA173" s="131"/>
      <c r="BB173" s="131"/>
      <c r="BC173" s="131"/>
      <c r="BD173" s="131"/>
      <c r="BE173" s="131"/>
      <c r="BF173" s="131"/>
      <c r="BG173" s="131"/>
      <c r="BH173" s="124"/>
      <c r="BI173" s="41"/>
      <c r="BK173" s="198"/>
      <c r="BL173" s="199"/>
      <c r="BM173" s="200"/>
      <c r="BN173" s="194"/>
      <c r="BO173" s="123"/>
      <c r="BP173" s="195"/>
      <c r="BQ173" s="194"/>
      <c r="BR173" s="123"/>
      <c r="BS173" s="195"/>
      <c r="BT173" s="194"/>
      <c r="BU173" s="123"/>
      <c r="BV173" s="195"/>
      <c r="BW173" s="194"/>
      <c r="BX173" s="123"/>
      <c r="BY173" s="195"/>
      <c r="BZ173" s="194"/>
      <c r="CA173" s="123"/>
      <c r="CB173" s="195"/>
      <c r="CC173" s="194"/>
      <c r="CD173" s="123"/>
      <c r="CE173" s="195"/>
      <c r="CF173" s="194"/>
      <c r="CG173" s="123"/>
      <c r="CH173" s="195"/>
      <c r="CI173" s="194"/>
      <c r="CJ173" s="123"/>
      <c r="CK173" s="195"/>
      <c r="CL173" s="194"/>
      <c r="CM173" s="123"/>
      <c r="CN173" s="195"/>
      <c r="CO173" s="194"/>
      <c r="CP173" s="123"/>
      <c r="CQ173" s="195"/>
      <c r="CR173" s="194"/>
      <c r="CS173" s="123"/>
      <c r="CT173" s="195"/>
      <c r="CU173" s="194"/>
      <c r="CV173" s="123"/>
      <c r="CW173" s="195"/>
      <c r="CX173" s="194"/>
      <c r="CY173" s="123"/>
      <c r="CZ173" s="195"/>
      <c r="DA173" s="194"/>
      <c r="DB173" s="123"/>
      <c r="DC173" s="195"/>
      <c r="DD173" s="194"/>
      <c r="DE173" s="123"/>
      <c r="DF173" s="195"/>
      <c r="DL173" s="105"/>
      <c r="DM173" s="105"/>
      <c r="DN173" s="105"/>
      <c r="DO173" s="105"/>
      <c r="DP173" s="105"/>
      <c r="DQ173" s="105"/>
      <c r="DR173" s="105"/>
      <c r="DS173" s="105"/>
    </row>
    <row r="174" spans="1:123" ht="7.4" customHeight="1" x14ac:dyDescent="0.5">
      <c r="A174" s="42"/>
      <c r="B174" s="50"/>
      <c r="C174" s="51"/>
      <c r="D174" s="51"/>
      <c r="E174" s="52"/>
      <c r="F174" s="50"/>
      <c r="G174" s="132"/>
      <c r="H174" s="132"/>
      <c r="I174" s="132"/>
      <c r="J174" s="132"/>
      <c r="K174" s="132"/>
      <c r="L174" s="132"/>
      <c r="M174" s="132"/>
      <c r="N174" s="132"/>
      <c r="O174" s="132"/>
      <c r="P174" s="132"/>
      <c r="Q174" s="132"/>
      <c r="R174" s="204"/>
      <c r="S174" s="50"/>
      <c r="T174" s="51"/>
      <c r="U174" s="51"/>
      <c r="V174" s="51"/>
      <c r="W174" s="51"/>
      <c r="X174" s="51"/>
      <c r="Y174" s="51"/>
      <c r="Z174" s="51"/>
      <c r="AA174" s="51"/>
      <c r="AB174" s="51"/>
      <c r="AC174" s="51"/>
      <c r="AD174" s="51"/>
      <c r="AE174" s="51"/>
      <c r="AF174" s="51"/>
      <c r="AG174" s="51"/>
      <c r="AH174" s="51"/>
      <c r="AI174" s="51"/>
      <c r="AJ174" s="52"/>
      <c r="AK174" s="50"/>
      <c r="AL174" s="355"/>
      <c r="AM174" s="355"/>
      <c r="AN174" s="355"/>
      <c r="AO174" s="355"/>
      <c r="AP174" s="84"/>
      <c r="AQ174" s="50"/>
      <c r="AR174" s="135"/>
      <c r="AS174" s="135"/>
      <c r="AT174" s="135"/>
      <c r="AU174" s="135"/>
      <c r="AV174" s="135"/>
      <c r="AW174" s="135"/>
      <c r="AX174" s="135"/>
      <c r="AY174" s="51"/>
      <c r="AZ174" s="135"/>
      <c r="BA174" s="135"/>
      <c r="BB174" s="135"/>
      <c r="BC174" s="135"/>
      <c r="BD174" s="135"/>
      <c r="BE174" s="135"/>
      <c r="BF174" s="135"/>
      <c r="BG174" s="135"/>
      <c r="BH174" s="158"/>
      <c r="BI174" s="41"/>
      <c r="BK174" s="205"/>
      <c r="BL174" s="206"/>
      <c r="BM174" s="207"/>
      <c r="BN174" s="205"/>
      <c r="BO174" s="206"/>
      <c r="BP174" s="207"/>
      <c r="BQ174" s="205"/>
      <c r="BR174" s="206"/>
      <c r="BS174" s="207"/>
      <c r="BT174" s="205"/>
      <c r="BU174" s="206"/>
      <c r="BV174" s="207"/>
      <c r="BW174" s="205"/>
      <c r="BX174" s="206"/>
      <c r="BY174" s="207"/>
      <c r="BZ174" s="205"/>
      <c r="CA174" s="206"/>
      <c r="CB174" s="207"/>
      <c r="CC174" s="205"/>
      <c r="CD174" s="206"/>
      <c r="CE174" s="207"/>
      <c r="CF174" s="205"/>
      <c r="CG174" s="206"/>
      <c r="CH174" s="207"/>
      <c r="CI174" s="205"/>
      <c r="CJ174" s="206"/>
      <c r="CK174" s="207"/>
      <c r="CL174" s="205"/>
      <c r="CM174" s="206"/>
      <c r="CN174" s="207"/>
      <c r="CO174" s="205"/>
      <c r="CP174" s="206"/>
      <c r="CQ174" s="207"/>
      <c r="CR174" s="205"/>
      <c r="CS174" s="206"/>
      <c r="CT174" s="207"/>
      <c r="CU174" s="205"/>
      <c r="CV174" s="206"/>
      <c r="CW174" s="207"/>
      <c r="CX174" s="205"/>
      <c r="CY174" s="206"/>
      <c r="CZ174" s="207"/>
      <c r="DA174" s="205"/>
      <c r="DB174" s="206"/>
      <c r="DC174" s="207"/>
      <c r="DD174" s="205"/>
      <c r="DE174" s="206"/>
      <c r="DF174" s="207"/>
      <c r="DH174" s="311"/>
      <c r="DI174" s="311"/>
      <c r="DJ174" s="311"/>
      <c r="DK174" s="311"/>
      <c r="DL174" s="321"/>
      <c r="DM174" s="321"/>
      <c r="DN174" s="321"/>
      <c r="DO174" s="321"/>
      <c r="DP174" s="321"/>
      <c r="DQ174" s="321"/>
      <c r="DR174" s="321"/>
      <c r="DS174" s="321"/>
    </row>
    <row r="175" spans="1:123" ht="7.4" customHeight="1" x14ac:dyDescent="0.5">
      <c r="A175" s="50"/>
      <c r="B175" s="51"/>
      <c r="C175" s="51"/>
      <c r="D175" s="51"/>
      <c r="E175" s="51"/>
      <c r="F175" s="51"/>
      <c r="G175" s="51"/>
      <c r="H175" s="51"/>
      <c r="I175" s="51"/>
      <c r="J175" s="51"/>
      <c r="K175" s="51"/>
      <c r="L175" s="51"/>
      <c r="M175" s="51"/>
      <c r="N175" s="51"/>
      <c r="O175" s="51"/>
      <c r="P175" s="51"/>
      <c r="Q175" s="51"/>
      <c r="R175" s="51"/>
      <c r="S175" s="51"/>
      <c r="T175" s="51"/>
      <c r="U175" s="51"/>
      <c r="V175" s="51"/>
      <c r="W175" s="208"/>
      <c r="X175" s="208"/>
      <c r="Y175" s="208"/>
      <c r="Z175" s="208"/>
      <c r="AA175" s="208"/>
      <c r="AB175" s="51"/>
      <c r="AC175" s="51"/>
      <c r="AD175" s="208"/>
      <c r="AE175" s="208"/>
      <c r="AF175" s="208"/>
      <c r="AG175" s="208"/>
      <c r="AH175" s="208"/>
      <c r="AI175" s="51"/>
      <c r="AJ175" s="51"/>
      <c r="AK175" s="51"/>
      <c r="AL175" s="51"/>
      <c r="AM175" s="51"/>
      <c r="AN175" s="51"/>
      <c r="AO175" s="51"/>
      <c r="AP175" s="51"/>
      <c r="AQ175" s="51"/>
      <c r="AR175" s="51"/>
      <c r="AS175" s="51"/>
      <c r="AT175" s="51"/>
      <c r="AU175" s="51"/>
      <c r="AV175" s="51"/>
      <c r="AW175" s="51"/>
      <c r="AX175" s="51"/>
      <c r="AY175" s="51"/>
      <c r="AZ175" s="51"/>
      <c r="BA175" s="51"/>
      <c r="BB175" s="51"/>
      <c r="BC175" s="51"/>
      <c r="BD175" s="51"/>
      <c r="BE175" s="51"/>
      <c r="BF175" s="51"/>
      <c r="BG175" s="51"/>
      <c r="BH175" s="51"/>
      <c r="BI175" s="52"/>
    </row>
    <row r="176" spans="1:123" ht="7.4" customHeight="1" x14ac:dyDescent="0.5">
      <c r="A176" s="222"/>
      <c r="B176" s="222"/>
      <c r="C176" s="222"/>
      <c r="D176" s="222"/>
      <c r="E176" s="222"/>
      <c r="F176" s="222"/>
      <c r="G176" s="222"/>
      <c r="H176" s="222"/>
      <c r="I176" s="222"/>
      <c r="J176" s="222"/>
      <c r="K176" s="222"/>
      <c r="L176" s="222"/>
      <c r="M176" s="222"/>
      <c r="N176" s="222"/>
      <c r="O176" s="222"/>
      <c r="P176" s="222"/>
      <c r="Q176" s="222"/>
      <c r="R176" s="222"/>
      <c r="S176" s="222"/>
      <c r="T176" s="222"/>
      <c r="U176" s="222"/>
      <c r="V176" s="222"/>
      <c r="W176" s="222"/>
      <c r="X176" s="222"/>
      <c r="Y176" s="222"/>
      <c r="Z176" s="222"/>
      <c r="AA176" s="222"/>
      <c r="AB176" s="222"/>
      <c r="AC176" s="222"/>
      <c r="AD176" s="222"/>
      <c r="AE176" s="222"/>
      <c r="AF176" s="222"/>
      <c r="AG176" s="222"/>
      <c r="AH176" s="222"/>
      <c r="AI176" s="222"/>
      <c r="AJ176" s="222"/>
      <c r="AK176" s="222"/>
      <c r="AL176" s="222"/>
      <c r="AM176" s="222"/>
      <c r="AN176" s="222"/>
      <c r="AO176" s="222"/>
      <c r="AP176" s="222"/>
      <c r="AQ176" s="222"/>
      <c r="AR176" s="222"/>
      <c r="AS176" s="222"/>
      <c r="AT176" s="222"/>
      <c r="AU176" s="222"/>
      <c r="AV176" s="222"/>
      <c r="AW176" s="222"/>
      <c r="AX176" s="222"/>
      <c r="AY176" s="222"/>
      <c r="AZ176" s="222"/>
      <c r="BA176" s="222"/>
      <c r="BB176" s="222"/>
      <c r="BC176" s="222"/>
      <c r="BD176" s="222"/>
      <c r="BE176" s="222"/>
      <c r="BF176" s="222"/>
      <c r="BG176" s="222"/>
      <c r="BH176" s="222"/>
      <c r="BI176" s="222"/>
    </row>
    <row r="177" spans="1:61" ht="7.4" customHeight="1" x14ac:dyDescent="0.5">
      <c r="A177" s="505" t="s">
        <v>56</v>
      </c>
      <c r="B177" s="505"/>
      <c r="C177" s="505"/>
      <c r="D177" s="505"/>
      <c r="E177" s="505"/>
      <c r="F177" s="505"/>
      <c r="G177" s="505"/>
      <c r="H177" s="505"/>
      <c r="I177" s="505"/>
      <c r="J177" s="505"/>
      <c r="K177" s="505"/>
      <c r="L177" s="505"/>
      <c r="M177" s="505"/>
      <c r="N177" s="505"/>
      <c r="O177" s="505"/>
      <c r="P177" s="505"/>
      <c r="Q177" s="505"/>
      <c r="R177" s="505"/>
      <c r="S177" s="505"/>
      <c r="T177" s="505"/>
      <c r="U177" s="505"/>
      <c r="V177" s="505"/>
      <c r="W177" s="505"/>
      <c r="X177" s="505"/>
      <c r="Y177" s="505"/>
      <c r="Z177" s="505"/>
      <c r="AA177" s="505"/>
      <c r="AB177" s="505"/>
      <c r="AC177" s="505"/>
      <c r="AD177" s="505"/>
      <c r="AE177" s="505"/>
      <c r="AF177" s="505"/>
      <c r="AG177" s="505"/>
      <c r="AH177" s="505"/>
      <c r="AI177" s="505"/>
      <c r="AJ177" s="505"/>
      <c r="AK177" s="505"/>
      <c r="AL177" s="505"/>
      <c r="AM177" s="505"/>
      <c r="AN177" s="505"/>
      <c r="AO177" s="505"/>
      <c r="AP177" s="505"/>
      <c r="AQ177" s="505"/>
      <c r="AR177" s="505"/>
      <c r="AS177" s="505"/>
      <c r="AT177" s="505"/>
      <c r="AU177" s="505"/>
      <c r="AV177" s="505"/>
      <c r="AW177" s="505"/>
      <c r="AX177" s="505"/>
      <c r="AY177" s="505"/>
      <c r="AZ177" s="505"/>
      <c r="BA177" s="505"/>
      <c r="BB177" s="505"/>
      <c r="BC177" s="505"/>
      <c r="BD177" s="505"/>
      <c r="BE177" s="505"/>
      <c r="BF177" s="505"/>
      <c r="BG177" s="505"/>
      <c r="BH177" s="505"/>
      <c r="BI177" s="505"/>
    </row>
    <row r="178" spans="1:61" ht="7.4" customHeight="1" x14ac:dyDescent="0.5">
      <c r="A178" s="505"/>
      <c r="B178" s="505"/>
      <c r="C178" s="505"/>
      <c r="D178" s="505"/>
      <c r="E178" s="505"/>
      <c r="F178" s="505"/>
      <c r="G178" s="505"/>
      <c r="H178" s="505"/>
      <c r="I178" s="505"/>
      <c r="J178" s="505"/>
      <c r="K178" s="505"/>
      <c r="L178" s="505"/>
      <c r="M178" s="505"/>
      <c r="N178" s="505"/>
      <c r="O178" s="505"/>
      <c r="P178" s="505"/>
      <c r="Q178" s="505"/>
      <c r="R178" s="505"/>
      <c r="S178" s="505"/>
      <c r="T178" s="505"/>
      <c r="U178" s="505"/>
      <c r="V178" s="505"/>
      <c r="W178" s="505"/>
      <c r="X178" s="505"/>
      <c r="Y178" s="505"/>
      <c r="Z178" s="505"/>
      <c r="AA178" s="505"/>
      <c r="AB178" s="505"/>
      <c r="AC178" s="505"/>
      <c r="AD178" s="505"/>
      <c r="AE178" s="505"/>
      <c r="AF178" s="505"/>
      <c r="AG178" s="505"/>
      <c r="AH178" s="505"/>
      <c r="AI178" s="505"/>
      <c r="AJ178" s="505"/>
      <c r="AK178" s="505"/>
      <c r="AL178" s="505"/>
      <c r="AM178" s="505"/>
      <c r="AN178" s="505"/>
      <c r="AO178" s="505"/>
      <c r="AP178" s="505"/>
      <c r="AQ178" s="505"/>
      <c r="AR178" s="505"/>
      <c r="AS178" s="505"/>
      <c r="AT178" s="505"/>
      <c r="AU178" s="505"/>
      <c r="AV178" s="505"/>
      <c r="AW178" s="505"/>
      <c r="AX178" s="505"/>
      <c r="AY178" s="505"/>
      <c r="AZ178" s="505"/>
      <c r="BA178" s="505"/>
      <c r="BB178" s="505"/>
      <c r="BC178" s="505"/>
      <c r="BD178" s="505"/>
      <c r="BE178" s="505"/>
      <c r="BF178" s="505"/>
      <c r="BG178" s="505"/>
      <c r="BH178" s="505"/>
      <c r="BI178" s="505"/>
    </row>
    <row r="179" spans="1:61" ht="7.4" customHeight="1" x14ac:dyDescent="0.5">
      <c r="A179" s="222"/>
      <c r="B179" s="222"/>
      <c r="C179" s="222"/>
      <c r="D179" s="222"/>
      <c r="E179" s="222"/>
      <c r="F179" s="222"/>
      <c r="G179" s="222"/>
      <c r="H179" s="222"/>
      <c r="I179" s="222"/>
      <c r="J179" s="222"/>
      <c r="K179" s="222"/>
      <c r="L179" s="222"/>
      <c r="M179" s="222"/>
      <c r="N179" s="222"/>
      <c r="O179" s="222"/>
      <c r="P179" s="222"/>
      <c r="Q179" s="222"/>
      <c r="R179" s="222"/>
      <c r="S179" s="222"/>
      <c r="T179" s="222"/>
      <c r="U179" s="222"/>
      <c r="V179" s="222"/>
      <c r="W179" s="222"/>
      <c r="X179" s="222"/>
      <c r="Y179" s="222"/>
      <c r="Z179" s="222"/>
      <c r="AA179" s="222"/>
      <c r="AB179" s="222"/>
      <c r="AC179" s="222"/>
      <c r="AD179" s="222"/>
      <c r="AE179" s="222"/>
      <c r="AF179" s="222"/>
      <c r="AG179" s="222"/>
      <c r="AH179" s="222"/>
      <c r="AI179" s="222"/>
      <c r="AJ179" s="222"/>
      <c r="AK179" s="222"/>
      <c r="AL179" s="222"/>
      <c r="AM179" s="222"/>
      <c r="AN179" s="222"/>
      <c r="AO179" s="222"/>
      <c r="AP179" s="222"/>
      <c r="AQ179" s="222"/>
      <c r="AR179" s="222"/>
      <c r="AS179" s="222"/>
      <c r="AT179" s="222"/>
      <c r="AU179" s="222"/>
      <c r="AV179" s="222"/>
      <c r="AW179" s="222"/>
      <c r="AX179" s="222"/>
      <c r="AY179" s="222"/>
      <c r="AZ179" s="222"/>
      <c r="BA179" s="222"/>
      <c r="BB179" s="222"/>
      <c r="BC179" s="222"/>
      <c r="BD179" s="222"/>
      <c r="BE179" s="222"/>
      <c r="BF179" s="222"/>
      <c r="BG179" s="222"/>
      <c r="BH179" s="222"/>
      <c r="BI179" s="222"/>
    </row>
    <row r="180" spans="1:61" ht="7.4" customHeight="1" x14ac:dyDescent="0.5">
      <c r="A180" s="506" t="s">
        <v>57</v>
      </c>
      <c r="B180" s="506"/>
      <c r="C180" s="506"/>
      <c r="D180" s="506"/>
      <c r="E180" s="506"/>
      <c r="F180" s="506"/>
      <c r="G180" s="506"/>
      <c r="H180" s="506"/>
      <c r="I180" s="506"/>
      <c r="J180" s="506"/>
      <c r="K180" s="506"/>
      <c r="L180" s="506"/>
      <c r="M180" s="506"/>
      <c r="N180" s="506"/>
      <c r="O180" s="506"/>
      <c r="P180" s="506"/>
      <c r="Q180" s="506"/>
      <c r="R180" s="506"/>
      <c r="S180" s="506"/>
      <c r="T180" s="506"/>
      <c r="U180" s="506"/>
      <c r="V180" s="506"/>
      <c r="W180" s="506"/>
      <c r="X180" s="506"/>
      <c r="Y180" s="506"/>
      <c r="Z180" s="506"/>
      <c r="AA180" s="506"/>
      <c r="AB180" s="506"/>
      <c r="AC180" s="506"/>
      <c r="AD180" s="506"/>
      <c r="AE180" s="506"/>
      <c r="AF180" s="506"/>
      <c r="AG180" s="506"/>
      <c r="AH180" s="506"/>
      <c r="AI180" s="506"/>
      <c r="AJ180" s="506"/>
      <c r="AK180" s="506"/>
      <c r="AL180" s="506"/>
      <c r="AM180" s="506"/>
      <c r="AN180" s="506"/>
      <c r="AO180" s="506"/>
      <c r="AP180" s="506"/>
      <c r="AQ180" s="506"/>
      <c r="AR180" s="506"/>
      <c r="AS180" s="506"/>
      <c r="AT180" s="506"/>
      <c r="AU180" s="506"/>
      <c r="AV180" s="506"/>
      <c r="AW180" s="506"/>
      <c r="AX180" s="506"/>
      <c r="AY180" s="506"/>
      <c r="AZ180" s="506"/>
      <c r="BA180" s="506"/>
      <c r="BB180" s="506"/>
      <c r="BC180" s="506"/>
      <c r="BD180" s="506"/>
      <c r="BE180" s="506"/>
      <c r="BF180" s="506"/>
      <c r="BG180" s="506"/>
      <c r="BH180" s="506"/>
      <c r="BI180" s="506"/>
    </row>
    <row r="181" spans="1:61" ht="7.4" customHeight="1" x14ac:dyDescent="0.5">
      <c r="A181" s="506"/>
      <c r="B181" s="506"/>
      <c r="C181" s="506"/>
      <c r="D181" s="506"/>
      <c r="E181" s="506"/>
      <c r="F181" s="506"/>
      <c r="G181" s="506"/>
      <c r="H181" s="506"/>
      <c r="I181" s="506"/>
      <c r="J181" s="506"/>
      <c r="K181" s="506"/>
      <c r="L181" s="506"/>
      <c r="M181" s="506"/>
      <c r="N181" s="506"/>
      <c r="O181" s="506"/>
      <c r="P181" s="506"/>
      <c r="Q181" s="506"/>
      <c r="R181" s="506"/>
      <c r="S181" s="506"/>
      <c r="T181" s="506"/>
      <c r="U181" s="506"/>
      <c r="V181" s="506"/>
      <c r="W181" s="506"/>
      <c r="X181" s="506"/>
      <c r="Y181" s="506"/>
      <c r="Z181" s="506"/>
      <c r="AA181" s="506"/>
      <c r="AB181" s="506"/>
      <c r="AC181" s="506"/>
      <c r="AD181" s="506"/>
      <c r="AE181" s="506"/>
      <c r="AF181" s="506"/>
      <c r="AG181" s="506"/>
      <c r="AH181" s="506"/>
      <c r="AI181" s="506"/>
      <c r="AJ181" s="506"/>
      <c r="AK181" s="506"/>
      <c r="AL181" s="506"/>
      <c r="AM181" s="506"/>
      <c r="AN181" s="506"/>
      <c r="AO181" s="506"/>
      <c r="AP181" s="506"/>
      <c r="AQ181" s="506"/>
      <c r="AR181" s="506"/>
      <c r="AS181" s="506"/>
      <c r="AT181" s="506"/>
      <c r="AU181" s="506"/>
      <c r="AV181" s="506"/>
      <c r="AW181" s="506"/>
      <c r="AX181" s="506"/>
      <c r="AY181" s="506"/>
      <c r="AZ181" s="506"/>
      <c r="BA181" s="506"/>
      <c r="BB181" s="506"/>
      <c r="BC181" s="506"/>
      <c r="BD181" s="506"/>
      <c r="BE181" s="506"/>
      <c r="BF181" s="506"/>
      <c r="BG181" s="506"/>
      <c r="BH181" s="506"/>
      <c r="BI181" s="506"/>
    </row>
    <row r="182" spans="1:61" ht="7.4" customHeight="1" x14ac:dyDescent="0.5">
      <c r="A182" s="104"/>
      <c r="B182" s="104"/>
      <c r="C182" s="104"/>
      <c r="D182" s="104"/>
      <c r="E182" s="104"/>
      <c r="F182" s="104"/>
      <c r="G182" s="104"/>
      <c r="H182" s="104"/>
      <c r="I182" s="104"/>
      <c r="J182" s="104"/>
      <c r="K182" s="104"/>
      <c r="L182" s="104"/>
      <c r="M182" s="104"/>
      <c r="N182" s="104"/>
      <c r="O182" s="104"/>
      <c r="P182" s="104"/>
      <c r="Q182" s="104"/>
      <c r="R182" s="104"/>
      <c r="S182" s="104"/>
      <c r="T182" s="104"/>
      <c r="U182" s="104"/>
      <c r="V182" s="104"/>
      <c r="W182" s="104"/>
      <c r="X182" s="104"/>
      <c r="Y182" s="104"/>
      <c r="Z182" s="104"/>
      <c r="AA182" s="104"/>
      <c r="AB182" s="104"/>
      <c r="AC182" s="104"/>
      <c r="AD182" s="104"/>
      <c r="AE182" s="104"/>
      <c r="AF182" s="104"/>
      <c r="AG182" s="104"/>
      <c r="AH182" s="104"/>
      <c r="AI182" s="104"/>
      <c r="AJ182" s="104"/>
      <c r="AK182" s="104"/>
      <c r="AL182" s="104"/>
      <c r="AM182" s="104"/>
      <c r="AN182" s="104"/>
      <c r="AO182" s="104"/>
      <c r="AP182" s="104"/>
      <c r="AQ182" s="104"/>
      <c r="AR182" s="104"/>
      <c r="AS182" s="104"/>
      <c r="AT182" s="104"/>
      <c r="AU182" s="104"/>
      <c r="AV182" s="104"/>
      <c r="AW182" s="104"/>
      <c r="AX182" s="104"/>
      <c r="AY182" s="104"/>
      <c r="AZ182" s="104"/>
      <c r="BA182" s="104"/>
      <c r="BB182" s="104"/>
      <c r="BC182" s="104"/>
      <c r="BD182" s="104"/>
      <c r="BE182" s="104"/>
      <c r="BF182" s="104"/>
      <c r="BG182" s="104"/>
      <c r="BH182" s="104"/>
      <c r="BI182" s="104"/>
    </row>
  </sheetData>
  <sheetProtection algorithmName="SHA-512" hashValue="H+5+KfFltrajarcAZjU796HqcSrtSWFN+YC2gMZPkHUL8mytSLHUK9n0s0q7K1qH+3iyOJ2NyEt1E4iYraZ93A==" saltValue="D87vm5IhIm8KXi3+OwYKFA==" spinCount="100000" sheet="1" objects="1" scenarios="1" selectLockedCells="1"/>
  <mergeCells count="537">
    <mergeCell ref="C167:D168"/>
    <mergeCell ref="G167:R168"/>
    <mergeCell ref="T167:AJ168"/>
    <mergeCell ref="AL167:AO168"/>
    <mergeCell ref="AR167:BG168"/>
    <mergeCell ref="BK167:BM168"/>
    <mergeCell ref="C1:AI9"/>
    <mergeCell ref="AN1:BH2"/>
    <mergeCell ref="AN3:BH4"/>
    <mergeCell ref="AN5:BH6"/>
    <mergeCell ref="AN7:BH8"/>
    <mergeCell ref="A10:AL15"/>
    <mergeCell ref="AN11:AV12"/>
    <mergeCell ref="AX11:BH12"/>
    <mergeCell ref="AN13:AV14"/>
    <mergeCell ref="AX13:BH14"/>
    <mergeCell ref="T21:AP22"/>
    <mergeCell ref="C25:AB27"/>
    <mergeCell ref="AF25:BG27"/>
    <mergeCell ref="C28:R30"/>
    <mergeCell ref="T28:AC30"/>
    <mergeCell ref="AF28:AM30"/>
    <mergeCell ref="AO28:BH30"/>
    <mergeCell ref="C17:F18"/>
    <mergeCell ref="G17:X18"/>
    <mergeCell ref="Y17:AC18"/>
    <mergeCell ref="AD17:AS18"/>
    <mergeCell ref="AT17:AW18"/>
    <mergeCell ref="AX17:BH18"/>
    <mergeCell ref="BK30:BL30"/>
    <mergeCell ref="BM30:BO30"/>
    <mergeCell ref="BP30:BR30"/>
    <mergeCell ref="C31:R33"/>
    <mergeCell ref="T31:AC33"/>
    <mergeCell ref="AF31:AM33"/>
    <mergeCell ref="AO31:AP33"/>
    <mergeCell ref="AQ31:AW33"/>
    <mergeCell ref="AX31:AZ33"/>
    <mergeCell ref="BA31:BB33"/>
    <mergeCell ref="BC31:BH33"/>
    <mergeCell ref="BK31:BL31"/>
    <mergeCell ref="BM31:BO31"/>
    <mergeCell ref="BP31:BR31"/>
    <mergeCell ref="BK32:BL32"/>
    <mergeCell ref="BM32:BO32"/>
    <mergeCell ref="BP32:BR32"/>
    <mergeCell ref="BK33:BL33"/>
    <mergeCell ref="BM33:BO33"/>
    <mergeCell ref="AK51:AM52"/>
    <mergeCell ref="BF51:BH52"/>
    <mergeCell ref="AN51:AP52"/>
    <mergeCell ref="AQ51:AS52"/>
    <mergeCell ref="AT51:AV52"/>
    <mergeCell ref="AW51:AY52"/>
    <mergeCell ref="AZ51:BB52"/>
    <mergeCell ref="BC51:BE52"/>
    <mergeCell ref="BP33:BR33"/>
    <mergeCell ref="AF34:AM37"/>
    <mergeCell ref="BK34:BL34"/>
    <mergeCell ref="BM34:BO34"/>
    <mergeCell ref="BP34:BR34"/>
    <mergeCell ref="AO35:AV36"/>
    <mergeCell ref="BK35:BL35"/>
    <mergeCell ref="BM35:BO35"/>
    <mergeCell ref="BP35:BR35"/>
    <mergeCell ref="BF54:BH55"/>
    <mergeCell ref="AN54:AP55"/>
    <mergeCell ref="AQ54:AS55"/>
    <mergeCell ref="AT54:AV55"/>
    <mergeCell ref="AW54:AY55"/>
    <mergeCell ref="B39:BH41"/>
    <mergeCell ref="C43:G45"/>
    <mergeCell ref="J43:N45"/>
    <mergeCell ref="Q43:T45"/>
    <mergeCell ref="W43:AS44"/>
    <mergeCell ref="AV43:AZ45"/>
    <mergeCell ref="BC43:BG45"/>
    <mergeCell ref="W45:Z45"/>
    <mergeCell ref="AE45:AH45"/>
    <mergeCell ref="AM45:AP45"/>
    <mergeCell ref="B48:BH50"/>
    <mergeCell ref="M51:O52"/>
    <mergeCell ref="P51:R52"/>
    <mergeCell ref="S51:U52"/>
    <mergeCell ref="V51:X52"/>
    <mergeCell ref="Y51:AA52"/>
    <mergeCell ref="AB51:AD52"/>
    <mergeCell ref="AE51:AG52"/>
    <mergeCell ref="AH51:AJ52"/>
    <mergeCell ref="AK54:AM55"/>
    <mergeCell ref="Y54:AA55"/>
    <mergeCell ref="AB54:AD55"/>
    <mergeCell ref="AE54:AG55"/>
    <mergeCell ref="AH54:AJ55"/>
    <mergeCell ref="BC54:BE55"/>
    <mergeCell ref="C54:L55"/>
    <mergeCell ref="M54:O55"/>
    <mergeCell ref="P54:R55"/>
    <mergeCell ref="S54:U55"/>
    <mergeCell ref="V54:X55"/>
    <mergeCell ref="AZ54:BB55"/>
    <mergeCell ref="B62:U64"/>
    <mergeCell ref="AR62:BH64"/>
    <mergeCell ref="C65:M67"/>
    <mergeCell ref="N66:U67"/>
    <mergeCell ref="AS66:BD67"/>
    <mergeCell ref="BF66:BH69"/>
    <mergeCell ref="AS68:BD69"/>
    <mergeCell ref="AH58:AJ59"/>
    <mergeCell ref="AK58:AM59"/>
    <mergeCell ref="AN58:AP59"/>
    <mergeCell ref="AQ58:AS59"/>
    <mergeCell ref="AT58:AV59"/>
    <mergeCell ref="AW58:AY59"/>
    <mergeCell ref="Y58:AA59"/>
    <mergeCell ref="AB58:AD59"/>
    <mergeCell ref="AE58:AG59"/>
    <mergeCell ref="C58:L59"/>
    <mergeCell ref="M58:O59"/>
    <mergeCell ref="P58:R59"/>
    <mergeCell ref="S58:U59"/>
    <mergeCell ref="V58:X59"/>
    <mergeCell ref="AZ58:BB59"/>
    <mergeCell ref="BC58:BE59"/>
    <mergeCell ref="BF58:BH59"/>
    <mergeCell ref="AS76:BD77"/>
    <mergeCell ref="BF76:BH77"/>
    <mergeCell ref="A81:BI82"/>
    <mergeCell ref="BK106:BP106"/>
    <mergeCell ref="BQ106:BW106"/>
    <mergeCell ref="BK107:BP108"/>
    <mergeCell ref="BQ107:BW108"/>
    <mergeCell ref="C69:M71"/>
    <mergeCell ref="N70:U71"/>
    <mergeCell ref="AS72:BD73"/>
    <mergeCell ref="BF72:BH73"/>
    <mergeCell ref="CO111:CT112"/>
    <mergeCell ref="CO113:CT113"/>
    <mergeCell ref="C114:E117"/>
    <mergeCell ref="G114:R117"/>
    <mergeCell ref="T114:AJ117"/>
    <mergeCell ref="AL114:AP117"/>
    <mergeCell ref="BK115:BM116"/>
    <mergeCell ref="BN115:BP116"/>
    <mergeCell ref="T110:AP111"/>
    <mergeCell ref="BK111:BP112"/>
    <mergeCell ref="BQ111:BV112"/>
    <mergeCell ref="BW111:CB112"/>
    <mergeCell ref="CC111:CH112"/>
    <mergeCell ref="CI111:CN112"/>
    <mergeCell ref="BK109:BP110"/>
    <mergeCell ref="BQ109:BV110"/>
    <mergeCell ref="BW109:CB110"/>
    <mergeCell ref="CC109:CH110"/>
    <mergeCell ref="CI109:CN110"/>
    <mergeCell ref="CO109:CT110"/>
    <mergeCell ref="DH115:DK116"/>
    <mergeCell ref="DL115:DT116"/>
    <mergeCell ref="AL118:AO118"/>
    <mergeCell ref="CI115:CK116"/>
    <mergeCell ref="CL115:CN116"/>
    <mergeCell ref="CO115:CQ116"/>
    <mergeCell ref="CR115:CT116"/>
    <mergeCell ref="CU115:CW116"/>
    <mergeCell ref="CX115:CZ116"/>
    <mergeCell ref="BQ115:BS116"/>
    <mergeCell ref="BT115:BV116"/>
    <mergeCell ref="BW115:BY116"/>
    <mergeCell ref="BZ115:CB116"/>
    <mergeCell ref="CC115:CE116"/>
    <mergeCell ref="CF115:CH116"/>
    <mergeCell ref="BN119:BP120"/>
    <mergeCell ref="BQ119:BS120"/>
    <mergeCell ref="BT119:BV120"/>
    <mergeCell ref="C119:D120"/>
    <mergeCell ref="G119:R120"/>
    <mergeCell ref="T119:AJ120"/>
    <mergeCell ref="AL119:AO120"/>
    <mergeCell ref="DA115:DC116"/>
    <mergeCell ref="DD115:DF116"/>
    <mergeCell ref="AL122:AO122"/>
    <mergeCell ref="C123:D124"/>
    <mergeCell ref="G123:R124"/>
    <mergeCell ref="T123:AJ124"/>
    <mergeCell ref="AL123:AO124"/>
    <mergeCell ref="DH119:DK120"/>
    <mergeCell ref="DL119:DS120"/>
    <mergeCell ref="C121:D121"/>
    <mergeCell ref="AL121:AO121"/>
    <mergeCell ref="DH121:DK121"/>
    <mergeCell ref="DL121:DS121"/>
    <mergeCell ref="CO119:CQ120"/>
    <mergeCell ref="CR119:CT120"/>
    <mergeCell ref="CU119:CW120"/>
    <mergeCell ref="CX119:CZ120"/>
    <mergeCell ref="DA119:DC120"/>
    <mergeCell ref="DD119:DF120"/>
    <mergeCell ref="BW119:BY120"/>
    <mergeCell ref="BZ119:CB120"/>
    <mergeCell ref="CC119:CE120"/>
    <mergeCell ref="CF119:CH120"/>
    <mergeCell ref="CI119:CK120"/>
    <mergeCell ref="CL119:CN120"/>
    <mergeCell ref="BK119:BM120"/>
    <mergeCell ref="DL123:DS124"/>
    <mergeCell ref="AL125:AO125"/>
    <mergeCell ref="DH125:DK125"/>
    <mergeCell ref="DL125:DS125"/>
    <mergeCell ref="CR123:CT124"/>
    <mergeCell ref="CU123:CW124"/>
    <mergeCell ref="CX123:CZ124"/>
    <mergeCell ref="DA123:DC124"/>
    <mergeCell ref="DD123:DF124"/>
    <mergeCell ref="DH123:DK124"/>
    <mergeCell ref="BZ123:CB124"/>
    <mergeCell ref="CC123:CE124"/>
    <mergeCell ref="CF123:CH124"/>
    <mergeCell ref="CI123:CK124"/>
    <mergeCell ref="CL123:CN124"/>
    <mergeCell ref="CO123:CQ124"/>
    <mergeCell ref="BK123:BM124"/>
    <mergeCell ref="BN123:BP124"/>
    <mergeCell ref="BQ123:BS124"/>
    <mergeCell ref="BT123:BV124"/>
    <mergeCell ref="BW123:BY124"/>
    <mergeCell ref="BN127:BP128"/>
    <mergeCell ref="BQ127:BS128"/>
    <mergeCell ref="BT127:BV128"/>
    <mergeCell ref="BW127:BY128"/>
    <mergeCell ref="AL126:AO126"/>
    <mergeCell ref="C127:D128"/>
    <mergeCell ref="G127:R128"/>
    <mergeCell ref="T127:AJ128"/>
    <mergeCell ref="AL127:AO128"/>
    <mergeCell ref="BW131:BY132"/>
    <mergeCell ref="AL130:AO130"/>
    <mergeCell ref="C131:D132"/>
    <mergeCell ref="G131:R132"/>
    <mergeCell ref="T131:AJ132"/>
    <mergeCell ref="AL131:AO132"/>
    <mergeCell ref="DL127:DS128"/>
    <mergeCell ref="C129:D129"/>
    <mergeCell ref="AL129:AO129"/>
    <mergeCell ref="DH129:DK129"/>
    <mergeCell ref="DL129:DS129"/>
    <mergeCell ref="CR127:CT128"/>
    <mergeCell ref="CU127:CW128"/>
    <mergeCell ref="CX127:CZ128"/>
    <mergeCell ref="DA127:DC128"/>
    <mergeCell ref="DD127:DF128"/>
    <mergeCell ref="DH127:DK128"/>
    <mergeCell ref="BZ127:CB128"/>
    <mergeCell ref="CC127:CE128"/>
    <mergeCell ref="CF127:CH128"/>
    <mergeCell ref="CI127:CK128"/>
    <mergeCell ref="CL127:CN128"/>
    <mergeCell ref="CO127:CQ128"/>
    <mergeCell ref="BK127:BM128"/>
    <mergeCell ref="BQ135:BS136"/>
    <mergeCell ref="BT135:BV136"/>
    <mergeCell ref="DL131:DS132"/>
    <mergeCell ref="AL134:AO134"/>
    <mergeCell ref="C135:D136"/>
    <mergeCell ref="G135:R136"/>
    <mergeCell ref="T135:AJ136"/>
    <mergeCell ref="AL135:AO136"/>
    <mergeCell ref="CR131:CT132"/>
    <mergeCell ref="CU131:CW132"/>
    <mergeCell ref="CX131:CZ132"/>
    <mergeCell ref="DA131:DC132"/>
    <mergeCell ref="DD131:DF132"/>
    <mergeCell ref="DH131:DK132"/>
    <mergeCell ref="BZ131:CB132"/>
    <mergeCell ref="CC131:CE132"/>
    <mergeCell ref="CF131:CH132"/>
    <mergeCell ref="CI131:CK132"/>
    <mergeCell ref="CL131:CN132"/>
    <mergeCell ref="CO131:CQ132"/>
    <mergeCell ref="BK131:BM132"/>
    <mergeCell ref="BN131:BP132"/>
    <mergeCell ref="BQ131:BS132"/>
    <mergeCell ref="BT131:BV132"/>
    <mergeCell ref="C138:D138"/>
    <mergeCell ref="AL138:AO138"/>
    <mergeCell ref="DH138:DK138"/>
    <mergeCell ref="DL138:DS138"/>
    <mergeCell ref="DH135:DK136"/>
    <mergeCell ref="DL135:DS136"/>
    <mergeCell ref="C137:D137"/>
    <mergeCell ref="AL137:AO137"/>
    <mergeCell ref="DH137:DK137"/>
    <mergeCell ref="DL137:DS137"/>
    <mergeCell ref="CO135:CQ136"/>
    <mergeCell ref="CR135:CT136"/>
    <mergeCell ref="CU135:CW136"/>
    <mergeCell ref="CX135:CZ136"/>
    <mergeCell ref="DA135:DC136"/>
    <mergeCell ref="DD135:DF136"/>
    <mergeCell ref="BW135:BY136"/>
    <mergeCell ref="BZ135:CB136"/>
    <mergeCell ref="CC135:CE136"/>
    <mergeCell ref="CF135:CH136"/>
    <mergeCell ref="CI135:CK136"/>
    <mergeCell ref="CL135:CN136"/>
    <mergeCell ref="BK135:BM136"/>
    <mergeCell ref="BN135:BP136"/>
    <mergeCell ref="CL139:CN140"/>
    <mergeCell ref="BK139:BM140"/>
    <mergeCell ref="BN139:BP140"/>
    <mergeCell ref="BQ139:BS140"/>
    <mergeCell ref="BT139:BV140"/>
    <mergeCell ref="C139:D140"/>
    <mergeCell ref="G139:R140"/>
    <mergeCell ref="T139:AJ140"/>
    <mergeCell ref="AL139:AO140"/>
    <mergeCell ref="G143:R144"/>
    <mergeCell ref="T143:AJ144"/>
    <mergeCell ref="AL143:AO144"/>
    <mergeCell ref="C142:D142"/>
    <mergeCell ref="AL142:AO142"/>
    <mergeCell ref="DH142:DK142"/>
    <mergeCell ref="DL142:DS142"/>
    <mergeCell ref="DH139:DK140"/>
    <mergeCell ref="DL139:DS140"/>
    <mergeCell ref="C141:D141"/>
    <mergeCell ref="AL141:AO141"/>
    <mergeCell ref="DH141:DK141"/>
    <mergeCell ref="DL141:DS141"/>
    <mergeCell ref="CO139:CQ140"/>
    <mergeCell ref="CR139:CT140"/>
    <mergeCell ref="CU139:CW140"/>
    <mergeCell ref="CX139:CZ140"/>
    <mergeCell ref="DA139:DC140"/>
    <mergeCell ref="DD139:DF140"/>
    <mergeCell ref="BW139:BY140"/>
    <mergeCell ref="BZ139:CB140"/>
    <mergeCell ref="CC139:CE140"/>
    <mergeCell ref="CF139:CH140"/>
    <mergeCell ref="CI139:CK140"/>
    <mergeCell ref="DH146:DK146"/>
    <mergeCell ref="DL146:DS146"/>
    <mergeCell ref="DH143:DK144"/>
    <mergeCell ref="DL143:DS144"/>
    <mergeCell ref="C145:D145"/>
    <mergeCell ref="AL145:AO145"/>
    <mergeCell ref="DH145:DK145"/>
    <mergeCell ref="DL145:DS145"/>
    <mergeCell ref="CO143:CQ144"/>
    <mergeCell ref="CR143:CT144"/>
    <mergeCell ref="CU143:CW144"/>
    <mergeCell ref="CX143:CZ144"/>
    <mergeCell ref="DA143:DC144"/>
    <mergeCell ref="DD143:DF144"/>
    <mergeCell ref="BW143:BY144"/>
    <mergeCell ref="BZ143:CB144"/>
    <mergeCell ref="CC143:CE144"/>
    <mergeCell ref="CF143:CH144"/>
    <mergeCell ref="CI143:CK144"/>
    <mergeCell ref="CL143:CN144"/>
    <mergeCell ref="BK143:BM144"/>
    <mergeCell ref="BN143:BP144"/>
    <mergeCell ref="BQ143:BS144"/>
    <mergeCell ref="BT143:BV144"/>
    <mergeCell ref="DH147:DK148"/>
    <mergeCell ref="DL147:DS148"/>
    <mergeCell ref="C149:D149"/>
    <mergeCell ref="AL149:AO149"/>
    <mergeCell ref="DH149:DK149"/>
    <mergeCell ref="DL149:DS149"/>
    <mergeCell ref="AR147:BG148"/>
    <mergeCell ref="CO147:CQ148"/>
    <mergeCell ref="CR147:CT148"/>
    <mergeCell ref="CU147:CW148"/>
    <mergeCell ref="CX147:CZ148"/>
    <mergeCell ref="DA147:DC148"/>
    <mergeCell ref="DD147:DF148"/>
    <mergeCell ref="BW147:BY148"/>
    <mergeCell ref="BZ147:CB148"/>
    <mergeCell ref="CC147:CE148"/>
    <mergeCell ref="CF147:CH148"/>
    <mergeCell ref="CI147:CK148"/>
    <mergeCell ref="CL147:CN148"/>
    <mergeCell ref="BK147:BM148"/>
    <mergeCell ref="BN147:BP148"/>
    <mergeCell ref="BQ147:BS148"/>
    <mergeCell ref="BT147:BV148"/>
    <mergeCell ref="C147:D148"/>
    <mergeCell ref="BT151:BV152"/>
    <mergeCell ref="C151:D152"/>
    <mergeCell ref="G151:R152"/>
    <mergeCell ref="T151:AJ152"/>
    <mergeCell ref="AL151:AO152"/>
    <mergeCell ref="C150:D150"/>
    <mergeCell ref="AL150:AO150"/>
    <mergeCell ref="DH150:DK150"/>
    <mergeCell ref="DL150:DS150"/>
    <mergeCell ref="DH154:DK154"/>
    <mergeCell ref="DL154:DS154"/>
    <mergeCell ref="DH151:DK152"/>
    <mergeCell ref="DL151:DS152"/>
    <mergeCell ref="C153:D153"/>
    <mergeCell ref="AL153:AO153"/>
    <mergeCell ref="DH153:DK153"/>
    <mergeCell ref="DL153:DS153"/>
    <mergeCell ref="AR151:BG152"/>
    <mergeCell ref="CO151:CQ152"/>
    <mergeCell ref="CR151:CT152"/>
    <mergeCell ref="CU151:CW152"/>
    <mergeCell ref="CX151:CZ152"/>
    <mergeCell ref="DA151:DC152"/>
    <mergeCell ref="DD151:DF152"/>
    <mergeCell ref="BW151:BY152"/>
    <mergeCell ref="BZ151:CB152"/>
    <mergeCell ref="CC151:CE152"/>
    <mergeCell ref="CF151:CH152"/>
    <mergeCell ref="CI151:CK152"/>
    <mergeCell ref="CL151:CN152"/>
    <mergeCell ref="BK151:BM152"/>
    <mergeCell ref="BN151:BP152"/>
    <mergeCell ref="BQ151:BS152"/>
    <mergeCell ref="DH155:DK156"/>
    <mergeCell ref="DL155:DS156"/>
    <mergeCell ref="C157:D157"/>
    <mergeCell ref="AL157:AO157"/>
    <mergeCell ref="DH157:DK157"/>
    <mergeCell ref="DL157:DS157"/>
    <mergeCell ref="AR155:BG156"/>
    <mergeCell ref="CO155:CQ156"/>
    <mergeCell ref="CR155:CT156"/>
    <mergeCell ref="CU155:CW156"/>
    <mergeCell ref="CX155:CZ156"/>
    <mergeCell ref="DA155:DC156"/>
    <mergeCell ref="DD155:DF156"/>
    <mergeCell ref="BW155:BY156"/>
    <mergeCell ref="BZ155:CB156"/>
    <mergeCell ref="CC155:CE156"/>
    <mergeCell ref="CF155:CH156"/>
    <mergeCell ref="CI155:CK156"/>
    <mergeCell ref="CL155:CN156"/>
    <mergeCell ref="BK155:BM156"/>
    <mergeCell ref="BN155:BP156"/>
    <mergeCell ref="BQ155:BS156"/>
    <mergeCell ref="BT155:BV156"/>
    <mergeCell ref="C155:D156"/>
    <mergeCell ref="CI159:CK160"/>
    <mergeCell ref="BK159:BM160"/>
    <mergeCell ref="BN159:BP160"/>
    <mergeCell ref="BQ159:BS160"/>
    <mergeCell ref="AL158:AO158"/>
    <mergeCell ref="DH158:DK158"/>
    <mergeCell ref="DL158:DS158"/>
    <mergeCell ref="C159:D160"/>
    <mergeCell ref="G159:R160"/>
    <mergeCell ref="T159:AJ160"/>
    <mergeCell ref="AL159:AO160"/>
    <mergeCell ref="DH162:DK162"/>
    <mergeCell ref="DL162:DS162"/>
    <mergeCell ref="C163:D164"/>
    <mergeCell ref="G163:R164"/>
    <mergeCell ref="T163:AJ164"/>
    <mergeCell ref="AL163:AO164"/>
    <mergeCell ref="DD159:DF160"/>
    <mergeCell ref="DH159:DK160"/>
    <mergeCell ref="DL159:DS160"/>
    <mergeCell ref="AL161:AO161"/>
    <mergeCell ref="DH161:DK161"/>
    <mergeCell ref="DL161:DS161"/>
    <mergeCell ref="AR159:BG160"/>
    <mergeCell ref="CL159:CN160"/>
    <mergeCell ref="CO159:CQ160"/>
    <mergeCell ref="CR159:CT160"/>
    <mergeCell ref="CU159:CW160"/>
    <mergeCell ref="CX159:CZ160"/>
    <mergeCell ref="DA159:DC160"/>
    <mergeCell ref="BT159:BV160"/>
    <mergeCell ref="BW159:BY160"/>
    <mergeCell ref="BZ159:CB160"/>
    <mergeCell ref="CC159:CE160"/>
    <mergeCell ref="CF159:CH160"/>
    <mergeCell ref="DH166:DK166"/>
    <mergeCell ref="DL166:DS166"/>
    <mergeCell ref="DD163:DF164"/>
    <mergeCell ref="DH163:DK164"/>
    <mergeCell ref="DL163:DS164"/>
    <mergeCell ref="AL165:AO165"/>
    <mergeCell ref="DH165:DK165"/>
    <mergeCell ref="DL165:DS165"/>
    <mergeCell ref="AR163:BG164"/>
    <mergeCell ref="CL163:CN164"/>
    <mergeCell ref="CO163:CQ164"/>
    <mergeCell ref="CR163:CT164"/>
    <mergeCell ref="CU163:CW164"/>
    <mergeCell ref="CX163:CZ164"/>
    <mergeCell ref="DA163:DC164"/>
    <mergeCell ref="BT163:BV164"/>
    <mergeCell ref="BW163:BY164"/>
    <mergeCell ref="BZ163:CB164"/>
    <mergeCell ref="CC163:CE164"/>
    <mergeCell ref="CF163:CH164"/>
    <mergeCell ref="CI163:CK164"/>
    <mergeCell ref="BK163:BM164"/>
    <mergeCell ref="BN163:BP164"/>
    <mergeCell ref="BQ163:BS164"/>
    <mergeCell ref="DH174:DK174"/>
    <mergeCell ref="DL174:DS174"/>
    <mergeCell ref="BK171:BM172"/>
    <mergeCell ref="DH171:DK171"/>
    <mergeCell ref="DL171:DS171"/>
    <mergeCell ref="AR171:BG172"/>
    <mergeCell ref="C171:D172"/>
    <mergeCell ref="G171:R172"/>
    <mergeCell ref="T171:AJ172"/>
    <mergeCell ref="AL171:AO172"/>
    <mergeCell ref="A177:BI178"/>
    <mergeCell ref="A180:BI181"/>
    <mergeCell ref="AQ114:BH117"/>
    <mergeCell ref="AR119:BG120"/>
    <mergeCell ref="AR123:BG124"/>
    <mergeCell ref="AR127:BG128"/>
    <mergeCell ref="AR131:BG132"/>
    <mergeCell ref="AR135:BG136"/>
    <mergeCell ref="AR139:BG140"/>
    <mergeCell ref="AR143:BG144"/>
    <mergeCell ref="AL174:AO174"/>
    <mergeCell ref="AL166:AO166"/>
    <mergeCell ref="AL162:AO162"/>
    <mergeCell ref="G155:R156"/>
    <mergeCell ref="T155:AJ156"/>
    <mergeCell ref="AL155:AO156"/>
    <mergeCell ref="C154:D154"/>
    <mergeCell ref="AL154:AO154"/>
    <mergeCell ref="G147:R148"/>
    <mergeCell ref="T147:AJ148"/>
    <mergeCell ref="AL147:AO148"/>
    <mergeCell ref="C146:D146"/>
    <mergeCell ref="AL146:AO146"/>
    <mergeCell ref="C143:D144"/>
  </mergeCells>
  <dataValidations count="4">
    <dataValidation type="list" allowBlank="1" showInputMessage="1" showErrorMessage="1" sqref="AO31:AP33" xr:uid="{5271F204-6EC8-4F22-B445-F22E02BBE7DD}">
      <formula1>"10,15,20,25,30"</formula1>
    </dataValidation>
    <dataValidation type="list" allowBlank="1" showInputMessage="1" showErrorMessage="1" sqref="CI111:CN112" xr:uid="{E3D82E51-6017-4842-8956-02ED073907EF}">
      <formula1>"EUR,USD,ZAR"</formula1>
    </dataValidation>
    <dataValidation type="list" allowBlank="1" showInputMessage="1" showErrorMessage="1" sqref="N70 N66" xr:uid="{A1083466-B7A5-4AF0-8773-328CC7115034}">
      <formula1>"Included,Not Included"</formula1>
    </dataValidation>
    <dataValidation type="list" allowBlank="1" showInputMessage="1" showErrorMessage="1" sqref="AO35" xr:uid="{516F71A6-A9D9-4B73-A68A-A5EEC669CB56}">
      <formula1>$BK$1:$BK$26</formula1>
    </dataValidation>
  </dataValidations>
  <pageMargins left="0.7" right="0.7" top="0.75" bottom="0.75" header="0.3" footer="0.3"/>
  <pageSetup paperSize="9" scale="85" fitToWidth="0" fitToHeight="0" orientation="portrait" r:id="rId1"/>
  <headerFooter>
    <oddFooter>&amp;R&amp;"Yu Gothic Medium,Regular"&amp;10Page &amp;P of &amp;N</oddFooter>
  </headerFooter>
  <rowBreaks count="1" manualBreakCount="1">
    <brk id="108" max="60"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EB1D7-0EE0-4DDF-9810-B43CD2A92FBE}">
  <sheetPr codeName="Sheet3">
    <tabColor theme="0"/>
  </sheetPr>
  <dimension ref="A1:ME280"/>
  <sheetViews>
    <sheetView view="pageBreakPreview" topLeftCell="A72" zoomScale="85" zoomScaleNormal="100" zoomScaleSheetLayoutView="85" workbookViewId="0">
      <selection activeCell="BF74" sqref="BF74:BH77"/>
    </sheetView>
  </sheetViews>
  <sheetFormatPr defaultColWidth="1.54296875" defaultRowHeight="7.4" customHeight="1" x14ac:dyDescent="0.5"/>
  <cols>
    <col min="1" max="2" width="1.54296875" style="24"/>
    <col min="3" max="3" width="1.54296875" style="24" customWidth="1"/>
    <col min="4" max="6" width="1.54296875" style="24"/>
    <col min="7" max="7" width="1.453125" style="24" customWidth="1"/>
    <col min="8" max="19" width="1.54296875" style="24"/>
    <col min="20" max="20" width="1.453125" style="24" customWidth="1"/>
    <col min="21" max="22" width="1.54296875" style="24"/>
    <col min="23" max="23" width="1.453125" style="24" customWidth="1"/>
    <col min="24" max="30" width="1.54296875" style="24"/>
    <col min="31" max="31" width="1.453125" style="24" customWidth="1"/>
    <col min="32" max="42" width="1.54296875" style="24"/>
    <col min="43" max="44" width="1.54296875" style="24" customWidth="1"/>
    <col min="45" max="47" width="1.54296875" style="24"/>
    <col min="48" max="48" width="1.54296875" style="24" customWidth="1"/>
    <col min="49" max="49" width="1.54296875" style="24"/>
    <col min="50" max="51" width="1.54296875" style="24" customWidth="1"/>
    <col min="52" max="52" width="2.453125" style="24" customWidth="1"/>
    <col min="53" max="54" width="1.54296875" style="24"/>
    <col min="55" max="55" width="1.453125" style="24" customWidth="1"/>
    <col min="56" max="61" width="1.54296875" style="24"/>
    <col min="62" max="62" width="0" style="24" hidden="1" customWidth="1"/>
    <col min="63" max="63" width="1.54296875" style="24" hidden="1" customWidth="1"/>
    <col min="64" max="64" width="0" style="24" hidden="1" customWidth="1"/>
    <col min="65" max="65" width="1.54296875" style="24" hidden="1" customWidth="1"/>
    <col min="66" max="67" width="0" style="24" hidden="1" customWidth="1"/>
    <col min="68" max="68" width="1.453125" style="24" hidden="1" customWidth="1"/>
    <col min="69" max="75" width="0" style="24" hidden="1" customWidth="1"/>
    <col min="76" max="76" width="1.54296875" style="24" hidden="1" customWidth="1"/>
    <col min="77" max="92" width="0" style="24" hidden="1" customWidth="1"/>
    <col min="93" max="93" width="1.453125" style="24" hidden="1" customWidth="1"/>
    <col min="94" max="111" width="0" style="24" hidden="1" customWidth="1"/>
    <col min="112" max="116" width="0" style="75" hidden="1" customWidth="1"/>
    <col min="117" max="126" width="0" style="24" hidden="1" customWidth="1"/>
    <col min="127" max="127" width="4" style="24" hidden="1" customWidth="1"/>
    <col min="128" max="343" width="3.54296875" style="24" hidden="1" customWidth="1"/>
    <col min="344" max="16384" width="1.54296875" style="24"/>
  </cols>
  <sheetData>
    <row r="1" spans="1:63" ht="7.4" customHeight="1" x14ac:dyDescent="0.5">
      <c r="C1" s="333" t="e" vm="4">
        <v>#VALUE!</v>
      </c>
      <c r="D1" s="333"/>
      <c r="E1" s="333"/>
      <c r="F1" s="333"/>
      <c r="G1" s="333"/>
      <c r="H1" s="333"/>
      <c r="I1" s="333"/>
      <c r="J1" s="333"/>
      <c r="K1" s="333"/>
      <c r="L1" s="333"/>
      <c r="M1" s="333"/>
      <c r="N1" s="333"/>
      <c r="O1" s="333"/>
      <c r="P1" s="333"/>
      <c r="Q1" s="333"/>
      <c r="R1" s="333"/>
      <c r="S1" s="333"/>
      <c r="T1" s="333"/>
      <c r="U1" s="333"/>
      <c r="V1" s="333"/>
      <c r="W1" s="333"/>
      <c r="X1" s="333"/>
      <c r="Y1" s="333"/>
      <c r="Z1" s="333"/>
      <c r="AA1" s="333"/>
      <c r="AB1" s="333"/>
      <c r="AC1" s="333"/>
      <c r="AD1" s="333"/>
      <c r="AE1" s="333"/>
      <c r="AF1" s="333"/>
      <c r="AG1" s="333"/>
      <c r="AH1" s="333"/>
      <c r="AI1" s="333"/>
      <c r="AN1" s="405" t="s">
        <v>0</v>
      </c>
      <c r="AO1" s="405"/>
      <c r="AP1" s="405"/>
      <c r="AQ1" s="405"/>
      <c r="AR1" s="405"/>
      <c r="AS1" s="405"/>
      <c r="AT1" s="405"/>
      <c r="AU1" s="405"/>
      <c r="AV1" s="405"/>
      <c r="AW1" s="405"/>
      <c r="AX1" s="405"/>
      <c r="AY1" s="405"/>
      <c r="AZ1" s="405"/>
      <c r="BA1" s="405"/>
      <c r="BB1" s="405"/>
      <c r="BC1" s="405"/>
      <c r="BD1" s="405"/>
      <c r="BE1" s="405"/>
      <c r="BF1" s="405"/>
      <c r="BG1" s="405"/>
      <c r="BH1" s="405"/>
      <c r="BK1" s="24" t="s">
        <v>1</v>
      </c>
    </row>
    <row r="2" spans="1:63" ht="7.4" customHeight="1" x14ac:dyDescent="0.5">
      <c r="C2" s="333"/>
      <c r="D2" s="333"/>
      <c r="E2" s="333"/>
      <c r="F2" s="333"/>
      <c r="G2" s="333"/>
      <c r="H2" s="333"/>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N2" s="405"/>
      <c r="AO2" s="405"/>
      <c r="AP2" s="405"/>
      <c r="AQ2" s="405"/>
      <c r="AR2" s="405"/>
      <c r="AS2" s="405"/>
      <c r="AT2" s="405"/>
      <c r="AU2" s="405"/>
      <c r="AV2" s="405"/>
      <c r="AW2" s="405"/>
      <c r="AX2" s="405"/>
      <c r="AY2" s="405"/>
      <c r="AZ2" s="405"/>
      <c r="BA2" s="405"/>
      <c r="BB2" s="405"/>
      <c r="BC2" s="405"/>
      <c r="BD2" s="405"/>
      <c r="BE2" s="405"/>
      <c r="BF2" s="405"/>
      <c r="BG2" s="405"/>
      <c r="BH2" s="405"/>
      <c r="BK2" s="24" t="s">
        <v>2</v>
      </c>
    </row>
    <row r="3" spans="1:63" ht="7.4" customHeight="1" x14ac:dyDescent="0.5">
      <c r="C3" s="333"/>
      <c r="D3" s="333"/>
      <c r="E3" s="333"/>
      <c r="F3" s="333"/>
      <c r="G3" s="333"/>
      <c r="H3" s="333"/>
      <c r="I3" s="333"/>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N3" s="314" t="s">
        <v>3</v>
      </c>
      <c r="AO3" s="314"/>
      <c r="AP3" s="314"/>
      <c r="AQ3" s="314"/>
      <c r="AR3" s="314"/>
      <c r="AS3" s="314"/>
      <c r="AT3" s="314"/>
      <c r="AU3" s="314"/>
      <c r="AV3" s="314"/>
      <c r="AW3" s="314"/>
      <c r="AX3" s="314"/>
      <c r="AY3" s="314"/>
      <c r="AZ3" s="314"/>
      <c r="BA3" s="314"/>
      <c r="BB3" s="314"/>
      <c r="BC3" s="314"/>
      <c r="BD3" s="314"/>
      <c r="BE3" s="314"/>
      <c r="BF3" s="314"/>
      <c r="BG3" s="314"/>
      <c r="BH3" s="314"/>
      <c r="BK3" s="24" t="s">
        <v>4</v>
      </c>
    </row>
    <row r="4" spans="1:63" ht="7.4" customHeight="1" x14ac:dyDescent="0.5">
      <c r="C4" s="333"/>
      <c r="D4" s="333"/>
      <c r="E4" s="333"/>
      <c r="F4" s="333"/>
      <c r="G4" s="333"/>
      <c r="H4" s="333"/>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N4" s="314"/>
      <c r="AO4" s="314"/>
      <c r="AP4" s="314"/>
      <c r="AQ4" s="314"/>
      <c r="AR4" s="314"/>
      <c r="AS4" s="314"/>
      <c r="AT4" s="314"/>
      <c r="AU4" s="314"/>
      <c r="AV4" s="314"/>
      <c r="AW4" s="314"/>
      <c r="AX4" s="314"/>
      <c r="AY4" s="314"/>
      <c r="AZ4" s="314"/>
      <c r="BA4" s="314"/>
      <c r="BB4" s="314"/>
      <c r="BC4" s="314"/>
      <c r="BD4" s="314"/>
      <c r="BE4" s="314"/>
      <c r="BF4" s="314"/>
      <c r="BG4" s="314"/>
      <c r="BH4" s="314"/>
      <c r="BK4" s="24" t="s">
        <v>122</v>
      </c>
    </row>
    <row r="5" spans="1:63" ht="7.4" customHeight="1" x14ac:dyDescent="0.5">
      <c r="C5" s="333"/>
      <c r="D5" s="333"/>
      <c r="E5" s="333"/>
      <c r="F5" s="333"/>
      <c r="G5" s="333"/>
      <c r="H5" s="333"/>
      <c r="I5" s="333"/>
      <c r="J5" s="333"/>
      <c r="K5" s="333"/>
      <c r="L5" s="333"/>
      <c r="M5" s="333"/>
      <c r="N5" s="333"/>
      <c r="O5" s="333"/>
      <c r="P5" s="333"/>
      <c r="Q5" s="333"/>
      <c r="R5" s="333"/>
      <c r="S5" s="333"/>
      <c r="T5" s="333"/>
      <c r="U5" s="333"/>
      <c r="V5" s="333"/>
      <c r="W5" s="333"/>
      <c r="X5" s="333"/>
      <c r="Y5" s="333"/>
      <c r="Z5" s="333"/>
      <c r="AA5" s="333"/>
      <c r="AB5" s="333"/>
      <c r="AC5" s="333"/>
      <c r="AD5" s="333"/>
      <c r="AE5" s="333"/>
      <c r="AF5" s="333"/>
      <c r="AG5" s="333"/>
      <c r="AH5" s="333"/>
      <c r="AI5" s="333"/>
      <c r="AN5" s="406" t="s">
        <v>6</v>
      </c>
      <c r="AO5" s="314"/>
      <c r="AP5" s="314"/>
      <c r="AQ5" s="314"/>
      <c r="AR5" s="314"/>
      <c r="AS5" s="314"/>
      <c r="AT5" s="314"/>
      <c r="AU5" s="314"/>
      <c r="AV5" s="314"/>
      <c r="AW5" s="314"/>
      <c r="AX5" s="314"/>
      <c r="AY5" s="314"/>
      <c r="AZ5" s="314"/>
      <c r="BA5" s="314"/>
      <c r="BB5" s="314"/>
      <c r="BC5" s="314"/>
      <c r="BD5" s="314"/>
      <c r="BE5" s="314"/>
      <c r="BF5" s="314"/>
      <c r="BG5" s="314"/>
      <c r="BH5" s="314"/>
      <c r="BK5" s="24" t="s">
        <v>5</v>
      </c>
    </row>
    <row r="6" spans="1:63" ht="7.4" customHeight="1" x14ac:dyDescent="0.5">
      <c r="C6" s="333"/>
      <c r="D6" s="333"/>
      <c r="E6" s="333"/>
      <c r="F6" s="333"/>
      <c r="G6" s="333"/>
      <c r="H6" s="333"/>
      <c r="I6" s="333"/>
      <c r="J6" s="333"/>
      <c r="K6" s="333"/>
      <c r="L6" s="333"/>
      <c r="M6" s="333"/>
      <c r="N6" s="333"/>
      <c r="O6" s="333"/>
      <c r="P6" s="333"/>
      <c r="Q6" s="333"/>
      <c r="R6" s="333"/>
      <c r="S6" s="333"/>
      <c r="T6" s="333"/>
      <c r="U6" s="333"/>
      <c r="V6" s="333"/>
      <c r="W6" s="333"/>
      <c r="X6" s="333"/>
      <c r="Y6" s="333"/>
      <c r="Z6" s="333"/>
      <c r="AA6" s="333"/>
      <c r="AB6" s="333"/>
      <c r="AC6" s="333"/>
      <c r="AD6" s="333"/>
      <c r="AE6" s="333"/>
      <c r="AF6" s="333"/>
      <c r="AG6" s="333"/>
      <c r="AH6" s="333"/>
      <c r="AI6" s="333"/>
      <c r="AN6" s="314"/>
      <c r="AO6" s="314"/>
      <c r="AP6" s="314"/>
      <c r="AQ6" s="314"/>
      <c r="AR6" s="314"/>
      <c r="AS6" s="314"/>
      <c r="AT6" s="314"/>
      <c r="AU6" s="314"/>
      <c r="AV6" s="314"/>
      <c r="AW6" s="314"/>
      <c r="AX6" s="314"/>
      <c r="AY6" s="314"/>
      <c r="AZ6" s="314"/>
      <c r="BA6" s="314"/>
      <c r="BB6" s="314"/>
      <c r="BC6" s="314"/>
      <c r="BD6" s="314"/>
      <c r="BE6" s="314"/>
      <c r="BF6" s="314"/>
      <c r="BG6" s="314"/>
      <c r="BH6" s="314"/>
      <c r="BK6" s="24" t="s">
        <v>123</v>
      </c>
    </row>
    <row r="7" spans="1:63" ht="7.4" customHeight="1" x14ac:dyDescent="0.5">
      <c r="C7" s="333"/>
      <c r="D7" s="333"/>
      <c r="E7" s="333"/>
      <c r="F7" s="333"/>
      <c r="G7" s="333"/>
      <c r="H7" s="333"/>
      <c r="I7" s="333"/>
      <c r="J7" s="333"/>
      <c r="K7" s="333"/>
      <c r="L7" s="333"/>
      <c r="M7" s="333"/>
      <c r="N7" s="333"/>
      <c r="O7" s="333"/>
      <c r="P7" s="333"/>
      <c r="Q7" s="333"/>
      <c r="R7" s="333"/>
      <c r="S7" s="333"/>
      <c r="T7" s="333"/>
      <c r="U7" s="333"/>
      <c r="V7" s="333"/>
      <c r="W7" s="333"/>
      <c r="X7" s="333"/>
      <c r="Y7" s="333"/>
      <c r="Z7" s="333"/>
      <c r="AA7" s="333"/>
      <c r="AB7" s="333"/>
      <c r="AC7" s="333"/>
      <c r="AD7" s="333"/>
      <c r="AE7" s="333"/>
      <c r="AF7" s="333"/>
      <c r="AG7" s="333"/>
      <c r="AH7" s="333"/>
      <c r="AI7" s="333"/>
      <c r="AN7" s="405" t="s">
        <v>9</v>
      </c>
      <c r="AO7" s="405"/>
      <c r="AP7" s="405"/>
      <c r="AQ7" s="405"/>
      <c r="AR7" s="405"/>
      <c r="AS7" s="405"/>
      <c r="AT7" s="405"/>
      <c r="AU7" s="405"/>
      <c r="AV7" s="405"/>
      <c r="AW7" s="405"/>
      <c r="AX7" s="405"/>
      <c r="AY7" s="405"/>
      <c r="AZ7" s="405"/>
      <c r="BA7" s="405"/>
      <c r="BB7" s="405"/>
      <c r="BC7" s="405"/>
      <c r="BD7" s="405"/>
      <c r="BE7" s="405"/>
      <c r="BF7" s="405"/>
      <c r="BG7" s="405"/>
      <c r="BH7" s="405"/>
      <c r="BK7" s="24" t="s">
        <v>8</v>
      </c>
    </row>
    <row r="8" spans="1:63" ht="7.4" customHeight="1" x14ac:dyDescent="0.5">
      <c r="C8" s="333"/>
      <c r="D8" s="333"/>
      <c r="E8" s="333"/>
      <c r="F8" s="333"/>
      <c r="G8" s="333"/>
      <c r="H8" s="333"/>
      <c r="I8" s="333"/>
      <c r="J8" s="333"/>
      <c r="K8" s="333"/>
      <c r="L8" s="333"/>
      <c r="M8" s="333"/>
      <c r="N8" s="333"/>
      <c r="O8" s="333"/>
      <c r="P8" s="333"/>
      <c r="Q8" s="333"/>
      <c r="R8" s="333"/>
      <c r="S8" s="333"/>
      <c r="T8" s="333"/>
      <c r="U8" s="333"/>
      <c r="V8" s="333"/>
      <c r="W8" s="333"/>
      <c r="X8" s="333"/>
      <c r="Y8" s="333"/>
      <c r="Z8" s="333"/>
      <c r="AA8" s="333"/>
      <c r="AB8" s="333"/>
      <c r="AC8" s="333"/>
      <c r="AD8" s="333"/>
      <c r="AE8" s="333"/>
      <c r="AF8" s="333"/>
      <c r="AG8" s="333"/>
      <c r="AH8" s="333"/>
      <c r="AI8" s="333"/>
      <c r="AN8" s="405"/>
      <c r="AO8" s="405"/>
      <c r="AP8" s="405"/>
      <c r="AQ8" s="405"/>
      <c r="AR8" s="405"/>
      <c r="AS8" s="405"/>
      <c r="AT8" s="405"/>
      <c r="AU8" s="405"/>
      <c r="AV8" s="405"/>
      <c r="AW8" s="405"/>
      <c r="AX8" s="405"/>
      <c r="AY8" s="405"/>
      <c r="AZ8" s="405"/>
      <c r="BA8" s="405"/>
      <c r="BB8" s="405"/>
      <c r="BC8" s="405"/>
      <c r="BD8" s="405"/>
      <c r="BE8" s="405"/>
      <c r="BF8" s="405"/>
      <c r="BG8" s="405"/>
      <c r="BH8" s="405"/>
      <c r="BK8" s="24" t="s">
        <v>10</v>
      </c>
    </row>
    <row r="9" spans="1:63" ht="7.4" customHeight="1" x14ac:dyDescent="0.5">
      <c r="C9" s="404"/>
      <c r="D9" s="404"/>
      <c r="E9" s="404"/>
      <c r="F9" s="404"/>
      <c r="G9" s="404"/>
      <c r="H9" s="404"/>
      <c r="I9" s="404"/>
      <c r="J9" s="404"/>
      <c r="K9" s="404"/>
      <c r="L9" s="404"/>
      <c r="M9" s="404"/>
      <c r="N9" s="404"/>
      <c r="O9" s="404"/>
      <c r="P9" s="404"/>
      <c r="Q9" s="404"/>
      <c r="R9" s="404"/>
      <c r="S9" s="404"/>
      <c r="T9" s="404"/>
      <c r="U9" s="404"/>
      <c r="V9" s="404"/>
      <c r="W9" s="404"/>
      <c r="X9" s="404"/>
      <c r="Y9" s="404"/>
      <c r="Z9" s="404"/>
      <c r="AA9" s="404"/>
      <c r="AB9" s="404"/>
      <c r="AC9" s="404"/>
      <c r="AD9" s="404"/>
      <c r="AE9" s="404"/>
      <c r="AF9" s="404"/>
      <c r="AG9" s="404"/>
      <c r="AH9" s="404"/>
      <c r="AI9" s="404"/>
      <c r="BK9" s="24" t="s">
        <v>11</v>
      </c>
    </row>
    <row r="10" spans="1:63" ht="7.4" customHeight="1" x14ac:dyDescent="0.5">
      <c r="A10" s="407" t="s">
        <v>13</v>
      </c>
      <c r="B10" s="407"/>
      <c r="C10" s="407"/>
      <c r="D10" s="407"/>
      <c r="E10" s="407"/>
      <c r="F10" s="407"/>
      <c r="G10" s="407"/>
      <c r="H10" s="407"/>
      <c r="I10" s="407"/>
      <c r="J10" s="407"/>
      <c r="K10" s="407"/>
      <c r="L10" s="407"/>
      <c r="M10" s="407"/>
      <c r="N10" s="407"/>
      <c r="O10" s="407"/>
      <c r="P10" s="407"/>
      <c r="Q10" s="407"/>
      <c r="R10" s="407"/>
      <c r="S10" s="407"/>
      <c r="T10" s="407"/>
      <c r="U10" s="407"/>
      <c r="V10" s="407"/>
      <c r="W10" s="407"/>
      <c r="X10" s="407"/>
      <c r="Y10" s="407"/>
      <c r="Z10" s="407"/>
      <c r="AA10" s="407"/>
      <c r="AB10" s="407"/>
      <c r="AC10" s="407"/>
      <c r="AD10" s="407"/>
      <c r="AE10" s="407"/>
      <c r="AF10" s="407"/>
      <c r="AG10" s="407"/>
      <c r="AH10" s="407"/>
      <c r="AI10" s="407"/>
      <c r="AJ10" s="407"/>
      <c r="AK10" s="407"/>
      <c r="AL10" s="407"/>
      <c r="AM10" s="30"/>
      <c r="AN10" s="30"/>
      <c r="AO10" s="30"/>
      <c r="AP10" s="30"/>
      <c r="AQ10" s="30"/>
      <c r="AR10" s="30"/>
      <c r="AS10" s="30"/>
      <c r="AT10" s="30"/>
      <c r="AU10" s="30"/>
      <c r="AV10" s="30"/>
      <c r="AW10" s="30"/>
      <c r="AX10" s="30"/>
      <c r="AY10" s="30"/>
      <c r="AZ10" s="30"/>
      <c r="BA10" s="30"/>
      <c r="BB10" s="30"/>
      <c r="BC10" s="30"/>
      <c r="BD10" s="30"/>
      <c r="BE10" s="30"/>
      <c r="BF10" s="30"/>
      <c r="BG10" s="30"/>
      <c r="BH10" s="30"/>
      <c r="BI10" s="31"/>
      <c r="BK10" s="24" t="s">
        <v>12</v>
      </c>
    </row>
    <row r="11" spans="1:63" ht="7.4" customHeight="1" x14ac:dyDescent="0.5">
      <c r="A11" s="407"/>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407"/>
      <c r="AE11" s="407"/>
      <c r="AF11" s="407"/>
      <c r="AG11" s="407"/>
      <c r="AH11" s="407"/>
      <c r="AI11" s="407"/>
      <c r="AJ11" s="407"/>
      <c r="AK11" s="407"/>
      <c r="AL11" s="407"/>
      <c r="AM11" s="33"/>
      <c r="AN11" s="408" t="s">
        <v>15</v>
      </c>
      <c r="AO11" s="408"/>
      <c r="AP11" s="408"/>
      <c r="AQ11" s="408"/>
      <c r="AR11" s="408"/>
      <c r="AS11" s="408"/>
      <c r="AT11" s="408"/>
      <c r="AU11" s="408"/>
      <c r="AV11" s="408"/>
      <c r="AW11" s="33"/>
      <c r="AX11" s="409" t="s">
        <v>162</v>
      </c>
      <c r="AY11" s="409"/>
      <c r="AZ11" s="409"/>
      <c r="BA11" s="409"/>
      <c r="BB11" s="409"/>
      <c r="BC11" s="409"/>
      <c r="BD11" s="409"/>
      <c r="BE11" s="409"/>
      <c r="BF11" s="409"/>
      <c r="BG11" s="409"/>
      <c r="BH11" s="409"/>
      <c r="BI11" s="34"/>
      <c r="BK11" s="24" t="s">
        <v>125</v>
      </c>
    </row>
    <row r="12" spans="1:63" ht="7.4" customHeight="1" x14ac:dyDescent="0.5">
      <c r="A12" s="407"/>
      <c r="B12" s="407"/>
      <c r="C12" s="407"/>
      <c r="D12" s="407"/>
      <c r="E12" s="407"/>
      <c r="F12" s="407"/>
      <c r="G12" s="407"/>
      <c r="H12" s="407"/>
      <c r="I12" s="407"/>
      <c r="J12" s="407"/>
      <c r="K12" s="407"/>
      <c r="L12" s="407"/>
      <c r="M12" s="407"/>
      <c r="N12" s="407"/>
      <c r="O12" s="407"/>
      <c r="P12" s="407"/>
      <c r="Q12" s="407"/>
      <c r="R12" s="407"/>
      <c r="S12" s="407"/>
      <c r="T12" s="407"/>
      <c r="U12" s="407"/>
      <c r="V12" s="407"/>
      <c r="W12" s="407"/>
      <c r="X12" s="407"/>
      <c r="Y12" s="407"/>
      <c r="Z12" s="407"/>
      <c r="AA12" s="407"/>
      <c r="AB12" s="407"/>
      <c r="AC12" s="407"/>
      <c r="AD12" s="407"/>
      <c r="AE12" s="407"/>
      <c r="AF12" s="407"/>
      <c r="AG12" s="407"/>
      <c r="AH12" s="407"/>
      <c r="AI12" s="407"/>
      <c r="AJ12" s="407"/>
      <c r="AK12" s="407"/>
      <c r="AL12" s="407"/>
      <c r="AM12" s="33"/>
      <c r="AN12" s="408"/>
      <c r="AO12" s="408"/>
      <c r="AP12" s="408"/>
      <c r="AQ12" s="408"/>
      <c r="AR12" s="408"/>
      <c r="AS12" s="408"/>
      <c r="AT12" s="408"/>
      <c r="AU12" s="408"/>
      <c r="AV12" s="408"/>
      <c r="AW12" s="33"/>
      <c r="AX12" s="409"/>
      <c r="AY12" s="409"/>
      <c r="AZ12" s="409"/>
      <c r="BA12" s="409"/>
      <c r="BB12" s="409"/>
      <c r="BC12" s="409"/>
      <c r="BD12" s="409"/>
      <c r="BE12" s="409"/>
      <c r="BF12" s="409"/>
      <c r="BG12" s="409"/>
      <c r="BH12" s="409"/>
      <c r="BI12" s="34"/>
      <c r="BK12" s="24" t="s">
        <v>14</v>
      </c>
    </row>
    <row r="13" spans="1:63" ht="7.4" customHeight="1" x14ac:dyDescent="0.5">
      <c r="A13" s="407"/>
      <c r="B13" s="407"/>
      <c r="C13" s="407"/>
      <c r="D13" s="407"/>
      <c r="E13" s="407"/>
      <c r="F13" s="407"/>
      <c r="G13" s="407"/>
      <c r="H13" s="407"/>
      <c r="I13" s="407"/>
      <c r="J13" s="407"/>
      <c r="K13" s="407"/>
      <c r="L13" s="407"/>
      <c r="M13" s="407"/>
      <c r="N13" s="407"/>
      <c r="O13" s="407"/>
      <c r="P13" s="407"/>
      <c r="Q13" s="407"/>
      <c r="R13" s="407"/>
      <c r="S13" s="407"/>
      <c r="T13" s="407"/>
      <c r="U13" s="407"/>
      <c r="V13" s="407"/>
      <c r="W13" s="407"/>
      <c r="X13" s="407"/>
      <c r="Y13" s="407"/>
      <c r="Z13" s="407"/>
      <c r="AA13" s="407"/>
      <c r="AB13" s="407"/>
      <c r="AC13" s="407"/>
      <c r="AD13" s="407"/>
      <c r="AE13" s="407"/>
      <c r="AF13" s="407"/>
      <c r="AG13" s="407"/>
      <c r="AH13" s="407"/>
      <c r="AI13" s="407"/>
      <c r="AJ13" s="407"/>
      <c r="AK13" s="407"/>
      <c r="AL13" s="407"/>
      <c r="AM13" s="33"/>
      <c r="AN13" s="408" t="s">
        <v>19</v>
      </c>
      <c r="AO13" s="408"/>
      <c r="AP13" s="408"/>
      <c r="AQ13" s="408"/>
      <c r="AR13" s="408"/>
      <c r="AS13" s="408"/>
      <c r="AT13" s="408"/>
      <c r="AU13" s="408"/>
      <c r="AV13" s="408"/>
      <c r="AW13" s="33"/>
      <c r="AX13" s="410" t="s">
        <v>20</v>
      </c>
      <c r="AY13" s="410"/>
      <c r="AZ13" s="410"/>
      <c r="BA13" s="410"/>
      <c r="BB13" s="410"/>
      <c r="BC13" s="410"/>
      <c r="BD13" s="410"/>
      <c r="BE13" s="410"/>
      <c r="BF13" s="410"/>
      <c r="BG13" s="410"/>
      <c r="BH13" s="410"/>
      <c r="BI13" s="34"/>
      <c r="BK13" s="24" t="s">
        <v>126</v>
      </c>
    </row>
    <row r="14" spans="1:63" ht="7.4" customHeight="1" x14ac:dyDescent="0.5">
      <c r="A14" s="407"/>
      <c r="B14" s="407"/>
      <c r="C14" s="407"/>
      <c r="D14" s="407"/>
      <c r="E14" s="407"/>
      <c r="F14" s="407"/>
      <c r="G14" s="407"/>
      <c r="H14" s="407"/>
      <c r="I14" s="407"/>
      <c r="J14" s="407"/>
      <c r="K14" s="407"/>
      <c r="L14" s="407"/>
      <c r="M14" s="407"/>
      <c r="N14" s="407"/>
      <c r="O14" s="407"/>
      <c r="P14" s="407"/>
      <c r="Q14" s="407"/>
      <c r="R14" s="407"/>
      <c r="S14" s="407"/>
      <c r="T14" s="407"/>
      <c r="U14" s="407"/>
      <c r="V14" s="407"/>
      <c r="W14" s="407"/>
      <c r="X14" s="407"/>
      <c r="Y14" s="407"/>
      <c r="Z14" s="407"/>
      <c r="AA14" s="407"/>
      <c r="AB14" s="407"/>
      <c r="AC14" s="407"/>
      <c r="AD14" s="407"/>
      <c r="AE14" s="407"/>
      <c r="AF14" s="407"/>
      <c r="AG14" s="407"/>
      <c r="AH14" s="407"/>
      <c r="AI14" s="407"/>
      <c r="AJ14" s="407"/>
      <c r="AK14" s="407"/>
      <c r="AL14" s="407"/>
      <c r="AM14" s="33"/>
      <c r="AN14" s="408"/>
      <c r="AO14" s="408"/>
      <c r="AP14" s="408"/>
      <c r="AQ14" s="408"/>
      <c r="AR14" s="408"/>
      <c r="AS14" s="408"/>
      <c r="AT14" s="408"/>
      <c r="AU14" s="408"/>
      <c r="AV14" s="408"/>
      <c r="AW14" s="33"/>
      <c r="AX14" s="410"/>
      <c r="AY14" s="410"/>
      <c r="AZ14" s="410"/>
      <c r="BA14" s="410"/>
      <c r="BB14" s="410"/>
      <c r="BC14" s="410"/>
      <c r="BD14" s="410"/>
      <c r="BE14" s="410"/>
      <c r="BF14" s="410"/>
      <c r="BG14" s="410"/>
      <c r="BH14" s="410"/>
      <c r="BI14" s="34"/>
      <c r="BK14" s="24" t="s">
        <v>17</v>
      </c>
    </row>
    <row r="15" spans="1:63" ht="7.4" customHeight="1" x14ac:dyDescent="0.5">
      <c r="A15" s="407"/>
      <c r="B15" s="407"/>
      <c r="C15" s="407"/>
      <c r="D15" s="407"/>
      <c r="E15" s="407"/>
      <c r="F15" s="407"/>
      <c r="G15" s="407"/>
      <c r="H15" s="407"/>
      <c r="I15" s="407"/>
      <c r="J15" s="407"/>
      <c r="K15" s="407"/>
      <c r="L15" s="407"/>
      <c r="M15" s="407"/>
      <c r="N15" s="407"/>
      <c r="O15" s="407"/>
      <c r="P15" s="407"/>
      <c r="Q15" s="407"/>
      <c r="R15" s="407"/>
      <c r="S15" s="407"/>
      <c r="T15" s="407"/>
      <c r="U15" s="407"/>
      <c r="V15" s="407"/>
      <c r="W15" s="407"/>
      <c r="X15" s="407"/>
      <c r="Y15" s="407"/>
      <c r="Z15" s="407"/>
      <c r="AA15" s="407"/>
      <c r="AB15" s="407"/>
      <c r="AC15" s="407"/>
      <c r="AD15" s="407"/>
      <c r="AE15" s="407"/>
      <c r="AF15" s="407"/>
      <c r="AG15" s="407"/>
      <c r="AH15" s="407"/>
      <c r="AI15" s="407"/>
      <c r="AJ15" s="407"/>
      <c r="AK15" s="407"/>
      <c r="AL15" s="407"/>
      <c r="AM15" s="36"/>
      <c r="AN15" s="36"/>
      <c r="AO15" s="36"/>
      <c r="AP15" s="36"/>
      <c r="AQ15" s="36"/>
      <c r="AR15" s="36"/>
      <c r="AS15" s="36"/>
      <c r="AT15" s="36"/>
      <c r="AU15" s="36"/>
      <c r="AV15" s="36"/>
      <c r="AW15" s="36"/>
      <c r="AX15" s="36"/>
      <c r="AY15" s="36"/>
      <c r="AZ15" s="36"/>
      <c r="BA15" s="36"/>
      <c r="BB15" s="36"/>
      <c r="BC15" s="36"/>
      <c r="BD15" s="36"/>
      <c r="BE15" s="36"/>
      <c r="BF15" s="36"/>
      <c r="BG15" s="36"/>
      <c r="BH15" s="36"/>
      <c r="BI15" s="37"/>
      <c r="BK15" s="24" t="s">
        <v>127</v>
      </c>
    </row>
    <row r="16" spans="1:63" ht="7.4" customHeight="1" x14ac:dyDescent="0.5">
      <c r="A16" s="58"/>
      <c r="B16" s="59"/>
      <c r="C16" s="59"/>
      <c r="D16" s="59"/>
      <c r="E16" s="59"/>
      <c r="F16" s="59"/>
      <c r="G16" s="59"/>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60"/>
      <c r="BK16" s="24" t="s">
        <v>18</v>
      </c>
    </row>
    <row r="17" spans="1:70" ht="7.4" customHeight="1" x14ac:dyDescent="0.5">
      <c r="A17" s="61"/>
      <c r="B17" s="62"/>
      <c r="C17" s="400" t="s">
        <v>25</v>
      </c>
      <c r="D17" s="400"/>
      <c r="E17" s="400"/>
      <c r="F17" s="400"/>
      <c r="G17" s="401"/>
      <c r="H17" s="401"/>
      <c r="I17" s="401"/>
      <c r="J17" s="401"/>
      <c r="K17" s="401"/>
      <c r="L17" s="401"/>
      <c r="M17" s="401"/>
      <c r="N17" s="401"/>
      <c r="O17" s="401"/>
      <c r="P17" s="401"/>
      <c r="Q17" s="401"/>
      <c r="R17" s="401"/>
      <c r="S17" s="401"/>
      <c r="T17" s="401"/>
      <c r="U17" s="401"/>
      <c r="V17" s="401"/>
      <c r="W17" s="401"/>
      <c r="X17" s="401"/>
      <c r="Y17" s="400" t="s">
        <v>26</v>
      </c>
      <c r="Z17" s="400"/>
      <c r="AA17" s="400"/>
      <c r="AB17" s="400"/>
      <c r="AC17" s="400"/>
      <c r="AD17" s="401"/>
      <c r="AE17" s="401"/>
      <c r="AF17" s="401"/>
      <c r="AG17" s="401"/>
      <c r="AH17" s="401"/>
      <c r="AI17" s="401"/>
      <c r="AJ17" s="401"/>
      <c r="AK17" s="401"/>
      <c r="AL17" s="401"/>
      <c r="AM17" s="401"/>
      <c r="AN17" s="401"/>
      <c r="AO17" s="401"/>
      <c r="AP17" s="401"/>
      <c r="AQ17" s="401"/>
      <c r="AR17" s="401"/>
      <c r="AS17" s="401"/>
      <c r="AT17" s="400" t="s">
        <v>27</v>
      </c>
      <c r="AU17" s="400"/>
      <c r="AV17" s="400"/>
      <c r="AW17" s="400"/>
      <c r="AX17" s="402">
        <f ca="1">TODAY()</f>
        <v>45960</v>
      </c>
      <c r="AY17" s="402"/>
      <c r="AZ17" s="402"/>
      <c r="BA17" s="402"/>
      <c r="BB17" s="402"/>
      <c r="BC17" s="402"/>
      <c r="BD17" s="402"/>
      <c r="BE17" s="402"/>
      <c r="BF17" s="402"/>
      <c r="BG17" s="402"/>
      <c r="BH17" s="402"/>
      <c r="BI17" s="63"/>
      <c r="BK17" s="24" t="s">
        <v>21</v>
      </c>
    </row>
    <row r="18" spans="1:70" ht="7.4" customHeight="1" x14ac:dyDescent="0.5">
      <c r="A18" s="61"/>
      <c r="B18" s="62"/>
      <c r="C18" s="400"/>
      <c r="D18" s="400"/>
      <c r="E18" s="400"/>
      <c r="F18" s="400"/>
      <c r="G18" s="401"/>
      <c r="H18" s="401"/>
      <c r="I18" s="401"/>
      <c r="J18" s="401"/>
      <c r="K18" s="401"/>
      <c r="L18" s="401"/>
      <c r="M18" s="401"/>
      <c r="N18" s="401"/>
      <c r="O18" s="401"/>
      <c r="P18" s="401"/>
      <c r="Q18" s="401"/>
      <c r="R18" s="401"/>
      <c r="S18" s="401"/>
      <c r="T18" s="401"/>
      <c r="U18" s="401"/>
      <c r="V18" s="401"/>
      <c r="W18" s="401"/>
      <c r="X18" s="401"/>
      <c r="Y18" s="400"/>
      <c r="Z18" s="400"/>
      <c r="AA18" s="400"/>
      <c r="AB18" s="400"/>
      <c r="AC18" s="400"/>
      <c r="AD18" s="401"/>
      <c r="AE18" s="401"/>
      <c r="AF18" s="401"/>
      <c r="AG18" s="401"/>
      <c r="AH18" s="401"/>
      <c r="AI18" s="401"/>
      <c r="AJ18" s="401"/>
      <c r="AK18" s="401"/>
      <c r="AL18" s="401"/>
      <c r="AM18" s="401"/>
      <c r="AN18" s="401"/>
      <c r="AO18" s="401"/>
      <c r="AP18" s="401"/>
      <c r="AQ18" s="401"/>
      <c r="AR18" s="401"/>
      <c r="AS18" s="401"/>
      <c r="AT18" s="400"/>
      <c r="AU18" s="400"/>
      <c r="AV18" s="400"/>
      <c r="AW18" s="400"/>
      <c r="AX18" s="402"/>
      <c r="AY18" s="402"/>
      <c r="AZ18" s="402"/>
      <c r="BA18" s="402"/>
      <c r="BB18" s="402"/>
      <c r="BC18" s="402"/>
      <c r="BD18" s="402"/>
      <c r="BE18" s="402"/>
      <c r="BF18" s="402"/>
      <c r="BG18" s="402"/>
      <c r="BH18" s="402"/>
      <c r="BI18" s="63"/>
      <c r="BK18" s="24" t="s">
        <v>22</v>
      </c>
    </row>
    <row r="19" spans="1:70" ht="7.4" customHeight="1" x14ac:dyDescent="0.5">
      <c r="A19" s="64"/>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6"/>
      <c r="BK19" s="24" t="s">
        <v>23</v>
      </c>
    </row>
    <row r="20" spans="1:70" ht="7.4" customHeight="1" x14ac:dyDescent="0.5">
      <c r="A20" s="38"/>
      <c r="B20" s="39"/>
      <c r="C20" s="39"/>
      <c r="D20" s="39"/>
      <c r="E20" s="39"/>
      <c r="F20" s="39"/>
      <c r="G20" s="39"/>
      <c r="H20" s="39"/>
      <c r="I20" s="39"/>
      <c r="J20" s="39"/>
      <c r="K20" s="39"/>
      <c r="L20" s="39"/>
      <c r="M20" s="39"/>
      <c r="N20" s="39"/>
      <c r="O20" s="39"/>
      <c r="P20" s="39"/>
      <c r="Q20" s="39"/>
      <c r="R20" s="39"/>
      <c r="S20" s="67"/>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9"/>
      <c r="AR20" s="39"/>
      <c r="AS20" s="39"/>
      <c r="AT20" s="39"/>
      <c r="AU20" s="39"/>
      <c r="AV20" s="39"/>
      <c r="AW20" s="39"/>
      <c r="AX20" s="39"/>
      <c r="AY20" s="39"/>
      <c r="AZ20" s="39"/>
      <c r="BA20" s="39"/>
      <c r="BB20" s="39"/>
      <c r="BC20" s="39"/>
      <c r="BD20" s="39"/>
      <c r="BE20" s="39"/>
      <c r="BF20" s="39"/>
      <c r="BG20" s="39"/>
      <c r="BH20" s="39"/>
      <c r="BI20" s="40"/>
      <c r="BK20" s="24" t="s">
        <v>24</v>
      </c>
    </row>
    <row r="21" spans="1:70" ht="7.4" customHeight="1" x14ac:dyDescent="0.5">
      <c r="A21" s="42"/>
      <c r="S21" s="70"/>
      <c r="T21" s="509" t="str">
        <f>"Roof Top Angled Railed ("&amp;$AO$35&amp;")"</f>
        <v>Roof Top Angled Railed (IBR)</v>
      </c>
      <c r="U21" s="509"/>
      <c r="V21" s="509"/>
      <c r="W21" s="509"/>
      <c r="X21" s="509"/>
      <c r="Y21" s="509"/>
      <c r="Z21" s="509"/>
      <c r="AA21" s="509"/>
      <c r="AB21" s="509"/>
      <c r="AC21" s="509"/>
      <c r="AD21" s="509"/>
      <c r="AE21" s="509"/>
      <c r="AF21" s="509"/>
      <c r="AG21" s="509"/>
      <c r="AH21" s="509"/>
      <c r="AI21" s="509"/>
      <c r="AJ21" s="509"/>
      <c r="AK21" s="509"/>
      <c r="AL21" s="509"/>
      <c r="AM21" s="509"/>
      <c r="AN21" s="509"/>
      <c r="AO21" s="509"/>
      <c r="AP21" s="509"/>
      <c r="AQ21" s="71"/>
      <c r="BI21" s="41"/>
      <c r="BK21" s="24" t="s">
        <v>28</v>
      </c>
    </row>
    <row r="22" spans="1:70" ht="7.4" customHeight="1" x14ac:dyDescent="0.5">
      <c r="A22" s="42"/>
      <c r="S22" s="70"/>
      <c r="T22" s="509"/>
      <c r="U22" s="509"/>
      <c r="V22" s="509"/>
      <c r="W22" s="509"/>
      <c r="X22" s="509"/>
      <c r="Y22" s="509"/>
      <c r="Z22" s="509"/>
      <c r="AA22" s="509"/>
      <c r="AB22" s="509"/>
      <c r="AC22" s="509"/>
      <c r="AD22" s="509"/>
      <c r="AE22" s="509"/>
      <c r="AF22" s="509"/>
      <c r="AG22" s="509"/>
      <c r="AH22" s="509"/>
      <c r="AI22" s="509"/>
      <c r="AJ22" s="509"/>
      <c r="AK22" s="509"/>
      <c r="AL22" s="509"/>
      <c r="AM22" s="509"/>
      <c r="AN22" s="509"/>
      <c r="AO22" s="509"/>
      <c r="AP22" s="509"/>
      <c r="AQ22" s="71"/>
      <c r="BI22" s="41"/>
    </row>
    <row r="23" spans="1:70" ht="7.4" customHeight="1" x14ac:dyDescent="0.5">
      <c r="A23" s="42"/>
      <c r="S23" s="72"/>
      <c r="T23" s="73"/>
      <c r="U23" s="73"/>
      <c r="V23" s="73"/>
      <c r="W23" s="73"/>
      <c r="X23" s="73"/>
      <c r="Y23" s="73"/>
      <c r="Z23" s="73"/>
      <c r="AA23" s="73"/>
      <c r="AB23" s="73"/>
      <c r="AC23" s="73"/>
      <c r="AD23" s="73"/>
      <c r="AE23" s="73"/>
      <c r="AF23" s="73"/>
      <c r="AG23" s="73"/>
      <c r="AH23" s="73"/>
      <c r="AI23" s="73"/>
      <c r="AJ23" s="73"/>
      <c r="AK23" s="73"/>
      <c r="AL23" s="73"/>
      <c r="AM23" s="73"/>
      <c r="AN23" s="73"/>
      <c r="AO23" s="73"/>
      <c r="AP23" s="73"/>
      <c r="AQ23" s="74"/>
      <c r="BI23" s="41"/>
    </row>
    <row r="24" spans="1:70" ht="7.4" customHeight="1" x14ac:dyDescent="0.5">
      <c r="A24" s="42"/>
      <c r="BI24" s="41"/>
    </row>
    <row r="25" spans="1:70" ht="7.4" customHeight="1" x14ac:dyDescent="0.5">
      <c r="A25" s="42"/>
      <c r="B25" s="299" t="s">
        <v>59</v>
      </c>
      <c r="C25" s="363"/>
      <c r="D25" s="363"/>
      <c r="E25" s="363"/>
      <c r="F25" s="363"/>
      <c r="G25" s="363"/>
      <c r="H25" s="363"/>
      <c r="I25" s="363"/>
      <c r="J25" s="363"/>
      <c r="K25" s="363"/>
      <c r="L25" s="363"/>
      <c r="M25" s="363"/>
      <c r="N25" s="363"/>
      <c r="O25" s="363"/>
      <c r="P25" s="363"/>
      <c r="Q25" s="363"/>
      <c r="R25" s="363"/>
      <c r="S25" s="363"/>
      <c r="T25" s="363"/>
      <c r="U25" s="363"/>
      <c r="V25" s="363"/>
      <c r="W25" s="363"/>
      <c r="X25" s="363"/>
      <c r="Y25" s="363"/>
      <c r="Z25" s="363"/>
      <c r="AA25" s="363"/>
      <c r="AB25" s="363"/>
      <c r="AC25" s="364"/>
      <c r="AE25" s="299" t="s">
        <v>60</v>
      </c>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4"/>
      <c r="BI25" s="41"/>
    </row>
    <row r="26" spans="1:70" ht="7.4" customHeight="1" x14ac:dyDescent="0.5">
      <c r="A26" s="42"/>
      <c r="B26" s="365"/>
      <c r="C26" s="366"/>
      <c r="D26" s="366"/>
      <c r="E26" s="366"/>
      <c r="F26" s="366"/>
      <c r="G26" s="366"/>
      <c r="H26" s="366"/>
      <c r="I26" s="366"/>
      <c r="J26" s="366"/>
      <c r="K26" s="366"/>
      <c r="L26" s="366"/>
      <c r="M26" s="366"/>
      <c r="N26" s="366"/>
      <c r="O26" s="366"/>
      <c r="P26" s="366"/>
      <c r="Q26" s="366"/>
      <c r="R26" s="366"/>
      <c r="S26" s="366"/>
      <c r="T26" s="366"/>
      <c r="U26" s="366"/>
      <c r="V26" s="366"/>
      <c r="W26" s="366"/>
      <c r="X26" s="366"/>
      <c r="Y26" s="366"/>
      <c r="Z26" s="366"/>
      <c r="AA26" s="366"/>
      <c r="AB26" s="366"/>
      <c r="AC26" s="367"/>
      <c r="AE26" s="365"/>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7"/>
      <c r="BI26" s="41"/>
    </row>
    <row r="27" spans="1:70" ht="7.4" customHeight="1" x14ac:dyDescent="0.5">
      <c r="A27" s="42"/>
      <c r="B27" s="368"/>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70"/>
      <c r="AE27" s="368"/>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70"/>
      <c r="BI27" s="41"/>
    </row>
    <row r="28" spans="1:70" ht="7.4" customHeight="1" x14ac:dyDescent="0.5">
      <c r="A28" s="42"/>
      <c r="B28" s="58"/>
      <c r="C28" s="503" t="s">
        <v>61</v>
      </c>
      <c r="D28" s="503"/>
      <c r="E28" s="503"/>
      <c r="F28" s="503"/>
      <c r="G28" s="503"/>
      <c r="H28" s="503"/>
      <c r="I28" s="503"/>
      <c r="J28" s="503"/>
      <c r="K28" s="503"/>
      <c r="L28" s="503"/>
      <c r="M28" s="503"/>
      <c r="N28" s="503"/>
      <c r="O28" s="503"/>
      <c r="P28" s="503"/>
      <c r="Q28" s="503"/>
      <c r="R28" s="504"/>
      <c r="S28" s="39"/>
      <c r="T28" s="380" t="str">
        <f>(J43*BC43)/1000 &amp; " kWp"</f>
        <v>150 kWp</v>
      </c>
      <c r="U28" s="380"/>
      <c r="V28" s="380"/>
      <c r="W28" s="380"/>
      <c r="X28" s="380"/>
      <c r="Y28" s="380"/>
      <c r="Z28" s="380"/>
      <c r="AA28" s="380"/>
      <c r="AB28" s="380"/>
      <c r="AC28" s="381"/>
      <c r="AD28" s="108"/>
      <c r="AE28" s="137"/>
      <c r="AF28" s="503" t="s">
        <v>62</v>
      </c>
      <c r="AG28" s="503"/>
      <c r="AH28" s="503"/>
      <c r="AI28" s="503"/>
      <c r="AJ28" s="503"/>
      <c r="AK28" s="503"/>
      <c r="AL28" s="503"/>
      <c r="AM28" s="504"/>
      <c r="AN28" s="77"/>
      <c r="AO28" s="489" t="s">
        <v>128</v>
      </c>
      <c r="AP28" s="489"/>
      <c r="AQ28" s="489"/>
      <c r="AR28" s="489"/>
      <c r="AS28" s="489"/>
      <c r="AT28" s="489"/>
      <c r="AU28" s="489"/>
      <c r="AV28" s="489"/>
      <c r="AW28" s="489"/>
      <c r="AX28" s="489"/>
      <c r="AY28" s="489"/>
      <c r="AZ28" s="489"/>
      <c r="BA28" s="489"/>
      <c r="BB28" s="489"/>
      <c r="BC28" s="489"/>
      <c r="BD28" s="489"/>
      <c r="BE28" s="489"/>
      <c r="BF28" s="489"/>
      <c r="BG28" s="489"/>
      <c r="BH28" s="490"/>
      <c r="BI28" s="124"/>
    </row>
    <row r="29" spans="1:70" ht="7.4" customHeight="1" x14ac:dyDescent="0.5">
      <c r="A29" s="42"/>
      <c r="B29" s="61"/>
      <c r="C29" s="400"/>
      <c r="D29" s="400"/>
      <c r="E29" s="400"/>
      <c r="F29" s="400"/>
      <c r="G29" s="400"/>
      <c r="H29" s="400"/>
      <c r="I29" s="400"/>
      <c r="J29" s="400"/>
      <c r="K29" s="400"/>
      <c r="L29" s="400"/>
      <c r="M29" s="400"/>
      <c r="N29" s="400"/>
      <c r="O29" s="400"/>
      <c r="P29" s="400"/>
      <c r="Q29" s="400"/>
      <c r="R29" s="448"/>
      <c r="S29" s="108"/>
      <c r="T29" s="382"/>
      <c r="U29" s="382"/>
      <c r="V29" s="382"/>
      <c r="W29" s="382"/>
      <c r="X29" s="382"/>
      <c r="Y29" s="382"/>
      <c r="Z29" s="382"/>
      <c r="AA29" s="382"/>
      <c r="AB29" s="382"/>
      <c r="AC29" s="383"/>
      <c r="AD29" s="25"/>
      <c r="AE29" s="139"/>
      <c r="AF29" s="400"/>
      <c r="AG29" s="400"/>
      <c r="AH29" s="400"/>
      <c r="AI29" s="400"/>
      <c r="AJ29" s="400"/>
      <c r="AK29" s="400"/>
      <c r="AL29" s="400"/>
      <c r="AM29" s="448"/>
      <c r="AN29" s="25"/>
      <c r="AO29" s="405"/>
      <c r="AP29" s="405"/>
      <c r="AQ29" s="405"/>
      <c r="AR29" s="405"/>
      <c r="AS29" s="405"/>
      <c r="AT29" s="405"/>
      <c r="AU29" s="405"/>
      <c r="AV29" s="405"/>
      <c r="AW29" s="405"/>
      <c r="AX29" s="405"/>
      <c r="AY29" s="405"/>
      <c r="AZ29" s="405"/>
      <c r="BA29" s="405"/>
      <c r="BB29" s="405"/>
      <c r="BC29" s="405"/>
      <c r="BD29" s="405"/>
      <c r="BE29" s="405"/>
      <c r="BF29" s="405"/>
      <c r="BG29" s="405"/>
      <c r="BH29" s="411"/>
      <c r="BI29" s="41"/>
    </row>
    <row r="30" spans="1:70" ht="7.4" customHeight="1" x14ac:dyDescent="0.5">
      <c r="A30" s="42"/>
      <c r="B30" s="61"/>
      <c r="C30" s="400"/>
      <c r="D30" s="400"/>
      <c r="E30" s="400"/>
      <c r="F30" s="400"/>
      <c r="G30" s="400"/>
      <c r="H30" s="400"/>
      <c r="I30" s="400"/>
      <c r="J30" s="400"/>
      <c r="K30" s="400"/>
      <c r="L30" s="400"/>
      <c r="M30" s="400"/>
      <c r="N30" s="400"/>
      <c r="O30" s="400"/>
      <c r="P30" s="400"/>
      <c r="Q30" s="400"/>
      <c r="R30" s="448"/>
      <c r="T30" s="388"/>
      <c r="U30" s="388"/>
      <c r="V30" s="388"/>
      <c r="W30" s="388"/>
      <c r="X30" s="388"/>
      <c r="Y30" s="388"/>
      <c r="Z30" s="388"/>
      <c r="AA30" s="388"/>
      <c r="AB30" s="388"/>
      <c r="AC30" s="389"/>
      <c r="AD30" s="25"/>
      <c r="AE30" s="139"/>
      <c r="AF30" s="400"/>
      <c r="AG30" s="400"/>
      <c r="AH30" s="400"/>
      <c r="AI30" s="400"/>
      <c r="AJ30" s="400"/>
      <c r="AK30" s="400"/>
      <c r="AL30" s="400"/>
      <c r="AM30" s="448"/>
      <c r="AN30" s="79"/>
      <c r="AO30" s="491"/>
      <c r="AP30" s="491"/>
      <c r="AQ30" s="491"/>
      <c r="AR30" s="491"/>
      <c r="AS30" s="491"/>
      <c r="AT30" s="491"/>
      <c r="AU30" s="491"/>
      <c r="AV30" s="491"/>
      <c r="AW30" s="491"/>
      <c r="AX30" s="491"/>
      <c r="AY30" s="491"/>
      <c r="AZ30" s="491"/>
      <c r="BA30" s="491"/>
      <c r="BB30" s="491"/>
      <c r="BC30" s="491"/>
      <c r="BD30" s="491"/>
      <c r="BE30" s="491"/>
      <c r="BF30" s="491"/>
      <c r="BG30" s="491"/>
      <c r="BH30" s="492"/>
      <c r="BI30" s="41"/>
      <c r="BK30" s="311">
        <v>10</v>
      </c>
      <c r="BL30" s="311"/>
      <c r="BM30" s="311">
        <v>1446</v>
      </c>
      <c r="BN30" s="311"/>
      <c r="BO30" s="311"/>
      <c r="BP30" s="311">
        <v>1720</v>
      </c>
      <c r="BQ30" s="311"/>
      <c r="BR30" s="311"/>
    </row>
    <row r="31" spans="1:70" ht="7.4" customHeight="1" x14ac:dyDescent="0.5">
      <c r="A31" s="42"/>
      <c r="B31" s="61"/>
      <c r="C31" s="400" t="s">
        <v>65</v>
      </c>
      <c r="D31" s="400"/>
      <c r="E31" s="400"/>
      <c r="F31" s="400"/>
      <c r="G31" s="400"/>
      <c r="H31" s="400"/>
      <c r="I31" s="400"/>
      <c r="J31" s="400"/>
      <c r="K31" s="400"/>
      <c r="L31" s="400"/>
      <c r="M31" s="400"/>
      <c r="N31" s="400"/>
      <c r="O31" s="400"/>
      <c r="P31" s="400"/>
      <c r="Q31" s="400"/>
      <c r="R31" s="448"/>
      <c r="S31" s="39"/>
      <c r="T31" s="489" t="s">
        <v>163</v>
      </c>
      <c r="U31" s="489"/>
      <c r="V31" s="489"/>
      <c r="W31" s="489"/>
      <c r="X31" s="489"/>
      <c r="Y31" s="489"/>
      <c r="Z31" s="489"/>
      <c r="AA31" s="489"/>
      <c r="AB31" s="489"/>
      <c r="AC31" s="490"/>
      <c r="AD31" s="25"/>
      <c r="AE31" s="139"/>
      <c r="AF31" s="400" t="s">
        <v>67</v>
      </c>
      <c r="AG31" s="400"/>
      <c r="AH31" s="400"/>
      <c r="AI31" s="400"/>
      <c r="AJ31" s="400"/>
      <c r="AK31" s="400"/>
      <c r="AL31" s="400"/>
      <c r="AM31" s="448"/>
      <c r="AN31" s="77"/>
      <c r="AO31" s="493">
        <v>10</v>
      </c>
      <c r="AP31" s="493"/>
      <c r="AQ31" s="495" t="s">
        <v>68</v>
      </c>
      <c r="AR31" s="495"/>
      <c r="AS31" s="495"/>
      <c r="AT31" s="495"/>
      <c r="AU31" s="495"/>
      <c r="AV31" s="495"/>
      <c r="AW31" s="495"/>
      <c r="AX31" s="380">
        <f>LOOKUP(AO31,BK30:BK35,IF(W45&lt;2200,BM30:BM35,BP30:BP35))</f>
        <v>1720</v>
      </c>
      <c r="AY31" s="380"/>
      <c r="AZ31" s="380"/>
      <c r="BA31" s="497" t="s">
        <v>69</v>
      </c>
      <c r="BB31" s="497"/>
      <c r="BC31" s="481" t="s">
        <v>130</v>
      </c>
      <c r="BD31" s="481"/>
      <c r="BE31" s="481"/>
      <c r="BF31" s="481"/>
      <c r="BG31" s="481"/>
      <c r="BH31" s="482"/>
      <c r="BI31" s="41"/>
      <c r="BK31" s="311">
        <v>15</v>
      </c>
      <c r="BL31" s="311"/>
      <c r="BM31" s="311">
        <v>1474</v>
      </c>
      <c r="BN31" s="311"/>
      <c r="BO31" s="311"/>
      <c r="BP31" s="311">
        <v>1754</v>
      </c>
      <c r="BQ31" s="311"/>
      <c r="BR31" s="311"/>
    </row>
    <row r="32" spans="1:70" ht="7.4" customHeight="1" x14ac:dyDescent="0.5">
      <c r="A32" s="42"/>
      <c r="B32" s="61"/>
      <c r="C32" s="400"/>
      <c r="D32" s="400"/>
      <c r="E32" s="400"/>
      <c r="F32" s="400"/>
      <c r="G32" s="400"/>
      <c r="H32" s="400"/>
      <c r="I32" s="400"/>
      <c r="J32" s="400"/>
      <c r="K32" s="400"/>
      <c r="L32" s="400"/>
      <c r="M32" s="400"/>
      <c r="N32" s="400"/>
      <c r="O32" s="400"/>
      <c r="P32" s="400"/>
      <c r="Q32" s="400"/>
      <c r="R32" s="448"/>
      <c r="S32" s="25"/>
      <c r="T32" s="405"/>
      <c r="U32" s="405"/>
      <c r="V32" s="405"/>
      <c r="W32" s="405"/>
      <c r="X32" s="405"/>
      <c r="Y32" s="405"/>
      <c r="Z32" s="405"/>
      <c r="AA32" s="405"/>
      <c r="AB32" s="405"/>
      <c r="AC32" s="411"/>
      <c r="AD32" s="25"/>
      <c r="AE32" s="139"/>
      <c r="AF32" s="400"/>
      <c r="AG32" s="400"/>
      <c r="AH32" s="400"/>
      <c r="AI32" s="400"/>
      <c r="AJ32" s="400"/>
      <c r="AK32" s="400"/>
      <c r="AL32" s="400"/>
      <c r="AM32" s="448"/>
      <c r="AN32" s="25"/>
      <c r="AO32" s="480"/>
      <c r="AP32" s="480"/>
      <c r="AQ32" s="314"/>
      <c r="AR32" s="314"/>
      <c r="AS32" s="314"/>
      <c r="AT32" s="314"/>
      <c r="AU32" s="314"/>
      <c r="AV32" s="314"/>
      <c r="AW32" s="314"/>
      <c r="AX32" s="382"/>
      <c r="AY32" s="382"/>
      <c r="AZ32" s="382"/>
      <c r="BA32" s="498"/>
      <c r="BB32" s="498"/>
      <c r="BC32" s="483"/>
      <c r="BD32" s="483"/>
      <c r="BE32" s="483"/>
      <c r="BF32" s="483"/>
      <c r="BG32" s="483"/>
      <c r="BH32" s="484"/>
      <c r="BI32" s="41"/>
      <c r="BK32" s="311">
        <v>20</v>
      </c>
      <c r="BL32" s="311"/>
      <c r="BM32" s="311">
        <v>1515</v>
      </c>
      <c r="BN32" s="311"/>
      <c r="BO32" s="311"/>
      <c r="BP32" s="311">
        <v>1803</v>
      </c>
      <c r="BQ32" s="311"/>
      <c r="BR32" s="311"/>
    </row>
    <row r="33" spans="1:70" ht="7.4" customHeight="1" x14ac:dyDescent="0.5">
      <c r="A33" s="42"/>
      <c r="B33" s="64"/>
      <c r="C33" s="487"/>
      <c r="D33" s="487"/>
      <c r="E33" s="487"/>
      <c r="F33" s="487"/>
      <c r="G33" s="487"/>
      <c r="H33" s="487"/>
      <c r="I33" s="487"/>
      <c r="J33" s="487"/>
      <c r="K33" s="487"/>
      <c r="L33" s="487"/>
      <c r="M33" s="487"/>
      <c r="N33" s="487"/>
      <c r="O33" s="487"/>
      <c r="P33" s="487"/>
      <c r="Q33" s="487"/>
      <c r="R33" s="488"/>
      <c r="S33" s="51"/>
      <c r="T33" s="491"/>
      <c r="U33" s="491"/>
      <c r="V33" s="491"/>
      <c r="W33" s="491"/>
      <c r="X33" s="491"/>
      <c r="Y33" s="491"/>
      <c r="Z33" s="491"/>
      <c r="AA33" s="491"/>
      <c r="AB33" s="491"/>
      <c r="AC33" s="492"/>
      <c r="AD33" s="25"/>
      <c r="AE33" s="139"/>
      <c r="AF33" s="400"/>
      <c r="AG33" s="400"/>
      <c r="AH33" s="400"/>
      <c r="AI33" s="400"/>
      <c r="AJ33" s="400"/>
      <c r="AK33" s="400"/>
      <c r="AL33" s="400"/>
      <c r="AM33" s="448"/>
      <c r="AN33" s="135"/>
      <c r="AO33" s="494"/>
      <c r="AP33" s="494"/>
      <c r="AQ33" s="496"/>
      <c r="AR33" s="496"/>
      <c r="AS33" s="496"/>
      <c r="AT33" s="496"/>
      <c r="AU33" s="496"/>
      <c r="AV33" s="496"/>
      <c r="AW33" s="496"/>
      <c r="AX33" s="388"/>
      <c r="AY33" s="388"/>
      <c r="AZ33" s="388"/>
      <c r="BA33" s="499"/>
      <c r="BB33" s="499"/>
      <c r="BC33" s="485"/>
      <c r="BD33" s="485"/>
      <c r="BE33" s="485"/>
      <c r="BF33" s="485"/>
      <c r="BG33" s="485"/>
      <c r="BH33" s="486"/>
      <c r="BI33" s="41"/>
      <c r="BK33" s="311">
        <v>25</v>
      </c>
      <c r="BL33" s="311"/>
      <c r="BM33" s="311">
        <v>1571</v>
      </c>
      <c r="BN33" s="311"/>
      <c r="BO33" s="311"/>
      <c r="BP33" s="311">
        <v>1869</v>
      </c>
      <c r="BQ33" s="311"/>
      <c r="BR33" s="311"/>
    </row>
    <row r="34" spans="1:70" ht="7.4" customHeight="1" x14ac:dyDescent="0.5">
      <c r="A34" s="42"/>
      <c r="C34" s="79"/>
      <c r="D34" s="79"/>
      <c r="E34" s="79"/>
      <c r="F34" s="79"/>
      <c r="G34" s="79"/>
      <c r="H34" s="79"/>
      <c r="I34" s="79"/>
      <c r="J34" s="79"/>
      <c r="K34" s="79"/>
      <c r="L34" s="79"/>
      <c r="M34" s="79"/>
      <c r="N34" s="79"/>
      <c r="O34" s="79"/>
      <c r="P34" s="79"/>
      <c r="Q34" s="79"/>
      <c r="R34" s="79"/>
      <c r="T34" s="141"/>
      <c r="U34" s="141"/>
      <c r="V34" s="141"/>
      <c r="W34" s="141"/>
      <c r="X34" s="141"/>
      <c r="Y34" s="141"/>
      <c r="Z34" s="141"/>
      <c r="AA34" s="141"/>
      <c r="AB34" s="141"/>
      <c r="AC34" s="141"/>
      <c r="AD34" s="108"/>
      <c r="AE34" s="142"/>
      <c r="AF34" s="400" t="s">
        <v>132</v>
      </c>
      <c r="AG34" s="400"/>
      <c r="AH34" s="400"/>
      <c r="AI34" s="400"/>
      <c r="AJ34" s="400"/>
      <c r="AK34" s="400"/>
      <c r="AL34" s="400"/>
      <c r="AM34" s="448"/>
      <c r="AN34" s="79"/>
      <c r="AO34" s="79"/>
      <c r="AP34" s="79"/>
      <c r="AQ34" s="79"/>
      <c r="AR34" s="79"/>
      <c r="AS34" s="79"/>
      <c r="AT34" s="79"/>
      <c r="AU34" s="79"/>
      <c r="AV34" s="79"/>
      <c r="AW34" s="79"/>
      <c r="AX34" s="79"/>
      <c r="AY34" s="79"/>
      <c r="AZ34" s="79"/>
      <c r="BA34" s="79"/>
      <c r="BB34" s="79"/>
      <c r="BC34" s="481" t="s">
        <v>131</v>
      </c>
      <c r="BD34" s="481"/>
      <c r="BE34" s="481"/>
      <c r="BF34" s="481"/>
      <c r="BG34" s="481"/>
      <c r="BH34" s="482"/>
      <c r="BI34" s="124"/>
      <c r="BK34" s="311">
        <v>30</v>
      </c>
      <c r="BL34" s="311"/>
      <c r="BM34" s="311">
        <v>1644</v>
      </c>
      <c r="BN34" s="311"/>
      <c r="BO34" s="311"/>
      <c r="BP34" s="311">
        <v>1955</v>
      </c>
      <c r="BQ34" s="311"/>
      <c r="BR34" s="311"/>
    </row>
    <row r="35" spans="1:70" ht="7.4" customHeight="1" x14ac:dyDescent="0.5">
      <c r="A35" s="42"/>
      <c r="C35" s="79"/>
      <c r="D35" s="79"/>
      <c r="E35" s="79"/>
      <c r="F35" s="79"/>
      <c r="G35" s="79"/>
      <c r="H35" s="79"/>
      <c r="I35" s="79"/>
      <c r="J35" s="79"/>
      <c r="K35" s="79"/>
      <c r="L35" s="79"/>
      <c r="M35" s="79"/>
      <c r="N35" s="79"/>
      <c r="O35" s="79"/>
      <c r="P35" s="79"/>
      <c r="Q35" s="79"/>
      <c r="R35" s="79"/>
      <c r="S35" s="293"/>
      <c r="T35" s="141"/>
      <c r="U35" s="141"/>
      <c r="V35" s="141"/>
      <c r="W35" s="141"/>
      <c r="X35" s="141"/>
      <c r="Y35" s="141"/>
      <c r="Z35" s="141"/>
      <c r="AA35" s="141"/>
      <c r="AB35" s="141"/>
      <c r="AC35" s="141"/>
      <c r="AD35" s="25"/>
      <c r="AE35" s="139"/>
      <c r="AF35" s="400"/>
      <c r="AG35" s="400"/>
      <c r="AH35" s="400"/>
      <c r="AI35" s="400"/>
      <c r="AJ35" s="400"/>
      <c r="AK35" s="400"/>
      <c r="AL35" s="400"/>
      <c r="AM35" s="448"/>
      <c r="AN35" s="25"/>
      <c r="AO35" s="347" t="s">
        <v>14</v>
      </c>
      <c r="AP35" s="347"/>
      <c r="AQ35" s="347"/>
      <c r="AR35" s="347"/>
      <c r="AS35" s="347"/>
      <c r="AT35" s="347"/>
      <c r="AU35" s="347"/>
      <c r="AV35" s="347"/>
      <c r="AW35" s="333" t="s">
        <v>133</v>
      </c>
      <c r="AX35" s="318">
        <v>1500</v>
      </c>
      <c r="AY35" s="318"/>
      <c r="AZ35" s="318"/>
      <c r="BA35" s="460" t="s">
        <v>69</v>
      </c>
      <c r="BB35" s="460"/>
      <c r="BC35" s="483"/>
      <c r="BD35" s="483"/>
      <c r="BE35" s="483"/>
      <c r="BF35" s="483"/>
      <c r="BG35" s="483"/>
      <c r="BH35" s="484"/>
      <c r="BI35" s="41"/>
      <c r="BK35" s="311"/>
      <c r="BL35" s="311"/>
    </row>
    <row r="36" spans="1:70" ht="7.4" customHeight="1" x14ac:dyDescent="0.5">
      <c r="A36" s="42"/>
      <c r="C36" s="79"/>
      <c r="D36" s="79"/>
      <c r="E36" s="79"/>
      <c r="F36" s="79"/>
      <c r="G36" s="79"/>
      <c r="H36" s="79"/>
      <c r="I36" s="79"/>
      <c r="J36" s="79"/>
      <c r="K36" s="79"/>
      <c r="L36" s="79"/>
      <c r="M36" s="79"/>
      <c r="N36" s="79"/>
      <c r="O36" s="79"/>
      <c r="P36" s="79"/>
      <c r="Q36" s="79"/>
      <c r="R36" s="79"/>
      <c r="S36" s="293"/>
      <c r="T36" s="141"/>
      <c r="U36" s="141"/>
      <c r="V36" s="141"/>
      <c r="W36" s="141"/>
      <c r="X36" s="141"/>
      <c r="Y36" s="141"/>
      <c r="Z36" s="141"/>
      <c r="AA36" s="141"/>
      <c r="AB36" s="141"/>
      <c r="AC36" s="141"/>
      <c r="AD36" s="25"/>
      <c r="AE36" s="139"/>
      <c r="AF36" s="400"/>
      <c r="AG36" s="400"/>
      <c r="AH36" s="400"/>
      <c r="AI36" s="400"/>
      <c r="AJ36" s="400"/>
      <c r="AK36" s="400"/>
      <c r="AL36" s="400"/>
      <c r="AM36" s="448"/>
      <c r="AN36" s="25"/>
      <c r="AO36" s="347"/>
      <c r="AP36" s="347"/>
      <c r="AQ36" s="347"/>
      <c r="AR36" s="347"/>
      <c r="AS36" s="347"/>
      <c r="AT36" s="347"/>
      <c r="AU36" s="347"/>
      <c r="AV36" s="347"/>
      <c r="AW36" s="333"/>
      <c r="AX36" s="318"/>
      <c r="AY36" s="318"/>
      <c r="AZ36" s="318"/>
      <c r="BA36" s="460"/>
      <c r="BB36" s="460"/>
      <c r="BC36" s="483"/>
      <c r="BD36" s="483"/>
      <c r="BE36" s="483"/>
      <c r="BF36" s="483"/>
      <c r="BG36" s="483"/>
      <c r="BH36" s="484"/>
      <c r="BI36" s="41"/>
      <c r="BK36" s="75"/>
      <c r="BL36" s="75"/>
    </row>
    <row r="37" spans="1:70" ht="7.4" customHeight="1" x14ac:dyDescent="0.5">
      <c r="A37" s="42"/>
      <c r="C37" s="79"/>
      <c r="D37" s="79"/>
      <c r="E37" s="79"/>
      <c r="F37" s="79"/>
      <c r="G37" s="79"/>
      <c r="H37" s="79"/>
      <c r="I37" s="79"/>
      <c r="J37" s="79"/>
      <c r="K37" s="79"/>
      <c r="L37" s="79"/>
      <c r="M37" s="79"/>
      <c r="N37" s="79"/>
      <c r="O37" s="79"/>
      <c r="P37" s="79"/>
      <c r="Q37" s="79"/>
      <c r="R37" s="79"/>
      <c r="T37" s="141"/>
      <c r="U37" s="141"/>
      <c r="V37" s="141"/>
      <c r="W37" s="141"/>
      <c r="X37" s="141"/>
      <c r="Y37" s="141"/>
      <c r="Z37" s="141"/>
      <c r="AA37" s="141"/>
      <c r="AB37" s="141"/>
      <c r="AC37" s="141"/>
      <c r="AD37" s="25"/>
      <c r="AE37" s="145"/>
      <c r="AF37" s="487"/>
      <c r="AG37" s="487"/>
      <c r="AH37" s="487"/>
      <c r="AI37" s="487"/>
      <c r="AJ37" s="487"/>
      <c r="AK37" s="487"/>
      <c r="AL37" s="487"/>
      <c r="AM37" s="488"/>
      <c r="AN37" s="135"/>
      <c r="AO37" s="135"/>
      <c r="AP37" s="135"/>
      <c r="AQ37" s="51"/>
      <c r="AR37" s="51"/>
      <c r="AS37" s="135"/>
      <c r="AT37" s="135"/>
      <c r="AU37" s="135"/>
      <c r="AV37" s="135"/>
      <c r="AW37" s="135"/>
      <c r="AX37" s="135"/>
      <c r="AY37" s="135"/>
      <c r="AZ37" s="135"/>
      <c r="BA37" s="135"/>
      <c r="BB37" s="135"/>
      <c r="BC37" s="485"/>
      <c r="BD37" s="485"/>
      <c r="BE37" s="485"/>
      <c r="BF37" s="485"/>
      <c r="BG37" s="485"/>
      <c r="BH37" s="486"/>
      <c r="BI37" s="41"/>
    </row>
    <row r="38" spans="1:70" ht="7.4" customHeight="1" x14ac:dyDescent="0.5">
      <c r="A38" s="42"/>
      <c r="X38" s="25"/>
      <c r="Y38" s="25"/>
      <c r="Z38" s="25"/>
      <c r="AA38" s="25"/>
      <c r="AB38" s="25"/>
      <c r="AC38" s="25"/>
      <c r="AD38" s="25"/>
      <c r="AE38" s="25"/>
      <c r="AF38" s="25"/>
      <c r="AG38" s="25"/>
      <c r="AH38" s="25"/>
      <c r="AI38" s="25"/>
      <c r="AJ38" s="25"/>
      <c r="AL38" s="79"/>
      <c r="AM38" s="79"/>
      <c r="AN38" s="79"/>
      <c r="AO38" s="79"/>
      <c r="AP38" s="79"/>
      <c r="AQ38" s="79"/>
      <c r="AR38" s="79"/>
      <c r="AS38" s="79"/>
      <c r="AV38" s="79"/>
      <c r="AW38" s="79"/>
      <c r="AX38" s="79"/>
      <c r="AY38" s="79"/>
      <c r="AZ38" s="79"/>
      <c r="BA38" s="79"/>
      <c r="BB38" s="79"/>
      <c r="BC38" s="79"/>
      <c r="BD38" s="79"/>
      <c r="BE38" s="79"/>
      <c r="BF38" s="79"/>
      <c r="BG38" s="79"/>
      <c r="BH38" s="79"/>
      <c r="BI38" s="41"/>
    </row>
    <row r="39" spans="1:70" ht="7.4" customHeight="1" x14ac:dyDescent="0.5">
      <c r="A39" s="42"/>
      <c r="B39" s="299" t="s">
        <v>73</v>
      </c>
      <c r="C39" s="363"/>
      <c r="D39" s="363"/>
      <c r="E39" s="363"/>
      <c r="F39" s="363"/>
      <c r="G39" s="363"/>
      <c r="H39" s="363"/>
      <c r="I39" s="363"/>
      <c r="J39" s="363"/>
      <c r="K39" s="363"/>
      <c r="L39" s="363"/>
      <c r="M39" s="363"/>
      <c r="N39" s="363"/>
      <c r="O39" s="363"/>
      <c r="P39" s="363"/>
      <c r="Q39" s="363"/>
      <c r="R39" s="363"/>
      <c r="S39" s="363"/>
      <c r="T39" s="363"/>
      <c r="U39" s="363"/>
      <c r="V39" s="363"/>
      <c r="W39" s="363"/>
      <c r="X39" s="363"/>
      <c r="Y39" s="363"/>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363"/>
      <c r="BC39" s="363"/>
      <c r="BD39" s="363"/>
      <c r="BE39" s="363"/>
      <c r="BF39" s="363"/>
      <c r="BG39" s="363"/>
      <c r="BH39" s="364"/>
      <c r="BI39" s="41"/>
    </row>
    <row r="40" spans="1:70" ht="7.4" customHeight="1" x14ac:dyDescent="0.5">
      <c r="A40" s="42"/>
      <c r="B40" s="365"/>
      <c r="C40" s="366"/>
      <c r="D40" s="366"/>
      <c r="E40" s="366"/>
      <c r="F40" s="366"/>
      <c r="G40" s="366"/>
      <c r="H40" s="366"/>
      <c r="I40" s="366"/>
      <c r="J40" s="366"/>
      <c r="K40" s="366"/>
      <c r="L40" s="366"/>
      <c r="M40" s="366"/>
      <c r="N40" s="366"/>
      <c r="O40" s="366"/>
      <c r="P40" s="366"/>
      <c r="Q40" s="366"/>
      <c r="R40" s="366"/>
      <c r="S40" s="366"/>
      <c r="T40" s="366"/>
      <c r="U40" s="366"/>
      <c r="V40" s="366"/>
      <c r="W40" s="366"/>
      <c r="X40" s="366"/>
      <c r="Y40" s="366"/>
      <c r="Z40" s="366"/>
      <c r="AA40" s="366"/>
      <c r="AB40" s="366"/>
      <c r="AC40" s="366"/>
      <c r="AD40" s="366"/>
      <c r="AE40" s="366"/>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7"/>
      <c r="BI40" s="41"/>
    </row>
    <row r="41" spans="1:70" ht="7.4" customHeight="1" x14ac:dyDescent="0.5">
      <c r="A41" s="42"/>
      <c r="B41" s="368"/>
      <c r="C41" s="369"/>
      <c r="D41" s="369"/>
      <c r="E41" s="369"/>
      <c r="F41" s="369"/>
      <c r="G41" s="369"/>
      <c r="H41" s="369"/>
      <c r="I41" s="369"/>
      <c r="J41" s="369"/>
      <c r="K41" s="369"/>
      <c r="L41" s="369"/>
      <c r="M41" s="369"/>
      <c r="N41" s="369"/>
      <c r="O41" s="369"/>
      <c r="P41" s="369"/>
      <c r="Q41" s="369"/>
      <c r="R41" s="369"/>
      <c r="S41" s="369"/>
      <c r="T41" s="369"/>
      <c r="U41" s="369"/>
      <c r="V41" s="369"/>
      <c r="W41" s="369"/>
      <c r="X41" s="369"/>
      <c r="Y41" s="369"/>
      <c r="Z41" s="369"/>
      <c r="AA41" s="369"/>
      <c r="AB41" s="369"/>
      <c r="AC41" s="369"/>
      <c r="AD41" s="369"/>
      <c r="AE41" s="369"/>
      <c r="AF41" s="369"/>
      <c r="AG41" s="369"/>
      <c r="AH41" s="369"/>
      <c r="AI41" s="369"/>
      <c r="AJ41" s="369"/>
      <c r="AK41" s="369"/>
      <c r="AL41" s="369"/>
      <c r="AM41" s="369"/>
      <c r="AN41" s="369"/>
      <c r="AO41" s="369"/>
      <c r="AP41" s="369"/>
      <c r="AQ41" s="369"/>
      <c r="AR41" s="369"/>
      <c r="AS41" s="369"/>
      <c r="AT41" s="369"/>
      <c r="AU41" s="369"/>
      <c r="AV41" s="369"/>
      <c r="AW41" s="369"/>
      <c r="AX41" s="369"/>
      <c r="AY41" s="369"/>
      <c r="AZ41" s="369"/>
      <c r="BA41" s="369"/>
      <c r="BB41" s="369"/>
      <c r="BC41" s="369"/>
      <c r="BD41" s="369"/>
      <c r="BE41" s="369"/>
      <c r="BF41" s="369"/>
      <c r="BG41" s="369"/>
      <c r="BH41" s="370"/>
      <c r="BI41" s="41"/>
    </row>
    <row r="42" spans="1:70" ht="7.4" customHeight="1" x14ac:dyDescent="0.5">
      <c r="A42" s="42"/>
      <c r="B42" s="58"/>
      <c r="C42" s="59"/>
      <c r="D42" s="59"/>
      <c r="E42" s="59"/>
      <c r="F42" s="59"/>
      <c r="G42" s="59"/>
      <c r="H42" s="60"/>
      <c r="I42" s="38"/>
      <c r="J42" s="39"/>
      <c r="K42" s="39"/>
      <c r="L42" s="39"/>
      <c r="M42" s="39"/>
      <c r="N42" s="39"/>
      <c r="O42" s="39"/>
      <c r="P42" s="58"/>
      <c r="Q42" s="59"/>
      <c r="R42" s="59"/>
      <c r="S42" s="148"/>
      <c r="T42" s="148"/>
      <c r="U42" s="149"/>
      <c r="V42" s="39"/>
      <c r="W42" s="89"/>
      <c r="X42" s="89"/>
      <c r="Y42" s="89"/>
      <c r="Z42" s="89"/>
      <c r="AA42" s="39"/>
      <c r="AB42" s="39"/>
      <c r="AC42" s="89"/>
      <c r="AD42" s="89"/>
      <c r="AE42" s="89"/>
      <c r="AF42" s="89"/>
      <c r="AG42" s="89"/>
      <c r="AH42" s="39"/>
      <c r="AI42" s="77"/>
      <c r="AJ42" s="77"/>
      <c r="AK42" s="77"/>
      <c r="AL42" s="77"/>
      <c r="AM42" s="77"/>
      <c r="AN42" s="77"/>
      <c r="AO42" s="77"/>
      <c r="AP42" s="77"/>
      <c r="AQ42" s="39"/>
      <c r="AR42" s="39"/>
      <c r="AS42" s="77"/>
      <c r="AT42" s="77"/>
      <c r="AU42" s="58"/>
      <c r="AV42" s="59"/>
      <c r="AW42" s="59"/>
      <c r="AX42" s="148"/>
      <c r="AY42" s="148"/>
      <c r="AZ42" s="148"/>
      <c r="BA42" s="150"/>
      <c r="BB42" s="39"/>
      <c r="BC42" s="39"/>
      <c r="BD42" s="39"/>
      <c r="BE42" s="77"/>
      <c r="BF42" s="77"/>
      <c r="BG42" s="77"/>
      <c r="BH42" s="138"/>
      <c r="BI42" s="41"/>
    </row>
    <row r="43" spans="1:70" ht="7.4" customHeight="1" x14ac:dyDescent="0.5">
      <c r="A43" s="42"/>
      <c r="B43" s="61"/>
      <c r="C43" s="344" t="s">
        <v>74</v>
      </c>
      <c r="D43" s="344"/>
      <c r="E43" s="344"/>
      <c r="F43" s="344"/>
      <c r="G43" s="344"/>
      <c r="H43" s="63"/>
      <c r="I43" s="42"/>
      <c r="J43" s="311">
        <f>M54*M58+P54*P58+S54*S58+V54*V58+Y54*Y58+AB54*AB58+AE54*AE58+AH54*AH58+AK54*AK58+AN54*AN58+AQ54*AQ58+AT54*AT58+AW54*AW58+AZ54*AZ58+BC54*BC58+BF54*BF58</f>
        <v>250</v>
      </c>
      <c r="K43" s="311"/>
      <c r="L43" s="311"/>
      <c r="M43" s="311"/>
      <c r="N43" s="311"/>
      <c r="P43" s="61"/>
      <c r="Q43" s="344" t="s">
        <v>75</v>
      </c>
      <c r="R43" s="344"/>
      <c r="S43" s="344"/>
      <c r="T43" s="344"/>
      <c r="U43" s="151"/>
      <c r="W43" s="453" t="s">
        <v>134</v>
      </c>
      <c r="X43" s="453"/>
      <c r="Y43" s="453"/>
      <c r="Z43" s="453"/>
      <c r="AA43" s="453"/>
      <c r="AB43" s="453"/>
      <c r="AC43" s="453"/>
      <c r="AD43" s="453"/>
      <c r="AE43" s="453"/>
      <c r="AF43" s="453"/>
      <c r="AG43" s="453"/>
      <c r="AH43" s="453"/>
      <c r="AI43" s="453"/>
      <c r="AJ43" s="453"/>
      <c r="AK43" s="453"/>
      <c r="AL43" s="453"/>
      <c r="AM43" s="453"/>
      <c r="AN43" s="453"/>
      <c r="AO43" s="453"/>
      <c r="AP43" s="453"/>
      <c r="AQ43" s="453"/>
      <c r="AR43" s="453"/>
      <c r="AS43" s="453"/>
      <c r="AT43" s="79"/>
      <c r="AU43" s="61"/>
      <c r="AV43" s="400" t="s">
        <v>77</v>
      </c>
      <c r="AW43" s="400"/>
      <c r="AX43" s="400"/>
      <c r="AY43" s="400"/>
      <c r="AZ43" s="400"/>
      <c r="BA43" s="152"/>
      <c r="BC43" s="471">
        <v>600</v>
      </c>
      <c r="BD43" s="471"/>
      <c r="BE43" s="471"/>
      <c r="BF43" s="471"/>
      <c r="BG43" s="471"/>
      <c r="BH43" s="124"/>
      <c r="BI43" s="41"/>
    </row>
    <row r="44" spans="1:70" ht="7.4" customHeight="1" x14ac:dyDescent="0.5">
      <c r="A44" s="42"/>
      <c r="B44" s="61"/>
      <c r="C44" s="344"/>
      <c r="D44" s="344"/>
      <c r="E44" s="344"/>
      <c r="F44" s="344"/>
      <c r="G44" s="344"/>
      <c r="H44" s="63"/>
      <c r="I44" s="42"/>
      <c r="J44" s="311"/>
      <c r="K44" s="311"/>
      <c r="L44" s="311"/>
      <c r="M44" s="311"/>
      <c r="N44" s="311"/>
      <c r="P44" s="61"/>
      <c r="Q44" s="344"/>
      <c r="R44" s="344"/>
      <c r="S44" s="344"/>
      <c r="T44" s="344"/>
      <c r="U44" s="151"/>
      <c r="W44" s="453"/>
      <c r="X44" s="453"/>
      <c r="Y44" s="453"/>
      <c r="Z44" s="453"/>
      <c r="AA44" s="453"/>
      <c r="AB44" s="453"/>
      <c r="AC44" s="453"/>
      <c r="AD44" s="453"/>
      <c r="AE44" s="453"/>
      <c r="AF44" s="453"/>
      <c r="AG44" s="453"/>
      <c r="AH44" s="453"/>
      <c r="AI44" s="453"/>
      <c r="AJ44" s="453"/>
      <c r="AK44" s="453"/>
      <c r="AL44" s="453"/>
      <c r="AM44" s="453"/>
      <c r="AN44" s="453"/>
      <c r="AO44" s="453"/>
      <c r="AP44" s="453"/>
      <c r="AQ44" s="453"/>
      <c r="AR44" s="453"/>
      <c r="AS44" s="453"/>
      <c r="AT44" s="79"/>
      <c r="AU44" s="61"/>
      <c r="AV44" s="400"/>
      <c r="AW44" s="400"/>
      <c r="AX44" s="400"/>
      <c r="AY44" s="400"/>
      <c r="AZ44" s="400"/>
      <c r="BA44" s="152"/>
      <c r="BC44" s="471"/>
      <c r="BD44" s="471"/>
      <c r="BE44" s="471"/>
      <c r="BF44" s="471"/>
      <c r="BG44" s="471"/>
      <c r="BH44" s="124"/>
      <c r="BI44" s="41"/>
    </row>
    <row r="45" spans="1:70" ht="7.4" customHeight="1" x14ac:dyDescent="0.5">
      <c r="A45" s="42"/>
      <c r="B45" s="61"/>
      <c r="C45" s="344"/>
      <c r="D45" s="344"/>
      <c r="E45" s="344"/>
      <c r="F45" s="344"/>
      <c r="G45" s="344"/>
      <c r="H45" s="63"/>
      <c r="I45" s="42"/>
      <c r="J45" s="311"/>
      <c r="K45" s="311"/>
      <c r="L45" s="311"/>
      <c r="M45" s="311"/>
      <c r="N45" s="311"/>
      <c r="P45" s="61"/>
      <c r="Q45" s="344"/>
      <c r="R45" s="344"/>
      <c r="S45" s="344"/>
      <c r="T45" s="344"/>
      <c r="U45" s="151"/>
      <c r="W45" s="472">
        <v>2278</v>
      </c>
      <c r="X45" s="472"/>
      <c r="Y45" s="472"/>
      <c r="Z45" s="472"/>
      <c r="AA45" s="153" t="s">
        <v>78</v>
      </c>
      <c r="AB45" s="153"/>
      <c r="AC45" s="154"/>
      <c r="AD45" s="154"/>
      <c r="AE45" s="472">
        <v>1134</v>
      </c>
      <c r="AF45" s="472"/>
      <c r="AG45" s="472"/>
      <c r="AH45" s="472"/>
      <c r="AI45" s="155" t="s">
        <v>79</v>
      </c>
      <c r="AJ45" s="155"/>
      <c r="AK45" s="155"/>
      <c r="AL45" s="155"/>
      <c r="AM45" s="472">
        <v>30</v>
      </c>
      <c r="AN45" s="472"/>
      <c r="AO45" s="472"/>
      <c r="AP45" s="472"/>
      <c r="AQ45" s="153" t="s">
        <v>80</v>
      </c>
      <c r="AR45" s="153"/>
      <c r="AS45" s="155"/>
      <c r="AT45" s="79"/>
      <c r="AU45" s="61"/>
      <c r="AV45" s="400"/>
      <c r="AW45" s="400"/>
      <c r="AX45" s="400"/>
      <c r="AY45" s="400"/>
      <c r="AZ45" s="400"/>
      <c r="BA45" s="152"/>
      <c r="BC45" s="471"/>
      <c r="BD45" s="471"/>
      <c r="BE45" s="471"/>
      <c r="BF45" s="471"/>
      <c r="BG45" s="471"/>
      <c r="BH45" s="124"/>
      <c r="BI45" s="41"/>
    </row>
    <row r="46" spans="1:70" ht="7.4" customHeight="1" x14ac:dyDescent="0.5">
      <c r="A46" s="42"/>
      <c r="B46" s="64"/>
      <c r="C46" s="65"/>
      <c r="D46" s="65"/>
      <c r="E46" s="65"/>
      <c r="F46" s="65"/>
      <c r="G46" s="65"/>
      <c r="H46" s="66"/>
      <c r="I46" s="50"/>
      <c r="J46" s="51"/>
      <c r="K46" s="51"/>
      <c r="L46" s="51"/>
      <c r="M46" s="51"/>
      <c r="N46" s="51"/>
      <c r="O46" s="51"/>
      <c r="P46" s="64"/>
      <c r="Q46" s="65"/>
      <c r="R46" s="65"/>
      <c r="S46" s="96"/>
      <c r="T46" s="96"/>
      <c r="U46" s="156"/>
      <c r="V46" s="51"/>
      <c r="W46" s="97"/>
      <c r="X46" s="97"/>
      <c r="Y46" s="97"/>
      <c r="Z46" s="97"/>
      <c r="AA46" s="51"/>
      <c r="AB46" s="51"/>
      <c r="AC46" s="97"/>
      <c r="AD46" s="97"/>
      <c r="AE46" s="97"/>
      <c r="AF46" s="97"/>
      <c r="AG46" s="97"/>
      <c r="AH46" s="51"/>
      <c r="AI46" s="135"/>
      <c r="AJ46" s="135"/>
      <c r="AK46" s="135"/>
      <c r="AL46" s="135"/>
      <c r="AM46" s="135"/>
      <c r="AN46" s="135"/>
      <c r="AO46" s="135"/>
      <c r="AP46" s="135"/>
      <c r="AQ46" s="51"/>
      <c r="AR46" s="51"/>
      <c r="AS46" s="135"/>
      <c r="AT46" s="135"/>
      <c r="AU46" s="64"/>
      <c r="AV46" s="65"/>
      <c r="AW46" s="65"/>
      <c r="AX46" s="96"/>
      <c r="AY46" s="96"/>
      <c r="AZ46" s="96"/>
      <c r="BA46" s="157"/>
      <c r="BB46" s="51"/>
      <c r="BC46" s="51"/>
      <c r="BD46" s="51"/>
      <c r="BE46" s="135"/>
      <c r="BF46" s="135"/>
      <c r="BG46" s="135"/>
      <c r="BH46" s="158"/>
      <c r="BI46" s="41"/>
    </row>
    <row r="47" spans="1:70" ht="7.4" customHeight="1" x14ac:dyDescent="0.5">
      <c r="A47" s="42"/>
      <c r="X47" s="25"/>
      <c r="Y47" s="25"/>
      <c r="Z47" s="25"/>
      <c r="AA47" s="25"/>
      <c r="AB47" s="25"/>
      <c r="AC47" s="25"/>
      <c r="AD47" s="25"/>
      <c r="AE47" s="25"/>
      <c r="AF47" s="25"/>
      <c r="AG47" s="25"/>
      <c r="AI47" s="79"/>
      <c r="AJ47" s="79"/>
      <c r="AK47" s="79"/>
      <c r="AL47" s="79"/>
      <c r="AM47" s="79"/>
      <c r="AN47" s="79"/>
      <c r="AO47" s="79"/>
      <c r="AP47" s="79"/>
      <c r="AS47" s="79"/>
      <c r="AT47" s="79"/>
      <c r="AU47" s="79"/>
      <c r="AV47" s="79"/>
      <c r="AW47" s="79"/>
      <c r="AX47" s="79"/>
      <c r="AY47" s="79"/>
      <c r="AZ47" s="79"/>
      <c r="BA47" s="79"/>
      <c r="BB47" s="79"/>
      <c r="BC47" s="79"/>
      <c r="BD47" s="79"/>
      <c r="BE47" s="79"/>
      <c r="BF47" s="79"/>
      <c r="BG47" s="79"/>
      <c r="BH47" s="79"/>
      <c r="BI47" s="41"/>
    </row>
    <row r="48" spans="1:70" ht="7.4" customHeight="1" x14ac:dyDescent="0.5">
      <c r="A48" s="42"/>
      <c r="B48" s="243"/>
      <c r="C48" s="363" t="s">
        <v>81</v>
      </c>
      <c r="D48" s="363"/>
      <c r="E48" s="363"/>
      <c r="F48" s="363"/>
      <c r="G48" s="363"/>
      <c r="H48" s="363"/>
      <c r="I48" s="363"/>
      <c r="J48" s="363"/>
      <c r="K48" s="363"/>
      <c r="L48" s="363"/>
      <c r="M48" s="363"/>
      <c r="N48" s="363"/>
      <c r="O48" s="363"/>
      <c r="P48" s="363"/>
      <c r="Q48" s="363"/>
      <c r="R48" s="363"/>
      <c r="S48" s="363"/>
      <c r="T48" s="363"/>
      <c r="U48" s="363"/>
      <c r="V48" s="363"/>
      <c r="W48" s="363"/>
      <c r="X48" s="363"/>
      <c r="Y48" s="363"/>
      <c r="Z48" s="363"/>
      <c r="AA48" s="363"/>
      <c r="AB48" s="363"/>
      <c r="AC48" s="363"/>
      <c r="AD48" s="363"/>
      <c r="AE48" s="363"/>
      <c r="AF48" s="363"/>
      <c r="AG48" s="363"/>
      <c r="AH48" s="363"/>
      <c r="AI48" s="363"/>
      <c r="AJ48" s="363"/>
      <c r="AK48" s="363"/>
      <c r="AL48" s="363"/>
      <c r="AM48" s="363"/>
      <c r="AN48" s="363"/>
      <c r="AO48" s="363"/>
      <c r="AP48" s="363"/>
      <c r="AQ48" s="363"/>
      <c r="AR48" s="363"/>
      <c r="AS48" s="363"/>
      <c r="AT48" s="363"/>
      <c r="AU48" s="363"/>
      <c r="AV48" s="363"/>
      <c r="AW48" s="363"/>
      <c r="AX48" s="363"/>
      <c r="AY48" s="363"/>
      <c r="AZ48" s="363"/>
      <c r="BA48" s="363"/>
      <c r="BB48" s="363"/>
      <c r="BC48" s="363"/>
      <c r="BD48" s="363"/>
      <c r="BE48" s="363"/>
      <c r="BF48" s="363"/>
      <c r="BG48" s="363"/>
      <c r="BH48" s="242"/>
      <c r="BI48" s="41"/>
    </row>
    <row r="49" spans="1:69" ht="7.4" customHeight="1" x14ac:dyDescent="0.5">
      <c r="A49" s="42"/>
      <c r="B49" s="241"/>
      <c r="C49" s="366"/>
      <c r="D49" s="366"/>
      <c r="E49" s="366"/>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240"/>
      <c r="BI49" s="41"/>
    </row>
    <row r="50" spans="1:69" ht="7.4" customHeight="1" x14ac:dyDescent="0.5">
      <c r="A50" s="42"/>
      <c r="B50" s="239"/>
      <c r="C50" s="369"/>
      <c r="D50" s="369"/>
      <c r="E50" s="369"/>
      <c r="F50" s="369"/>
      <c r="G50" s="369"/>
      <c r="H50" s="369"/>
      <c r="I50" s="369"/>
      <c r="J50" s="369"/>
      <c r="K50" s="369"/>
      <c r="L50" s="369"/>
      <c r="M50" s="369"/>
      <c r="N50" s="369"/>
      <c r="O50" s="369"/>
      <c r="P50" s="369"/>
      <c r="Q50" s="369"/>
      <c r="R50" s="369"/>
      <c r="S50" s="369"/>
      <c r="T50" s="369"/>
      <c r="U50" s="369"/>
      <c r="V50" s="369"/>
      <c r="W50" s="369"/>
      <c r="X50" s="369"/>
      <c r="Y50" s="369"/>
      <c r="Z50" s="369"/>
      <c r="AA50" s="369"/>
      <c r="AB50" s="369"/>
      <c r="AC50" s="369"/>
      <c r="AD50" s="369"/>
      <c r="AE50" s="369"/>
      <c r="AF50" s="369"/>
      <c r="AG50" s="369"/>
      <c r="AH50" s="369"/>
      <c r="AI50" s="369"/>
      <c r="AJ50" s="369"/>
      <c r="AK50" s="369"/>
      <c r="AL50" s="369"/>
      <c r="AM50" s="369"/>
      <c r="AN50" s="369"/>
      <c r="AO50" s="369"/>
      <c r="AP50" s="369"/>
      <c r="AQ50" s="369"/>
      <c r="AR50" s="369"/>
      <c r="AS50" s="369"/>
      <c r="AT50" s="369"/>
      <c r="AU50" s="369"/>
      <c r="AV50" s="369"/>
      <c r="AW50" s="369"/>
      <c r="AX50" s="369"/>
      <c r="AY50" s="369"/>
      <c r="AZ50" s="369"/>
      <c r="BA50" s="369"/>
      <c r="BB50" s="369"/>
      <c r="BC50" s="369"/>
      <c r="BD50" s="369"/>
      <c r="BE50" s="369"/>
      <c r="BF50" s="369"/>
      <c r="BG50" s="369"/>
      <c r="BH50" s="238"/>
      <c r="BI50" s="41"/>
    </row>
    <row r="51" spans="1:69" ht="7.4" customHeight="1" x14ac:dyDescent="0.5">
      <c r="A51" s="42"/>
      <c r="B51" s="61"/>
      <c r="C51" s="159"/>
      <c r="D51" s="159"/>
      <c r="E51" s="159"/>
      <c r="F51" s="159"/>
      <c r="G51" s="159"/>
      <c r="H51" s="159"/>
      <c r="I51" s="159"/>
      <c r="J51" s="159"/>
      <c r="K51" s="159"/>
      <c r="L51" s="151"/>
      <c r="M51" s="473">
        <v>1</v>
      </c>
      <c r="N51" s="474"/>
      <c r="O51" s="475"/>
      <c r="P51" s="473">
        <v>2</v>
      </c>
      <c r="Q51" s="474"/>
      <c r="R51" s="475"/>
      <c r="S51" s="473">
        <v>3</v>
      </c>
      <c r="T51" s="474"/>
      <c r="U51" s="475"/>
      <c r="V51" s="473">
        <v>4</v>
      </c>
      <c r="W51" s="474"/>
      <c r="X51" s="475"/>
      <c r="Y51" s="473">
        <v>5</v>
      </c>
      <c r="Z51" s="474"/>
      <c r="AA51" s="475"/>
      <c r="AB51" s="473">
        <v>6</v>
      </c>
      <c r="AC51" s="474"/>
      <c r="AD51" s="475"/>
      <c r="AE51" s="473">
        <v>7</v>
      </c>
      <c r="AF51" s="474"/>
      <c r="AG51" s="475"/>
      <c r="AH51" s="473">
        <v>8</v>
      </c>
      <c r="AI51" s="474"/>
      <c r="AJ51" s="475"/>
      <c r="AK51" s="473">
        <v>9</v>
      </c>
      <c r="AL51" s="474"/>
      <c r="AM51" s="475"/>
      <c r="AN51" s="473">
        <v>10</v>
      </c>
      <c r="AO51" s="474"/>
      <c r="AP51" s="475"/>
      <c r="AQ51" s="473">
        <v>11</v>
      </c>
      <c r="AR51" s="474"/>
      <c r="AS51" s="475"/>
      <c r="AT51" s="473">
        <v>12</v>
      </c>
      <c r="AU51" s="474"/>
      <c r="AV51" s="475"/>
      <c r="AW51" s="473">
        <v>13</v>
      </c>
      <c r="AX51" s="474"/>
      <c r="AY51" s="475"/>
      <c r="AZ51" s="473">
        <v>14</v>
      </c>
      <c r="BA51" s="474"/>
      <c r="BB51" s="475"/>
      <c r="BC51" s="473">
        <v>15</v>
      </c>
      <c r="BD51" s="474"/>
      <c r="BE51" s="475"/>
      <c r="BF51" s="473">
        <v>16</v>
      </c>
      <c r="BG51" s="474"/>
      <c r="BH51" s="475"/>
      <c r="BI51" s="41"/>
      <c r="BK51" s="108"/>
      <c r="BL51" s="108"/>
      <c r="BM51" s="108"/>
    </row>
    <row r="52" spans="1:69" ht="7.4" customHeight="1" x14ac:dyDescent="0.5">
      <c r="A52" s="42"/>
      <c r="B52" s="61"/>
      <c r="C52" s="159"/>
      <c r="D52" s="159"/>
      <c r="E52" s="159"/>
      <c r="F52" s="159"/>
      <c r="G52" s="159"/>
      <c r="H52" s="159"/>
      <c r="I52" s="159"/>
      <c r="J52" s="159"/>
      <c r="K52" s="159"/>
      <c r="L52" s="151"/>
      <c r="M52" s="473"/>
      <c r="N52" s="474"/>
      <c r="O52" s="475"/>
      <c r="P52" s="473"/>
      <c r="Q52" s="474"/>
      <c r="R52" s="475"/>
      <c r="S52" s="473"/>
      <c r="T52" s="474"/>
      <c r="U52" s="475"/>
      <c r="V52" s="473"/>
      <c r="W52" s="474"/>
      <c r="X52" s="475"/>
      <c r="Y52" s="473"/>
      <c r="Z52" s="474"/>
      <c r="AA52" s="475"/>
      <c r="AB52" s="473"/>
      <c r="AC52" s="474"/>
      <c r="AD52" s="475"/>
      <c r="AE52" s="473"/>
      <c r="AF52" s="474"/>
      <c r="AG52" s="475"/>
      <c r="AH52" s="473"/>
      <c r="AI52" s="474"/>
      <c r="AJ52" s="475"/>
      <c r="AK52" s="473"/>
      <c r="AL52" s="474"/>
      <c r="AM52" s="475"/>
      <c r="AN52" s="473"/>
      <c r="AO52" s="474"/>
      <c r="AP52" s="475"/>
      <c r="AQ52" s="473"/>
      <c r="AR52" s="474"/>
      <c r="AS52" s="475"/>
      <c r="AT52" s="473"/>
      <c r="AU52" s="474"/>
      <c r="AV52" s="475"/>
      <c r="AW52" s="473"/>
      <c r="AX52" s="474"/>
      <c r="AY52" s="475"/>
      <c r="AZ52" s="473"/>
      <c r="BA52" s="474"/>
      <c r="BB52" s="475"/>
      <c r="BC52" s="473"/>
      <c r="BD52" s="474"/>
      <c r="BE52" s="475"/>
      <c r="BF52" s="473"/>
      <c r="BG52" s="474"/>
      <c r="BH52" s="475"/>
      <c r="BI52" s="41"/>
      <c r="BK52" s="108"/>
      <c r="BL52" s="108"/>
      <c r="BM52" s="108"/>
    </row>
    <row r="53" spans="1:69" ht="7.4" customHeight="1" x14ac:dyDescent="0.5">
      <c r="A53" s="42"/>
      <c r="B53" s="61"/>
      <c r="C53" s="159"/>
      <c r="D53" s="159"/>
      <c r="E53" s="159"/>
      <c r="F53" s="159"/>
      <c r="G53" s="62"/>
      <c r="H53" s="160"/>
      <c r="I53" s="160"/>
      <c r="J53" s="160"/>
      <c r="K53" s="160"/>
      <c r="L53" s="152"/>
      <c r="M53" s="81"/>
      <c r="N53" s="77"/>
      <c r="O53" s="40"/>
      <c r="P53" s="81"/>
      <c r="Q53" s="77"/>
      <c r="R53" s="40"/>
      <c r="S53" s="81"/>
      <c r="T53" s="77"/>
      <c r="U53" s="40"/>
      <c r="V53" s="81"/>
      <c r="W53" s="77"/>
      <c r="X53" s="40"/>
      <c r="Y53" s="81"/>
      <c r="Z53" s="77"/>
      <c r="AA53" s="40"/>
      <c r="AB53" s="81"/>
      <c r="AC53" s="77"/>
      <c r="AD53" s="40"/>
      <c r="AE53" s="81"/>
      <c r="AF53" s="77"/>
      <c r="AG53" s="40"/>
      <c r="AH53" s="81"/>
      <c r="AI53" s="77"/>
      <c r="AJ53" s="40"/>
      <c r="AK53" s="81"/>
      <c r="AL53" s="77"/>
      <c r="AM53" s="40"/>
      <c r="AN53" s="81"/>
      <c r="AO53" s="77"/>
      <c r="AP53" s="40"/>
      <c r="AQ53" s="81"/>
      <c r="AR53" s="77"/>
      <c r="AS53" s="40"/>
      <c r="AT53" s="81"/>
      <c r="AU53" s="77"/>
      <c r="AV53" s="40"/>
      <c r="AW53" s="81"/>
      <c r="AX53" s="77"/>
      <c r="AY53" s="40"/>
      <c r="AZ53" s="81"/>
      <c r="BA53" s="77"/>
      <c r="BB53" s="40"/>
      <c r="BC53" s="81"/>
      <c r="BD53" s="77"/>
      <c r="BE53" s="40"/>
      <c r="BF53" s="81"/>
      <c r="BG53" s="77"/>
      <c r="BH53" s="40"/>
      <c r="BI53" s="41"/>
    </row>
    <row r="54" spans="1:69" ht="7.4" customHeight="1" x14ac:dyDescent="0.5">
      <c r="A54" s="42"/>
      <c r="B54" s="61"/>
      <c r="C54" s="400" t="s">
        <v>135</v>
      </c>
      <c r="D54" s="400"/>
      <c r="E54" s="400"/>
      <c r="F54" s="400"/>
      <c r="G54" s="400"/>
      <c r="H54" s="400"/>
      <c r="I54" s="400"/>
      <c r="J54" s="400"/>
      <c r="K54" s="400"/>
      <c r="L54" s="448"/>
      <c r="M54" s="349">
        <v>10</v>
      </c>
      <c r="N54" s="318"/>
      <c r="O54" s="350"/>
      <c r="P54" s="349">
        <v>0</v>
      </c>
      <c r="Q54" s="318"/>
      <c r="R54" s="350"/>
      <c r="S54" s="349">
        <v>0</v>
      </c>
      <c r="T54" s="318"/>
      <c r="U54" s="350"/>
      <c r="V54" s="349">
        <v>0</v>
      </c>
      <c r="W54" s="318"/>
      <c r="X54" s="350"/>
      <c r="Y54" s="349">
        <v>0</v>
      </c>
      <c r="Z54" s="318"/>
      <c r="AA54" s="350"/>
      <c r="AB54" s="349">
        <v>0</v>
      </c>
      <c r="AC54" s="318"/>
      <c r="AD54" s="350"/>
      <c r="AE54" s="349">
        <v>0</v>
      </c>
      <c r="AF54" s="318"/>
      <c r="AG54" s="350"/>
      <c r="AH54" s="349">
        <v>0</v>
      </c>
      <c r="AI54" s="318"/>
      <c r="AJ54" s="350"/>
      <c r="AK54" s="349">
        <v>0</v>
      </c>
      <c r="AL54" s="318"/>
      <c r="AM54" s="350"/>
      <c r="AN54" s="349">
        <v>0</v>
      </c>
      <c r="AO54" s="318"/>
      <c r="AP54" s="350"/>
      <c r="AQ54" s="349">
        <v>0</v>
      </c>
      <c r="AR54" s="318"/>
      <c r="AS54" s="350"/>
      <c r="AT54" s="349">
        <v>0</v>
      </c>
      <c r="AU54" s="318"/>
      <c r="AV54" s="350"/>
      <c r="AW54" s="349">
        <v>0</v>
      </c>
      <c r="AX54" s="318"/>
      <c r="AY54" s="350"/>
      <c r="AZ54" s="349">
        <v>0</v>
      </c>
      <c r="BA54" s="318"/>
      <c r="BB54" s="350"/>
      <c r="BC54" s="349">
        <v>0</v>
      </c>
      <c r="BD54" s="318"/>
      <c r="BE54" s="350"/>
      <c r="BF54" s="349">
        <v>0</v>
      </c>
      <c r="BG54" s="318"/>
      <c r="BH54" s="350"/>
      <c r="BI54" s="41"/>
    </row>
    <row r="55" spans="1:69" ht="7.4" customHeight="1" x14ac:dyDescent="0.5">
      <c r="A55" s="42"/>
      <c r="B55" s="61"/>
      <c r="C55" s="400"/>
      <c r="D55" s="400"/>
      <c r="E55" s="400"/>
      <c r="F55" s="400"/>
      <c r="G55" s="400"/>
      <c r="H55" s="400"/>
      <c r="I55" s="400"/>
      <c r="J55" s="400"/>
      <c r="K55" s="400"/>
      <c r="L55" s="448"/>
      <c r="M55" s="349"/>
      <c r="N55" s="318"/>
      <c r="O55" s="350"/>
      <c r="P55" s="349"/>
      <c r="Q55" s="318"/>
      <c r="R55" s="350"/>
      <c r="S55" s="349"/>
      <c r="T55" s="318"/>
      <c r="U55" s="350"/>
      <c r="V55" s="349"/>
      <c r="W55" s="318"/>
      <c r="X55" s="350"/>
      <c r="Y55" s="349"/>
      <c r="Z55" s="318"/>
      <c r="AA55" s="350"/>
      <c r="AB55" s="349"/>
      <c r="AC55" s="318"/>
      <c r="AD55" s="350"/>
      <c r="AE55" s="349"/>
      <c r="AF55" s="318"/>
      <c r="AG55" s="350"/>
      <c r="AH55" s="349"/>
      <c r="AI55" s="318"/>
      <c r="AJ55" s="350"/>
      <c r="AK55" s="349"/>
      <c r="AL55" s="318"/>
      <c r="AM55" s="350"/>
      <c r="AN55" s="349"/>
      <c r="AO55" s="318"/>
      <c r="AP55" s="350"/>
      <c r="AQ55" s="349"/>
      <c r="AR55" s="318"/>
      <c r="AS55" s="350"/>
      <c r="AT55" s="349"/>
      <c r="AU55" s="318"/>
      <c r="AV55" s="350"/>
      <c r="AW55" s="349"/>
      <c r="AX55" s="318"/>
      <c r="AY55" s="350"/>
      <c r="AZ55" s="349"/>
      <c r="BA55" s="318"/>
      <c r="BB55" s="350"/>
      <c r="BC55" s="349"/>
      <c r="BD55" s="318"/>
      <c r="BE55" s="350"/>
      <c r="BF55" s="349"/>
      <c r="BG55" s="318"/>
      <c r="BH55" s="350"/>
      <c r="BI55" s="41"/>
    </row>
    <row r="56" spans="1:69" ht="7.4" customHeight="1" x14ac:dyDescent="0.5">
      <c r="A56" s="42"/>
      <c r="B56" s="61"/>
      <c r="C56" s="159"/>
      <c r="D56" s="159"/>
      <c r="E56" s="159"/>
      <c r="F56" s="159"/>
      <c r="G56" s="62"/>
      <c r="H56" s="160"/>
      <c r="I56" s="160"/>
      <c r="J56" s="160"/>
      <c r="K56" s="160"/>
      <c r="L56" s="152"/>
      <c r="M56" s="161"/>
      <c r="N56" s="162"/>
      <c r="O56" s="163"/>
      <c r="P56" s="161"/>
      <c r="Q56" s="162"/>
      <c r="R56" s="163"/>
      <c r="S56" s="161"/>
      <c r="T56" s="162"/>
      <c r="U56" s="163"/>
      <c r="V56" s="161"/>
      <c r="W56" s="162"/>
      <c r="X56" s="163"/>
      <c r="Y56" s="161"/>
      <c r="Z56" s="162"/>
      <c r="AA56" s="163"/>
      <c r="AB56" s="164"/>
      <c r="AC56" s="165"/>
      <c r="AD56" s="166"/>
      <c r="AE56" s="164"/>
      <c r="AF56" s="165"/>
      <c r="AG56" s="166"/>
      <c r="AH56" s="164"/>
      <c r="AI56" s="165"/>
      <c r="AJ56" s="166"/>
      <c r="AK56" s="164"/>
      <c r="AL56" s="165"/>
      <c r="AM56" s="166"/>
      <c r="AN56" s="164"/>
      <c r="AO56" s="165"/>
      <c r="AP56" s="166"/>
      <c r="AQ56" s="164"/>
      <c r="AR56" s="165"/>
      <c r="AS56" s="166"/>
      <c r="AT56" s="164"/>
      <c r="AU56" s="165"/>
      <c r="AV56" s="166"/>
      <c r="AW56" s="164"/>
      <c r="AX56" s="165"/>
      <c r="AY56" s="166"/>
      <c r="AZ56" s="164"/>
      <c r="BA56" s="165"/>
      <c r="BB56" s="166"/>
      <c r="BC56" s="164"/>
      <c r="BD56" s="165"/>
      <c r="BE56" s="166"/>
      <c r="BF56" s="164"/>
      <c r="BG56" s="165"/>
      <c r="BH56" s="166"/>
      <c r="BI56" s="41"/>
    </row>
    <row r="57" spans="1:69" ht="7.4" customHeight="1" x14ac:dyDescent="0.5">
      <c r="A57" s="42"/>
      <c r="B57" s="61"/>
      <c r="C57" s="159"/>
      <c r="D57" s="159"/>
      <c r="E57" s="159"/>
      <c r="F57" s="159"/>
      <c r="G57" s="62"/>
      <c r="H57" s="160"/>
      <c r="I57" s="160"/>
      <c r="J57" s="160"/>
      <c r="K57" s="160"/>
      <c r="L57" s="152"/>
      <c r="M57" s="167"/>
      <c r="N57" s="168"/>
      <c r="O57" s="169"/>
      <c r="P57" s="167"/>
      <c r="Q57" s="168"/>
      <c r="R57" s="169"/>
      <c r="S57" s="167"/>
      <c r="T57" s="168"/>
      <c r="U57" s="169"/>
      <c r="V57" s="167"/>
      <c r="W57" s="168"/>
      <c r="X57" s="169"/>
      <c r="Y57" s="167"/>
      <c r="Z57" s="168"/>
      <c r="AA57" s="169"/>
      <c r="AB57" s="170"/>
      <c r="AC57" s="171"/>
      <c r="AD57" s="172"/>
      <c r="AE57" s="170"/>
      <c r="AF57" s="171"/>
      <c r="AG57" s="172"/>
      <c r="AH57" s="170"/>
      <c r="AI57" s="171"/>
      <c r="AJ57" s="172"/>
      <c r="AK57" s="170"/>
      <c r="AL57" s="171"/>
      <c r="AM57" s="172"/>
      <c r="AN57" s="170"/>
      <c r="AO57" s="171"/>
      <c r="AP57" s="172"/>
      <c r="AQ57" s="170"/>
      <c r="AR57" s="171"/>
      <c r="AS57" s="172"/>
      <c r="AT57" s="170"/>
      <c r="AU57" s="171"/>
      <c r="AV57" s="172"/>
      <c r="AW57" s="170"/>
      <c r="AX57" s="171"/>
      <c r="AY57" s="172"/>
      <c r="AZ57" s="170"/>
      <c r="BA57" s="171"/>
      <c r="BB57" s="172"/>
      <c r="BC57" s="170"/>
      <c r="BD57" s="171"/>
      <c r="BE57" s="172"/>
      <c r="BF57" s="170"/>
      <c r="BG57" s="171"/>
      <c r="BH57" s="172"/>
      <c r="BI57" s="41"/>
    </row>
    <row r="58" spans="1:69" ht="7.4" customHeight="1" x14ac:dyDescent="0.5">
      <c r="A58" s="42"/>
      <c r="B58" s="61"/>
      <c r="C58" s="400" t="s">
        <v>136</v>
      </c>
      <c r="D58" s="400"/>
      <c r="E58" s="400"/>
      <c r="F58" s="400"/>
      <c r="G58" s="400"/>
      <c r="H58" s="400"/>
      <c r="I58" s="400"/>
      <c r="J58" s="400"/>
      <c r="K58" s="400"/>
      <c r="L58" s="448"/>
      <c r="M58" s="349">
        <v>25</v>
      </c>
      <c r="N58" s="318"/>
      <c r="O58" s="350"/>
      <c r="P58" s="349">
        <v>0</v>
      </c>
      <c r="Q58" s="318"/>
      <c r="R58" s="350"/>
      <c r="S58" s="349">
        <v>0</v>
      </c>
      <c r="T58" s="318"/>
      <c r="U58" s="350"/>
      <c r="V58" s="349">
        <v>0</v>
      </c>
      <c r="W58" s="318"/>
      <c r="X58" s="350"/>
      <c r="Y58" s="349">
        <v>0</v>
      </c>
      <c r="Z58" s="318"/>
      <c r="AA58" s="350"/>
      <c r="AB58" s="349">
        <v>0</v>
      </c>
      <c r="AC58" s="318"/>
      <c r="AD58" s="350"/>
      <c r="AE58" s="349">
        <v>0</v>
      </c>
      <c r="AF58" s="318"/>
      <c r="AG58" s="350"/>
      <c r="AH58" s="349">
        <v>0</v>
      </c>
      <c r="AI58" s="318"/>
      <c r="AJ58" s="350"/>
      <c r="AK58" s="349">
        <v>0</v>
      </c>
      <c r="AL58" s="318"/>
      <c r="AM58" s="350"/>
      <c r="AN58" s="349">
        <v>0</v>
      </c>
      <c r="AO58" s="318"/>
      <c r="AP58" s="350"/>
      <c r="AQ58" s="349">
        <v>0</v>
      </c>
      <c r="AR58" s="318"/>
      <c r="AS58" s="350"/>
      <c r="AT58" s="349">
        <v>0</v>
      </c>
      <c r="AU58" s="318"/>
      <c r="AV58" s="350"/>
      <c r="AW58" s="349">
        <v>0</v>
      </c>
      <c r="AX58" s="318"/>
      <c r="AY58" s="350"/>
      <c r="AZ58" s="349">
        <v>0</v>
      </c>
      <c r="BA58" s="318"/>
      <c r="BB58" s="350"/>
      <c r="BC58" s="349">
        <v>0</v>
      </c>
      <c r="BD58" s="318"/>
      <c r="BE58" s="350"/>
      <c r="BF58" s="349">
        <v>0</v>
      </c>
      <c r="BG58" s="318"/>
      <c r="BH58" s="350"/>
      <c r="BI58" s="41"/>
    </row>
    <row r="59" spans="1:69" ht="7.4" customHeight="1" x14ac:dyDescent="0.5">
      <c r="A59" s="42"/>
      <c r="B59" s="61"/>
      <c r="C59" s="400"/>
      <c r="D59" s="400"/>
      <c r="E59" s="400"/>
      <c r="F59" s="400"/>
      <c r="G59" s="400"/>
      <c r="H59" s="400"/>
      <c r="I59" s="400"/>
      <c r="J59" s="400"/>
      <c r="K59" s="400"/>
      <c r="L59" s="448"/>
      <c r="M59" s="349"/>
      <c r="N59" s="318"/>
      <c r="O59" s="350"/>
      <c r="P59" s="349"/>
      <c r="Q59" s="318"/>
      <c r="R59" s="350"/>
      <c r="S59" s="349"/>
      <c r="T59" s="318"/>
      <c r="U59" s="350"/>
      <c r="V59" s="349"/>
      <c r="W59" s="318"/>
      <c r="X59" s="350"/>
      <c r="Y59" s="349"/>
      <c r="Z59" s="318"/>
      <c r="AA59" s="350"/>
      <c r="AB59" s="349"/>
      <c r="AC59" s="318"/>
      <c r="AD59" s="350"/>
      <c r="AE59" s="349"/>
      <c r="AF59" s="318"/>
      <c r="AG59" s="350"/>
      <c r="AH59" s="349"/>
      <c r="AI59" s="318"/>
      <c r="AJ59" s="350"/>
      <c r="AK59" s="349"/>
      <c r="AL59" s="318"/>
      <c r="AM59" s="350"/>
      <c r="AN59" s="349"/>
      <c r="AO59" s="318"/>
      <c r="AP59" s="350"/>
      <c r="AQ59" s="349"/>
      <c r="AR59" s="318"/>
      <c r="AS59" s="350"/>
      <c r="AT59" s="349"/>
      <c r="AU59" s="318"/>
      <c r="AV59" s="350"/>
      <c r="AW59" s="349"/>
      <c r="AX59" s="318"/>
      <c r="AY59" s="350"/>
      <c r="AZ59" s="349"/>
      <c r="BA59" s="318"/>
      <c r="BB59" s="350"/>
      <c r="BC59" s="349"/>
      <c r="BD59" s="318"/>
      <c r="BE59" s="350"/>
      <c r="BF59" s="349"/>
      <c r="BG59" s="318"/>
      <c r="BH59" s="350"/>
      <c r="BI59" s="41"/>
    </row>
    <row r="60" spans="1:69" ht="7.4" customHeight="1" x14ac:dyDescent="0.5">
      <c r="A60" s="42"/>
      <c r="B60" s="61"/>
      <c r="C60" s="159"/>
      <c r="D60" s="159"/>
      <c r="E60" s="159"/>
      <c r="F60" s="159"/>
      <c r="G60" s="62"/>
      <c r="H60" s="160"/>
      <c r="I60" s="160"/>
      <c r="J60" s="160"/>
      <c r="K60" s="160"/>
      <c r="L60" s="152"/>
      <c r="M60" s="174"/>
      <c r="N60" s="135"/>
      <c r="O60" s="52"/>
      <c r="P60" s="174"/>
      <c r="Q60" s="135"/>
      <c r="R60" s="52"/>
      <c r="S60" s="174"/>
      <c r="T60" s="135"/>
      <c r="U60" s="52"/>
      <c r="V60" s="174"/>
      <c r="W60" s="135"/>
      <c r="X60" s="52"/>
      <c r="Y60" s="174"/>
      <c r="Z60" s="135"/>
      <c r="AA60" s="52"/>
      <c r="AB60" s="174"/>
      <c r="AC60" s="135"/>
      <c r="AD60" s="52"/>
      <c r="AE60" s="174"/>
      <c r="AF60" s="135"/>
      <c r="AG60" s="52"/>
      <c r="AH60" s="174"/>
      <c r="AI60" s="135"/>
      <c r="AJ60" s="52"/>
      <c r="AK60" s="174"/>
      <c r="AL60" s="135"/>
      <c r="AM60" s="52"/>
      <c r="AN60" s="174"/>
      <c r="AO60" s="135"/>
      <c r="AP60" s="52"/>
      <c r="AQ60" s="174"/>
      <c r="AR60" s="135"/>
      <c r="AS60" s="52"/>
      <c r="AT60" s="174"/>
      <c r="AU60" s="135"/>
      <c r="AV60" s="52"/>
      <c r="AW60" s="174"/>
      <c r="AX60" s="135"/>
      <c r="AY60" s="52"/>
      <c r="AZ60" s="174"/>
      <c r="BA60" s="135"/>
      <c r="BB60" s="52"/>
      <c r="BC60" s="174"/>
      <c r="BD60" s="135"/>
      <c r="BE60" s="52"/>
      <c r="BF60" s="174"/>
      <c r="BG60" s="135"/>
      <c r="BH60" s="52"/>
      <c r="BI60" s="41"/>
    </row>
    <row r="61" spans="1:69" ht="7.4" customHeight="1" x14ac:dyDescent="0.5">
      <c r="A61" s="42"/>
      <c r="B61" s="61"/>
      <c r="C61" s="159"/>
      <c r="D61" s="159"/>
      <c r="E61" s="159"/>
      <c r="F61" s="159"/>
      <c r="G61" s="62"/>
      <c r="H61" s="160"/>
      <c r="I61" s="160"/>
      <c r="J61" s="160"/>
      <c r="K61" s="160"/>
      <c r="L61" s="152"/>
      <c r="M61" s="212"/>
      <c r="N61" s="212"/>
      <c r="O61" s="76"/>
      <c r="P61" s="212"/>
      <c r="Q61" s="212"/>
      <c r="R61" s="76"/>
      <c r="S61" s="212"/>
      <c r="T61" s="212"/>
      <c r="U61" s="76"/>
      <c r="V61" s="212"/>
      <c r="W61" s="212"/>
      <c r="X61" s="76"/>
      <c r="Y61" s="212"/>
      <c r="Z61" s="212"/>
      <c r="AA61" s="76"/>
      <c r="AB61" s="212"/>
      <c r="AC61" s="212"/>
      <c r="AD61" s="76"/>
      <c r="AE61" s="212"/>
      <c r="AF61" s="212"/>
      <c r="AG61" s="76"/>
      <c r="AH61" s="212"/>
      <c r="AI61" s="212"/>
      <c r="AJ61" s="76"/>
      <c r="AK61" s="212"/>
      <c r="AL61" s="212"/>
      <c r="AM61" s="76"/>
      <c r="AN61" s="212"/>
      <c r="AO61" s="212"/>
      <c r="AP61" s="76"/>
      <c r="AQ61" s="212"/>
      <c r="AR61" s="212"/>
      <c r="AS61" s="76"/>
      <c r="AT61" s="212"/>
      <c r="AU61" s="212"/>
      <c r="AV61" s="76"/>
      <c r="AW61" s="212"/>
      <c r="AX61" s="212"/>
      <c r="AY61" s="76"/>
      <c r="AZ61" s="212"/>
      <c r="BA61" s="212"/>
      <c r="BB61" s="76"/>
      <c r="BC61" s="212"/>
      <c r="BD61" s="212"/>
      <c r="BE61" s="76"/>
      <c r="BF61" s="212"/>
      <c r="BG61" s="212"/>
      <c r="BH61" s="76"/>
      <c r="BI61" s="41"/>
      <c r="BK61" s="463" t="s">
        <v>82</v>
      </c>
      <c r="BL61" s="464"/>
      <c r="BM61" s="464"/>
      <c r="BN61" s="464"/>
      <c r="BO61" s="464"/>
      <c r="BP61" s="464"/>
      <c r="BQ61" s="465"/>
    </row>
    <row r="62" spans="1:69" ht="7.4" customHeight="1" x14ac:dyDescent="0.5">
      <c r="A62" s="42"/>
      <c r="B62" s="61"/>
      <c r="C62" s="400" t="s">
        <v>137</v>
      </c>
      <c r="D62" s="400"/>
      <c r="E62" s="400"/>
      <c r="F62" s="400"/>
      <c r="G62" s="400"/>
      <c r="H62" s="400"/>
      <c r="I62" s="400"/>
      <c r="J62" s="400"/>
      <c r="K62" s="400"/>
      <c r="L62" s="448"/>
      <c r="M62" s="311">
        <f>IF(M54&gt;0,BK143/2/M54,0)</f>
        <v>20</v>
      </c>
      <c r="N62" s="311"/>
      <c r="O62" s="312"/>
      <c r="P62" s="311">
        <f>IF(P54&gt;0,BN143/2/P54,0)</f>
        <v>0</v>
      </c>
      <c r="Q62" s="311"/>
      <c r="R62" s="312"/>
      <c r="S62" s="311">
        <f>IF(S54&gt;0,BQ143/2/S54,0)</f>
        <v>0</v>
      </c>
      <c r="T62" s="311"/>
      <c r="U62" s="312"/>
      <c r="V62" s="311">
        <f>IF(V54&gt;0,BT143/2/V54,0)</f>
        <v>0</v>
      </c>
      <c r="W62" s="311"/>
      <c r="X62" s="312"/>
      <c r="Y62" s="311">
        <f>IF(Y54&gt;0,BW143/2/Y54,0)</f>
        <v>0</v>
      </c>
      <c r="Z62" s="311"/>
      <c r="AA62" s="312"/>
      <c r="AB62" s="311">
        <f>IF(AB54&gt;0,BZ143/2/AB54,0)</f>
        <v>0</v>
      </c>
      <c r="AC62" s="311"/>
      <c r="AD62" s="312"/>
      <c r="AE62" s="311">
        <f>IF(AE54&gt;0,CC143/2/AE54,0)</f>
        <v>0</v>
      </c>
      <c r="AF62" s="311"/>
      <c r="AG62" s="312"/>
      <c r="AH62" s="311">
        <f>IF(AH54&gt;0,CF143/2/AH54,0)</f>
        <v>0</v>
      </c>
      <c r="AI62" s="311"/>
      <c r="AJ62" s="312"/>
      <c r="AK62" s="311">
        <f>IF(AK54&gt;0,CI143/2/AK54,0)</f>
        <v>0</v>
      </c>
      <c r="AL62" s="311"/>
      <c r="AM62" s="312"/>
      <c r="AN62" s="311">
        <f>IF(AN54&gt;0,CL143/2/AN54,0)</f>
        <v>0</v>
      </c>
      <c r="AO62" s="311"/>
      <c r="AP62" s="312"/>
      <c r="AQ62" s="311">
        <f>IF(AQ54&gt;0,CO143/2/AQ54,0)</f>
        <v>0</v>
      </c>
      <c r="AR62" s="311"/>
      <c r="AS62" s="312"/>
      <c r="AT62" s="311">
        <f>IF(AT54&gt;0,CR143/2/AT54,0)</f>
        <v>0</v>
      </c>
      <c r="AU62" s="311"/>
      <c r="AV62" s="312"/>
      <c r="AW62" s="311">
        <f>IF(AW54&gt;0,CU143/2/AW54,0)</f>
        <v>0</v>
      </c>
      <c r="AX62" s="311"/>
      <c r="AY62" s="312"/>
      <c r="AZ62" s="311">
        <f>IF(AZ54&gt;0,CX143/2/AZ54,0)</f>
        <v>0</v>
      </c>
      <c r="BA62" s="311"/>
      <c r="BB62" s="312"/>
      <c r="BC62" s="311">
        <f>IF(BC54&gt;0,DA143/2/BC54,0)</f>
        <v>0</v>
      </c>
      <c r="BD62" s="311"/>
      <c r="BE62" s="312"/>
      <c r="BF62" s="311">
        <f>IF(BF54&gt;0,DD143/2/BF54,0)</f>
        <v>0</v>
      </c>
      <c r="BG62" s="311"/>
      <c r="BH62" s="312"/>
      <c r="BI62" s="41"/>
      <c r="BK62" s="466"/>
      <c r="BL62" s="467"/>
      <c r="BM62" s="467"/>
      <c r="BN62" s="467"/>
      <c r="BO62" s="467"/>
      <c r="BP62" s="467"/>
      <c r="BQ62" s="468"/>
    </row>
    <row r="63" spans="1:69" ht="7.4" customHeight="1" x14ac:dyDescent="0.5">
      <c r="A63" s="42"/>
      <c r="B63" s="61"/>
      <c r="C63" s="400"/>
      <c r="D63" s="400"/>
      <c r="E63" s="400"/>
      <c r="F63" s="400"/>
      <c r="G63" s="400"/>
      <c r="H63" s="400"/>
      <c r="I63" s="400"/>
      <c r="J63" s="400"/>
      <c r="K63" s="400"/>
      <c r="L63" s="448"/>
      <c r="M63" s="311"/>
      <c r="N63" s="311"/>
      <c r="O63" s="312"/>
      <c r="P63" s="311"/>
      <c r="Q63" s="311"/>
      <c r="R63" s="312"/>
      <c r="S63" s="311"/>
      <c r="T63" s="311"/>
      <c r="U63" s="312"/>
      <c r="V63" s="311"/>
      <c r="W63" s="311"/>
      <c r="X63" s="312"/>
      <c r="Y63" s="311"/>
      <c r="Z63" s="311"/>
      <c r="AA63" s="312"/>
      <c r="AB63" s="311"/>
      <c r="AC63" s="311"/>
      <c r="AD63" s="312"/>
      <c r="AE63" s="311"/>
      <c r="AF63" s="311"/>
      <c r="AG63" s="312"/>
      <c r="AH63" s="311"/>
      <c r="AI63" s="311"/>
      <c r="AJ63" s="312"/>
      <c r="AK63" s="311"/>
      <c r="AL63" s="311"/>
      <c r="AM63" s="312"/>
      <c r="AN63" s="311"/>
      <c r="AO63" s="311"/>
      <c r="AP63" s="312"/>
      <c r="AQ63" s="311"/>
      <c r="AR63" s="311"/>
      <c r="AS63" s="312"/>
      <c r="AT63" s="311"/>
      <c r="AU63" s="311"/>
      <c r="AV63" s="312"/>
      <c r="AW63" s="311"/>
      <c r="AX63" s="311"/>
      <c r="AY63" s="312"/>
      <c r="AZ63" s="311"/>
      <c r="BA63" s="311"/>
      <c r="BB63" s="312"/>
      <c r="BC63" s="311"/>
      <c r="BD63" s="311"/>
      <c r="BE63" s="312"/>
      <c r="BF63" s="311"/>
      <c r="BG63" s="311"/>
      <c r="BH63" s="312"/>
      <c r="BI63" s="41"/>
      <c r="BK63" s="466"/>
      <c r="BL63" s="467"/>
      <c r="BM63" s="467"/>
      <c r="BN63" s="467"/>
      <c r="BO63" s="467"/>
      <c r="BP63" s="467"/>
      <c r="BQ63" s="468"/>
    </row>
    <row r="64" spans="1:69" ht="7.4" customHeight="1" x14ac:dyDescent="0.5">
      <c r="A64" s="42"/>
      <c r="B64" s="61"/>
      <c r="C64" s="159"/>
      <c r="D64" s="159"/>
      <c r="E64" s="159"/>
      <c r="F64" s="159"/>
      <c r="G64" s="62"/>
      <c r="H64" s="160"/>
      <c r="I64" s="160"/>
      <c r="J64" s="160"/>
      <c r="K64" s="160"/>
      <c r="L64" s="152"/>
      <c r="M64" s="135"/>
      <c r="N64" s="135"/>
      <c r="O64" s="52"/>
      <c r="P64" s="135"/>
      <c r="Q64" s="135"/>
      <c r="R64" s="52"/>
      <c r="S64" s="135"/>
      <c r="T64" s="135"/>
      <c r="U64" s="52"/>
      <c r="V64" s="135"/>
      <c r="W64" s="135"/>
      <c r="X64" s="52"/>
      <c r="Y64" s="135"/>
      <c r="Z64" s="135"/>
      <c r="AA64" s="52"/>
      <c r="AB64" s="135"/>
      <c r="AC64" s="135"/>
      <c r="AD64" s="52"/>
      <c r="AE64" s="135"/>
      <c r="AF64" s="135"/>
      <c r="AG64" s="52"/>
      <c r="AH64" s="135"/>
      <c r="AI64" s="135"/>
      <c r="AJ64" s="52"/>
      <c r="AK64" s="135"/>
      <c r="AL64" s="135"/>
      <c r="AM64" s="52"/>
      <c r="AN64" s="135"/>
      <c r="AO64" s="135"/>
      <c r="AP64" s="52"/>
      <c r="AQ64" s="135"/>
      <c r="AR64" s="135"/>
      <c r="AS64" s="52"/>
      <c r="AT64" s="135"/>
      <c r="AU64" s="135"/>
      <c r="AV64" s="52"/>
      <c r="AW64" s="135"/>
      <c r="AX64" s="135"/>
      <c r="AY64" s="52"/>
      <c r="AZ64" s="135"/>
      <c r="BA64" s="135"/>
      <c r="BB64" s="52"/>
      <c r="BC64" s="135"/>
      <c r="BD64" s="135"/>
      <c r="BE64" s="52"/>
      <c r="BF64" s="135"/>
      <c r="BG64" s="135"/>
      <c r="BH64" s="52"/>
      <c r="BI64" s="41"/>
      <c r="BK64" s="515"/>
      <c r="BL64" s="516"/>
      <c r="BM64" s="516"/>
      <c r="BN64" s="516"/>
      <c r="BO64" s="516"/>
      <c r="BP64" s="516"/>
      <c r="BQ64" s="517"/>
    </row>
    <row r="65" spans="1:110" ht="7.4" customHeight="1" x14ac:dyDescent="0.5">
      <c r="A65" s="42"/>
      <c r="B65" s="61"/>
      <c r="C65" s="513" t="s">
        <v>138</v>
      </c>
      <c r="D65" s="513"/>
      <c r="E65" s="513"/>
      <c r="F65" s="513"/>
      <c r="G65" s="513"/>
      <c r="H65" s="513"/>
      <c r="I65" s="513"/>
      <c r="J65" s="513"/>
      <c r="K65" s="513"/>
      <c r="L65" s="514"/>
      <c r="M65" s="212"/>
      <c r="N65" s="212"/>
      <c r="O65" s="76"/>
      <c r="P65" s="212"/>
      <c r="Q65" s="212"/>
      <c r="R65" s="76"/>
      <c r="S65" s="212"/>
      <c r="T65" s="212"/>
      <c r="U65" s="76"/>
      <c r="V65" s="212"/>
      <c r="W65" s="212"/>
      <c r="X65" s="76"/>
      <c r="Y65" s="212"/>
      <c r="Z65" s="212"/>
      <c r="AA65" s="76"/>
      <c r="AB65" s="212"/>
      <c r="AC65" s="212"/>
      <c r="AD65" s="76"/>
      <c r="AE65" s="212"/>
      <c r="AF65" s="212"/>
      <c r="AG65" s="76"/>
      <c r="AH65" s="212"/>
      <c r="AI65" s="212"/>
      <c r="AJ65" s="76"/>
      <c r="AK65" s="212"/>
      <c r="AL65" s="212"/>
      <c r="AM65" s="76"/>
      <c r="AN65" s="212"/>
      <c r="AO65" s="212"/>
      <c r="AP65" s="76"/>
      <c r="AQ65" s="212"/>
      <c r="AR65" s="212"/>
      <c r="AS65" s="76"/>
      <c r="AT65" s="212"/>
      <c r="AU65" s="212"/>
      <c r="AV65" s="76"/>
      <c r="AW65" s="212"/>
      <c r="AX65" s="212"/>
      <c r="AY65" s="76"/>
      <c r="AZ65" s="212"/>
      <c r="BA65" s="212"/>
      <c r="BB65" s="76"/>
      <c r="BC65" s="212"/>
      <c r="BD65" s="212"/>
      <c r="BE65" s="76"/>
      <c r="BF65" s="212"/>
      <c r="BG65" s="212"/>
      <c r="BH65" s="76"/>
      <c r="BI65" s="41"/>
      <c r="BK65" s="38"/>
      <c r="BL65" s="39"/>
      <c r="BM65" s="39"/>
      <c r="BN65" s="39"/>
      <c r="BO65" s="39"/>
      <c r="BP65" s="39"/>
      <c r="BQ65" s="40"/>
    </row>
    <row r="66" spans="1:110" ht="7.4" customHeight="1" x14ac:dyDescent="0.5">
      <c r="A66" s="42"/>
      <c r="B66" s="61"/>
      <c r="C66" s="513"/>
      <c r="D66" s="513"/>
      <c r="E66" s="513"/>
      <c r="F66" s="513"/>
      <c r="G66" s="513"/>
      <c r="H66" s="513"/>
      <c r="I66" s="513"/>
      <c r="J66" s="513"/>
      <c r="K66" s="513"/>
      <c r="L66" s="514"/>
      <c r="M66" s="331">
        <f>IF(M58&gt;0,($AE$45*M58+20*(M58-1)+$N$78*2-2*$N$82)/(M62-1),0)</f>
        <v>1496.3157894736842</v>
      </c>
      <c r="N66" s="331"/>
      <c r="O66" s="332"/>
      <c r="P66" s="331">
        <f>IF(P58&gt;0,($AE$45*P58+20*(P58-1)+$N$78*2-2*$N$82)/(P62-1),0)</f>
        <v>0</v>
      </c>
      <c r="Q66" s="331"/>
      <c r="R66" s="332"/>
      <c r="S66" s="331">
        <f>IF(S58&gt;0,($AE$45*S58+20*(S58-1)+$N$78*2-2*$N$82)/(S62-1),0)</f>
        <v>0</v>
      </c>
      <c r="T66" s="331"/>
      <c r="U66" s="332"/>
      <c r="V66" s="331">
        <f>IF(V58&gt;0,($AE$45*V58+20*(V58-1)+$N$78*2-2*$N$82)/(V62-1),0)</f>
        <v>0</v>
      </c>
      <c r="W66" s="331"/>
      <c r="X66" s="332"/>
      <c r="Y66" s="331">
        <f>IF(Y58&gt;0,($AE$45*Y58+20*(Y58-1)+$N$78*2-2*$N$82)/(Y62-1),0)</f>
        <v>0</v>
      </c>
      <c r="Z66" s="331"/>
      <c r="AA66" s="332"/>
      <c r="AB66" s="331">
        <f>IF(AB58&gt;0,($AE$45*AB58+20*(AB58-1)+$N$78*2-2*$N$82)/(AB62-1),0)</f>
        <v>0</v>
      </c>
      <c r="AC66" s="331"/>
      <c r="AD66" s="332"/>
      <c r="AE66" s="331">
        <f>IF(AE58&gt;0,($AE$45*AE58+20*(AE58-1)+$N$78*2-2*$N$82)/(AE62-1),0)</f>
        <v>0</v>
      </c>
      <c r="AF66" s="331"/>
      <c r="AG66" s="332"/>
      <c r="AH66" s="331">
        <f>IF(AH58&gt;0,($AE$45*AH58+20*(AH58-1)+$N$78*2-2*$N$82)/(AH62-1),0)</f>
        <v>0</v>
      </c>
      <c r="AI66" s="331"/>
      <c r="AJ66" s="332"/>
      <c r="AK66" s="331">
        <f>IF(AK58&gt;0,($AE$45*AK58+20*(AK58-1)+$N$78*2-2*$N$82)/(AK62-1),0)</f>
        <v>0</v>
      </c>
      <c r="AL66" s="331"/>
      <c r="AM66" s="332"/>
      <c r="AN66" s="331">
        <f>IF(AN58&gt;0,($AE$45*AN58+20*(AN58-1)+$N$78*2-2*$N$82)/(AN62-1),0)</f>
        <v>0</v>
      </c>
      <c r="AO66" s="331"/>
      <c r="AP66" s="332"/>
      <c r="AQ66" s="331">
        <f>IF(AQ58&gt;0,($AE$45*AQ58+20*(AQ58-1)+$N$78*2-2*$N$82)/(AQ62-1),0)</f>
        <v>0</v>
      </c>
      <c r="AR66" s="331"/>
      <c r="AS66" s="332"/>
      <c r="AT66" s="331">
        <f>IF(AT58&gt;0,($AE$45*AT58+20*(AT58-1)+$N$78*2-2*$N$82)/(AT62-1),0)</f>
        <v>0</v>
      </c>
      <c r="AU66" s="331"/>
      <c r="AV66" s="332"/>
      <c r="AW66" s="331">
        <f>IF(AW58&gt;0,($AE$45*AW58+20*(AW58-1)+$N$78*2-2*$N$82)/(AW62-1),0)</f>
        <v>0</v>
      </c>
      <c r="AX66" s="331"/>
      <c r="AY66" s="332"/>
      <c r="AZ66" s="331">
        <f>IF(AZ58&gt;0,($AE$45*AZ58+20*(AZ58-1)+$N$78*2-2*$N$82)/(AZ62-1),0)</f>
        <v>0</v>
      </c>
      <c r="BA66" s="331"/>
      <c r="BB66" s="332"/>
      <c r="BC66" s="331">
        <f>IF(BC58&gt;0,($AE$45*BC58+20*(BC58-1)+$N$78*2-2*$N$82)/(BC62-1),0)</f>
        <v>0</v>
      </c>
      <c r="BD66" s="331"/>
      <c r="BE66" s="332"/>
      <c r="BF66" s="331">
        <f>IF(BF58&gt;0,($AE$45*BF58+20*(BF58-1)+$N$78*2-2*$N$82)/(BF62-1),0)</f>
        <v>0</v>
      </c>
      <c r="BG66" s="331"/>
      <c r="BH66" s="332"/>
      <c r="BI66" s="41"/>
      <c r="BK66" s="42"/>
      <c r="BL66" s="311">
        <f>IF(OR(AO35="Corrugated (Side)",AO35="Corrugated (Top)",AO35="Corrugated (Hangerbolt)"),76.2*18,IF(AO35="IBR",171.5*8,IF(OR(AO35="Klip-Lok",AO35="ProLok",AO35="Saflok"),233*6,IF(AO35="Brownbuilt",203*7,IF(OR(AO35="Dimondek (Pinch)",AO35="Dimondek (Stand Rib)"),203*7,IF(AO35="Zip-Tek",420*3,IF(AO35="Craft-Lock",350*4,0)))))))</f>
        <v>1372</v>
      </c>
      <c r="BM66" s="311"/>
      <c r="BN66" s="311"/>
      <c r="BO66" s="460" t="s">
        <v>69</v>
      </c>
      <c r="BP66" s="460"/>
      <c r="BQ66" s="41"/>
    </row>
    <row r="67" spans="1:110" ht="7.4" customHeight="1" x14ac:dyDescent="0.5">
      <c r="A67" s="42"/>
      <c r="B67" s="61"/>
      <c r="C67" s="513"/>
      <c r="D67" s="513"/>
      <c r="E67" s="513"/>
      <c r="F67" s="513"/>
      <c r="G67" s="513"/>
      <c r="H67" s="513"/>
      <c r="I67" s="513"/>
      <c r="J67" s="513"/>
      <c r="K67" s="513"/>
      <c r="L67" s="514"/>
      <c r="M67" s="331"/>
      <c r="N67" s="331"/>
      <c r="O67" s="332"/>
      <c r="P67" s="331"/>
      <c r="Q67" s="331"/>
      <c r="R67" s="332"/>
      <c r="S67" s="331"/>
      <c r="T67" s="331"/>
      <c r="U67" s="332"/>
      <c r="V67" s="331"/>
      <c r="W67" s="331"/>
      <c r="X67" s="332"/>
      <c r="Y67" s="331"/>
      <c r="Z67" s="331"/>
      <c r="AA67" s="332"/>
      <c r="AB67" s="331"/>
      <c r="AC67" s="331"/>
      <c r="AD67" s="332"/>
      <c r="AE67" s="331"/>
      <c r="AF67" s="331"/>
      <c r="AG67" s="332"/>
      <c r="AH67" s="331"/>
      <c r="AI67" s="331"/>
      <c r="AJ67" s="332"/>
      <c r="AK67" s="331"/>
      <c r="AL67" s="331"/>
      <c r="AM67" s="332"/>
      <c r="AN67" s="331"/>
      <c r="AO67" s="331"/>
      <c r="AP67" s="332"/>
      <c r="AQ67" s="331"/>
      <c r="AR67" s="331"/>
      <c r="AS67" s="332"/>
      <c r="AT67" s="331"/>
      <c r="AU67" s="331"/>
      <c r="AV67" s="332"/>
      <c r="AW67" s="331"/>
      <c r="AX67" s="331"/>
      <c r="AY67" s="332"/>
      <c r="AZ67" s="331"/>
      <c r="BA67" s="331"/>
      <c r="BB67" s="332"/>
      <c r="BC67" s="331"/>
      <c r="BD67" s="331"/>
      <c r="BE67" s="332"/>
      <c r="BF67" s="331"/>
      <c r="BG67" s="331"/>
      <c r="BH67" s="332"/>
      <c r="BI67" s="41"/>
      <c r="BK67" s="42"/>
      <c r="BL67" s="311"/>
      <c r="BM67" s="311"/>
      <c r="BN67" s="311"/>
      <c r="BO67" s="460"/>
      <c r="BP67" s="460"/>
      <c r="BQ67" s="41"/>
    </row>
    <row r="68" spans="1:110" ht="7.4" customHeight="1" x14ac:dyDescent="0.5">
      <c r="A68" s="42"/>
      <c r="B68" s="64"/>
      <c r="C68" s="96"/>
      <c r="D68" s="96"/>
      <c r="E68" s="96"/>
      <c r="F68" s="96"/>
      <c r="G68" s="65"/>
      <c r="H68" s="173"/>
      <c r="I68" s="173"/>
      <c r="J68" s="173"/>
      <c r="K68" s="173"/>
      <c r="L68" s="157"/>
      <c r="M68" s="135"/>
      <c r="N68" s="135"/>
      <c r="O68" s="52"/>
      <c r="P68" s="135"/>
      <c r="Q68" s="135"/>
      <c r="R68" s="52"/>
      <c r="S68" s="135"/>
      <c r="T68" s="135"/>
      <c r="U68" s="52"/>
      <c r="V68" s="135"/>
      <c r="W68" s="135"/>
      <c r="X68" s="52"/>
      <c r="Y68" s="135"/>
      <c r="Z68" s="135"/>
      <c r="AA68" s="52"/>
      <c r="AB68" s="135"/>
      <c r="AC68" s="135"/>
      <c r="AD68" s="52"/>
      <c r="AE68" s="135"/>
      <c r="AF68" s="135"/>
      <c r="AG68" s="52"/>
      <c r="AH68" s="135"/>
      <c r="AI68" s="135"/>
      <c r="AJ68" s="52"/>
      <c r="AK68" s="135"/>
      <c r="AL68" s="135"/>
      <c r="AM68" s="52"/>
      <c r="AN68" s="135"/>
      <c r="AO68" s="135"/>
      <c r="AP68" s="52"/>
      <c r="AQ68" s="135"/>
      <c r="AR68" s="135"/>
      <c r="AS68" s="52"/>
      <c r="AT68" s="135"/>
      <c r="AU68" s="135"/>
      <c r="AV68" s="52"/>
      <c r="AW68" s="135"/>
      <c r="AX68" s="135"/>
      <c r="AY68" s="52"/>
      <c r="AZ68" s="135"/>
      <c r="BA68" s="135"/>
      <c r="BB68" s="52"/>
      <c r="BC68" s="135"/>
      <c r="BD68" s="135"/>
      <c r="BE68" s="52"/>
      <c r="BF68" s="135"/>
      <c r="BG68" s="135"/>
      <c r="BH68" s="52"/>
      <c r="BI68" s="41"/>
      <c r="BK68" s="50"/>
      <c r="BL68" s="51"/>
      <c r="BM68" s="51"/>
      <c r="BN68" s="51"/>
      <c r="BO68" s="51"/>
      <c r="BP68" s="51"/>
      <c r="BQ68" s="52"/>
    </row>
    <row r="69" spans="1:110" ht="7.4" customHeight="1" x14ac:dyDescent="0.5">
      <c r="A69" s="42"/>
      <c r="AM69" s="25"/>
      <c r="AN69" s="25"/>
      <c r="AO69" s="25"/>
      <c r="AP69" s="25"/>
      <c r="AQ69" s="25"/>
      <c r="AR69" s="25"/>
      <c r="AS69" s="79"/>
      <c r="AT69" s="79"/>
      <c r="AU69" s="79"/>
      <c r="AV69" s="79"/>
      <c r="AW69" s="79"/>
      <c r="AX69" s="79"/>
      <c r="AY69" s="79"/>
      <c r="AZ69" s="79"/>
      <c r="BA69" s="79"/>
      <c r="BB69" s="79"/>
      <c r="BE69" s="79"/>
      <c r="BF69" s="79"/>
      <c r="BG69" s="79"/>
      <c r="BH69" s="79"/>
      <c r="BI69" s="41"/>
    </row>
    <row r="70" spans="1:110" ht="7.4" customHeight="1" x14ac:dyDescent="0.5">
      <c r="A70" s="42"/>
      <c r="B70" s="299" t="s">
        <v>139</v>
      </c>
      <c r="C70" s="363"/>
      <c r="D70" s="363"/>
      <c r="E70" s="363"/>
      <c r="F70" s="363"/>
      <c r="G70" s="363"/>
      <c r="H70" s="363"/>
      <c r="I70" s="363"/>
      <c r="J70" s="363"/>
      <c r="K70" s="363"/>
      <c r="L70" s="363"/>
      <c r="M70" s="363"/>
      <c r="N70" s="363"/>
      <c r="O70" s="363"/>
      <c r="P70" s="363"/>
      <c r="Q70" s="363"/>
      <c r="R70" s="363"/>
      <c r="S70" s="363"/>
      <c r="T70" s="363"/>
      <c r="U70" s="364"/>
      <c r="W70" s="299" t="s">
        <v>83</v>
      </c>
      <c r="X70" s="363"/>
      <c r="Y70" s="363"/>
      <c r="Z70" s="363"/>
      <c r="AA70" s="363"/>
      <c r="AB70" s="363"/>
      <c r="AC70" s="363"/>
      <c r="AD70" s="363"/>
      <c r="AE70" s="363"/>
      <c r="AF70" s="363"/>
      <c r="AG70" s="363"/>
      <c r="AH70" s="363"/>
      <c r="AI70" s="363"/>
      <c r="AJ70" s="363"/>
      <c r="AK70" s="363"/>
      <c r="AL70" s="363"/>
      <c r="AM70" s="363"/>
      <c r="AN70" s="363"/>
      <c r="AO70" s="363"/>
      <c r="AP70" s="364"/>
      <c r="AQ70" s="79"/>
      <c r="AR70" s="299" t="s">
        <v>37</v>
      </c>
      <c r="AS70" s="363"/>
      <c r="AT70" s="363"/>
      <c r="AU70" s="363"/>
      <c r="AV70" s="363"/>
      <c r="AW70" s="363"/>
      <c r="AX70" s="363"/>
      <c r="AY70" s="363"/>
      <c r="AZ70" s="363"/>
      <c r="BA70" s="363"/>
      <c r="BB70" s="363"/>
      <c r="BC70" s="363"/>
      <c r="BD70" s="363"/>
      <c r="BE70" s="363"/>
      <c r="BF70" s="363"/>
      <c r="BG70" s="363"/>
      <c r="BH70" s="364"/>
      <c r="BI70" s="41"/>
      <c r="BK70" s="108"/>
      <c r="BL70" s="108"/>
      <c r="BM70" s="108"/>
      <c r="BN70" s="108"/>
      <c r="BO70" s="108"/>
      <c r="BP70" s="108"/>
      <c r="BQ70" s="108"/>
      <c r="BR70" s="108"/>
      <c r="BS70" s="108"/>
      <c r="BT70" s="108"/>
      <c r="BX70" s="25"/>
      <c r="BY70" s="25"/>
      <c r="BZ70" s="25"/>
      <c r="CA70" s="25"/>
      <c r="CB70" s="25"/>
      <c r="CC70" s="25"/>
      <c r="CD70" s="25"/>
      <c r="CE70" s="25"/>
      <c r="CF70" s="25"/>
      <c r="CG70" s="25"/>
      <c r="CH70" s="25"/>
      <c r="CI70" s="25"/>
    </row>
    <row r="71" spans="1:110" ht="7.4" customHeight="1" x14ac:dyDescent="0.5">
      <c r="A71" s="42"/>
      <c r="B71" s="365"/>
      <c r="C71" s="366"/>
      <c r="D71" s="366"/>
      <c r="E71" s="366"/>
      <c r="F71" s="366"/>
      <c r="G71" s="366"/>
      <c r="H71" s="366"/>
      <c r="I71" s="366"/>
      <c r="J71" s="366"/>
      <c r="K71" s="366"/>
      <c r="L71" s="366"/>
      <c r="M71" s="366"/>
      <c r="N71" s="366"/>
      <c r="O71" s="366"/>
      <c r="P71" s="366"/>
      <c r="Q71" s="366"/>
      <c r="R71" s="366"/>
      <c r="S71" s="366"/>
      <c r="T71" s="366"/>
      <c r="U71" s="367"/>
      <c r="W71" s="365"/>
      <c r="X71" s="366"/>
      <c r="Y71" s="366"/>
      <c r="Z71" s="366"/>
      <c r="AA71" s="366"/>
      <c r="AB71" s="366"/>
      <c r="AC71" s="366"/>
      <c r="AD71" s="366"/>
      <c r="AE71" s="366"/>
      <c r="AF71" s="366"/>
      <c r="AG71" s="366"/>
      <c r="AH71" s="366"/>
      <c r="AI71" s="366"/>
      <c r="AJ71" s="366"/>
      <c r="AK71" s="366"/>
      <c r="AL71" s="366"/>
      <c r="AM71" s="366"/>
      <c r="AN71" s="366"/>
      <c r="AO71" s="366"/>
      <c r="AP71" s="367"/>
      <c r="AQ71" s="79"/>
      <c r="AR71" s="365"/>
      <c r="AS71" s="366"/>
      <c r="AT71" s="366"/>
      <c r="AU71" s="366"/>
      <c r="AV71" s="366"/>
      <c r="AW71" s="366"/>
      <c r="AX71" s="366"/>
      <c r="AY71" s="366"/>
      <c r="AZ71" s="366"/>
      <c r="BA71" s="366"/>
      <c r="BB71" s="366"/>
      <c r="BC71" s="366"/>
      <c r="BD71" s="366"/>
      <c r="BE71" s="366"/>
      <c r="BF71" s="366"/>
      <c r="BG71" s="366"/>
      <c r="BH71" s="367"/>
      <c r="BI71" s="41"/>
      <c r="BX71" s="25"/>
      <c r="BY71" s="25"/>
      <c r="BZ71" s="25"/>
      <c r="CA71" s="25"/>
      <c r="CB71" s="25"/>
      <c r="CC71" s="25"/>
      <c r="CD71" s="25"/>
      <c r="CE71" s="25"/>
      <c r="CF71" s="25"/>
      <c r="CG71" s="25"/>
      <c r="CH71" s="25"/>
      <c r="CI71" s="25"/>
    </row>
    <row r="72" spans="1:110" ht="7.4" customHeight="1" x14ac:dyDescent="0.5">
      <c r="A72" s="42"/>
      <c r="B72" s="368"/>
      <c r="C72" s="369"/>
      <c r="D72" s="369"/>
      <c r="E72" s="369"/>
      <c r="F72" s="369"/>
      <c r="G72" s="369"/>
      <c r="H72" s="369"/>
      <c r="I72" s="369"/>
      <c r="J72" s="369"/>
      <c r="K72" s="369"/>
      <c r="L72" s="369"/>
      <c r="M72" s="369"/>
      <c r="N72" s="369"/>
      <c r="O72" s="369"/>
      <c r="P72" s="369"/>
      <c r="Q72" s="369"/>
      <c r="R72" s="369"/>
      <c r="S72" s="369"/>
      <c r="T72" s="369"/>
      <c r="U72" s="370"/>
      <c r="W72" s="368"/>
      <c r="X72" s="369"/>
      <c r="Y72" s="369"/>
      <c r="Z72" s="369"/>
      <c r="AA72" s="369"/>
      <c r="AB72" s="369"/>
      <c r="AC72" s="369"/>
      <c r="AD72" s="369"/>
      <c r="AE72" s="369"/>
      <c r="AF72" s="369"/>
      <c r="AG72" s="369"/>
      <c r="AH72" s="369"/>
      <c r="AI72" s="369"/>
      <c r="AJ72" s="369"/>
      <c r="AK72" s="369"/>
      <c r="AL72" s="369"/>
      <c r="AM72" s="369"/>
      <c r="AN72" s="369"/>
      <c r="AO72" s="369"/>
      <c r="AP72" s="370"/>
      <c r="AQ72" s="79"/>
      <c r="AR72" s="368"/>
      <c r="AS72" s="369"/>
      <c r="AT72" s="369"/>
      <c r="AU72" s="369"/>
      <c r="AV72" s="369"/>
      <c r="AW72" s="369"/>
      <c r="AX72" s="369"/>
      <c r="AY72" s="369"/>
      <c r="AZ72" s="369"/>
      <c r="BA72" s="369"/>
      <c r="BB72" s="369"/>
      <c r="BC72" s="369"/>
      <c r="BD72" s="369"/>
      <c r="BE72" s="369"/>
      <c r="BF72" s="369"/>
      <c r="BG72" s="369"/>
      <c r="BH72" s="370"/>
      <c r="BI72" s="41"/>
      <c r="BX72" s="25"/>
      <c r="BY72" s="25"/>
      <c r="BZ72" s="25"/>
      <c r="CA72" s="25"/>
      <c r="CB72" s="25"/>
      <c r="CC72" s="25"/>
      <c r="CD72" s="25"/>
      <c r="CE72" s="25"/>
      <c r="CF72" s="25"/>
      <c r="CG72" s="25"/>
      <c r="CH72" s="25"/>
      <c r="CI72" s="25"/>
    </row>
    <row r="73" spans="1:110" ht="7.4" customHeight="1" x14ac:dyDescent="0.5">
      <c r="A73" s="42"/>
      <c r="B73" s="58"/>
      <c r="C73" s="59"/>
      <c r="D73" s="59"/>
      <c r="E73" s="59"/>
      <c r="F73" s="59"/>
      <c r="G73" s="59"/>
      <c r="H73" s="59"/>
      <c r="I73" s="59"/>
      <c r="J73" s="59"/>
      <c r="K73" s="59"/>
      <c r="L73" s="59"/>
      <c r="M73" s="59"/>
      <c r="N73" s="38"/>
      <c r="O73" s="39"/>
      <c r="P73" s="39"/>
      <c r="Q73" s="39"/>
      <c r="R73" s="89"/>
      <c r="S73" s="89"/>
      <c r="T73" s="89"/>
      <c r="U73" s="40"/>
      <c r="W73" s="58"/>
      <c r="X73" s="511" t="s">
        <v>91</v>
      </c>
      <c r="Y73" s="511"/>
      <c r="Z73" s="511"/>
      <c r="AA73" s="511"/>
      <c r="AB73" s="511"/>
      <c r="AC73" s="511"/>
      <c r="AD73" s="511"/>
      <c r="AE73" s="511"/>
      <c r="AF73" s="511"/>
      <c r="AG73" s="511"/>
      <c r="AH73" s="512"/>
      <c r="AI73" s="38"/>
      <c r="AJ73" s="39"/>
      <c r="AK73" s="39"/>
      <c r="AL73" s="39"/>
      <c r="AM73" s="89"/>
      <c r="AN73" s="89"/>
      <c r="AO73" s="89"/>
      <c r="AP73" s="176"/>
      <c r="AQ73" s="79"/>
      <c r="AR73" s="61"/>
      <c r="AS73" s="62"/>
      <c r="AT73" s="62"/>
      <c r="AU73" s="62"/>
      <c r="AV73" s="62"/>
      <c r="AW73" s="62"/>
      <c r="AX73" s="62"/>
      <c r="AY73" s="62"/>
      <c r="AZ73" s="62"/>
      <c r="BA73" s="62"/>
      <c r="BB73" s="62"/>
      <c r="BC73" s="62"/>
      <c r="BD73" s="62"/>
      <c r="BE73" s="38"/>
      <c r="BF73" s="39"/>
      <c r="BG73" s="39"/>
      <c r="BH73" s="40"/>
      <c r="BI73" s="41"/>
      <c r="BK73" s="58"/>
      <c r="BL73" s="456" t="s">
        <v>95</v>
      </c>
      <c r="BM73" s="456"/>
      <c r="BN73" s="456"/>
      <c r="BO73" s="456"/>
      <c r="BP73" s="456"/>
      <c r="BQ73" s="456"/>
      <c r="BR73" s="456"/>
      <c r="BS73" s="456"/>
      <c r="BT73" s="456"/>
      <c r="BU73" s="456"/>
      <c r="BV73" s="178"/>
      <c r="BW73" s="38"/>
      <c r="BX73" s="89"/>
      <c r="BY73" s="89"/>
      <c r="BZ73" s="89"/>
      <c r="CA73" s="89"/>
      <c r="CB73" s="89"/>
      <c r="CC73" s="89"/>
      <c r="CD73" s="40"/>
      <c r="CE73" s="108"/>
      <c r="CF73" s="108"/>
      <c r="CG73" s="108"/>
      <c r="CH73" s="108"/>
      <c r="CI73" s="108"/>
    </row>
    <row r="74" spans="1:110" ht="7.4" customHeight="1" x14ac:dyDescent="0.5">
      <c r="A74" s="42"/>
      <c r="B74" s="61"/>
      <c r="C74" s="400" t="s">
        <v>85</v>
      </c>
      <c r="D74" s="400"/>
      <c r="E74" s="400"/>
      <c r="F74" s="400"/>
      <c r="G74" s="400"/>
      <c r="H74" s="400"/>
      <c r="I74" s="400"/>
      <c r="J74" s="400"/>
      <c r="K74" s="400"/>
      <c r="L74" s="400"/>
      <c r="M74" s="400"/>
      <c r="N74" s="461" t="s">
        <v>86</v>
      </c>
      <c r="O74" s="462"/>
      <c r="P74" s="462"/>
      <c r="Q74" s="462"/>
      <c r="R74" s="462"/>
      <c r="S74" s="405" t="s">
        <v>69</v>
      </c>
      <c r="T74" s="405"/>
      <c r="U74" s="411"/>
      <c r="W74" s="61"/>
      <c r="X74" s="455"/>
      <c r="Y74" s="455"/>
      <c r="Z74" s="455"/>
      <c r="AA74" s="455"/>
      <c r="AB74" s="455"/>
      <c r="AC74" s="455"/>
      <c r="AD74" s="455"/>
      <c r="AE74" s="455"/>
      <c r="AF74" s="455"/>
      <c r="AG74" s="455"/>
      <c r="AH74" s="458"/>
      <c r="AI74" s="452" t="s">
        <v>42</v>
      </c>
      <c r="AJ74" s="453"/>
      <c r="AK74" s="453"/>
      <c r="AL74" s="453"/>
      <c r="AM74" s="453"/>
      <c r="AN74" s="453"/>
      <c r="AO74" s="453"/>
      <c r="AP74" s="454"/>
      <c r="AQ74" s="79"/>
      <c r="AR74" s="61"/>
      <c r="AS74" s="400" t="s">
        <v>140</v>
      </c>
      <c r="AT74" s="400"/>
      <c r="AU74" s="400"/>
      <c r="AV74" s="400"/>
      <c r="AW74" s="400"/>
      <c r="AX74" s="400"/>
      <c r="AY74" s="400"/>
      <c r="AZ74" s="400"/>
      <c r="BA74" s="400"/>
      <c r="BB74" s="400"/>
      <c r="BC74" s="400"/>
      <c r="BD74" s="400"/>
      <c r="BE74" s="42"/>
      <c r="BF74" s="518">
        <v>0.02</v>
      </c>
      <c r="BG74" s="518"/>
      <c r="BH74" s="450"/>
      <c r="BI74" s="41"/>
      <c r="BK74" s="61"/>
      <c r="BL74" s="457"/>
      <c r="BM74" s="457"/>
      <c r="BN74" s="457"/>
      <c r="BO74" s="457"/>
      <c r="BP74" s="457"/>
      <c r="BQ74" s="457"/>
      <c r="BR74" s="457"/>
      <c r="BS74" s="457"/>
      <c r="BT74" s="457"/>
      <c r="BU74" s="457"/>
      <c r="BV74" s="179"/>
      <c r="BW74" s="310">
        <v>1000</v>
      </c>
      <c r="BX74" s="311"/>
      <c r="BY74" s="311"/>
      <c r="BZ74" s="311"/>
      <c r="CA74" s="311"/>
      <c r="CB74" s="405" t="s">
        <v>69</v>
      </c>
      <c r="CC74" s="405"/>
      <c r="CD74" s="411"/>
      <c r="CE74" s="108"/>
      <c r="CF74" s="108"/>
      <c r="CG74" s="108"/>
      <c r="CH74" s="108"/>
      <c r="CI74" s="108"/>
    </row>
    <row r="75" spans="1:110" ht="7.4" customHeight="1" x14ac:dyDescent="0.5">
      <c r="A75" s="42"/>
      <c r="B75" s="61"/>
      <c r="C75" s="400"/>
      <c r="D75" s="400"/>
      <c r="E75" s="400"/>
      <c r="F75" s="400"/>
      <c r="G75" s="400"/>
      <c r="H75" s="400"/>
      <c r="I75" s="400"/>
      <c r="J75" s="400"/>
      <c r="K75" s="400"/>
      <c r="L75" s="400"/>
      <c r="M75" s="400"/>
      <c r="N75" s="461"/>
      <c r="O75" s="462"/>
      <c r="P75" s="462"/>
      <c r="Q75" s="462"/>
      <c r="R75" s="462"/>
      <c r="S75" s="405"/>
      <c r="T75" s="405"/>
      <c r="U75" s="411"/>
      <c r="W75" s="61"/>
      <c r="X75" s="455"/>
      <c r="Y75" s="455"/>
      <c r="Z75" s="455"/>
      <c r="AA75" s="455"/>
      <c r="AB75" s="455"/>
      <c r="AC75" s="455"/>
      <c r="AD75" s="455"/>
      <c r="AE75" s="455"/>
      <c r="AF75" s="455"/>
      <c r="AG75" s="455"/>
      <c r="AH75" s="458"/>
      <c r="AI75" s="452"/>
      <c r="AJ75" s="453"/>
      <c r="AK75" s="453"/>
      <c r="AL75" s="453"/>
      <c r="AM75" s="453"/>
      <c r="AN75" s="453"/>
      <c r="AO75" s="453"/>
      <c r="AP75" s="454"/>
      <c r="AQ75" s="79"/>
      <c r="AR75" s="61"/>
      <c r="AS75" s="400"/>
      <c r="AT75" s="400"/>
      <c r="AU75" s="400"/>
      <c r="AV75" s="400"/>
      <c r="AW75" s="400"/>
      <c r="AX75" s="400"/>
      <c r="AY75" s="400"/>
      <c r="AZ75" s="400"/>
      <c r="BA75" s="400"/>
      <c r="BB75" s="400"/>
      <c r="BC75" s="400"/>
      <c r="BD75" s="400"/>
      <c r="BE75" s="42"/>
      <c r="BF75" s="518"/>
      <c r="BG75" s="518"/>
      <c r="BH75" s="450"/>
      <c r="BI75" s="41"/>
      <c r="BK75" s="61"/>
      <c r="BL75" s="457"/>
      <c r="BM75" s="457"/>
      <c r="BN75" s="457"/>
      <c r="BO75" s="457"/>
      <c r="BP75" s="457"/>
      <c r="BQ75" s="457"/>
      <c r="BR75" s="457"/>
      <c r="BS75" s="457"/>
      <c r="BT75" s="457"/>
      <c r="BU75" s="457"/>
      <c r="BV75" s="179"/>
      <c r="BW75" s="310"/>
      <c r="BX75" s="311"/>
      <c r="BY75" s="311"/>
      <c r="BZ75" s="311"/>
      <c r="CA75" s="311"/>
      <c r="CB75" s="405"/>
      <c r="CC75" s="405"/>
      <c r="CD75" s="411"/>
    </row>
    <row r="76" spans="1:110" ht="7.4" customHeight="1" x14ac:dyDescent="0.5">
      <c r="A76" s="42"/>
      <c r="B76" s="61"/>
      <c r="C76" s="62"/>
      <c r="D76" s="62"/>
      <c r="E76" s="62"/>
      <c r="F76" s="62"/>
      <c r="G76" s="62"/>
      <c r="H76" s="62"/>
      <c r="I76" s="62"/>
      <c r="J76" s="62"/>
      <c r="K76" s="62"/>
      <c r="L76" s="62"/>
      <c r="M76" s="62"/>
      <c r="N76" s="42"/>
      <c r="U76" s="41"/>
      <c r="W76" s="61"/>
      <c r="X76" s="62"/>
      <c r="Y76" s="62"/>
      <c r="Z76" s="62"/>
      <c r="AA76" s="62"/>
      <c r="AB76" s="62"/>
      <c r="AC76" s="62"/>
      <c r="AD76" s="62"/>
      <c r="AE76" s="62"/>
      <c r="AF76" s="62"/>
      <c r="AG76" s="62"/>
      <c r="AH76" s="62"/>
      <c r="AI76" s="50"/>
      <c r="AJ76" s="51"/>
      <c r="AK76" s="51"/>
      <c r="AL76" s="51"/>
      <c r="AM76" s="97"/>
      <c r="AN76" s="97"/>
      <c r="AO76" s="97"/>
      <c r="AP76" s="98"/>
      <c r="AQ76" s="79"/>
      <c r="AR76" s="61"/>
      <c r="AS76" s="400" t="s">
        <v>141</v>
      </c>
      <c r="AT76" s="400"/>
      <c r="AU76" s="400"/>
      <c r="AV76" s="400"/>
      <c r="AW76" s="400"/>
      <c r="AX76" s="400"/>
      <c r="AY76" s="400"/>
      <c r="AZ76" s="400"/>
      <c r="BA76" s="400"/>
      <c r="BB76" s="400"/>
      <c r="BC76" s="400"/>
      <c r="BD76" s="400"/>
      <c r="BE76" s="42"/>
      <c r="BF76" s="518"/>
      <c r="BG76" s="518"/>
      <c r="BH76" s="450"/>
      <c r="BI76" s="41"/>
      <c r="BK76" s="64"/>
      <c r="BL76" s="65"/>
      <c r="BM76" s="65"/>
      <c r="BN76" s="65"/>
      <c r="BO76" s="65"/>
      <c r="BP76" s="65"/>
      <c r="BQ76" s="65"/>
      <c r="BR76" s="65"/>
      <c r="BS76" s="65"/>
      <c r="BT76" s="65"/>
      <c r="BU76" s="65"/>
      <c r="BV76" s="65"/>
      <c r="BW76" s="50"/>
      <c r="BX76" s="51"/>
      <c r="BY76" s="51"/>
      <c r="BZ76" s="51"/>
      <c r="CA76" s="97"/>
      <c r="CB76" s="97"/>
      <c r="CC76" s="97"/>
      <c r="CD76" s="52"/>
    </row>
    <row r="77" spans="1:110" ht="7.4" customHeight="1" x14ac:dyDescent="0.5">
      <c r="A77" s="42"/>
      <c r="B77" s="61"/>
      <c r="C77" s="457" t="s">
        <v>142</v>
      </c>
      <c r="D77" s="457"/>
      <c r="E77" s="457"/>
      <c r="F77" s="457"/>
      <c r="G77" s="457"/>
      <c r="H77" s="457"/>
      <c r="I77" s="457"/>
      <c r="J77" s="457"/>
      <c r="K77" s="457"/>
      <c r="L77" s="457"/>
      <c r="M77" s="214"/>
      <c r="N77" s="38"/>
      <c r="O77" s="39"/>
      <c r="P77" s="39"/>
      <c r="Q77" s="39"/>
      <c r="R77" s="89"/>
      <c r="S77" s="89"/>
      <c r="T77" s="89"/>
      <c r="U77" s="40"/>
      <c r="W77" s="61"/>
      <c r="X77" s="455" t="s">
        <v>94</v>
      </c>
      <c r="Y77" s="455"/>
      <c r="Z77" s="455"/>
      <c r="AA77" s="455"/>
      <c r="AB77" s="455"/>
      <c r="AC77" s="455"/>
      <c r="AD77" s="455"/>
      <c r="AE77" s="455"/>
      <c r="AF77" s="455"/>
      <c r="AG77" s="455"/>
      <c r="AH77" s="455"/>
      <c r="AI77" s="38"/>
      <c r="AJ77" s="39"/>
      <c r="AK77" s="39"/>
      <c r="AL77" s="39"/>
      <c r="AM77" s="89"/>
      <c r="AN77" s="89"/>
      <c r="AO77" s="89"/>
      <c r="AP77" s="176"/>
      <c r="AQ77" s="79"/>
      <c r="AR77" s="61"/>
      <c r="AS77" s="400"/>
      <c r="AT77" s="400"/>
      <c r="AU77" s="400"/>
      <c r="AV77" s="400"/>
      <c r="AW77" s="400"/>
      <c r="AX77" s="400"/>
      <c r="AY77" s="400"/>
      <c r="AZ77" s="400"/>
      <c r="BA77" s="400"/>
      <c r="BB77" s="400"/>
      <c r="BC77" s="400"/>
      <c r="BD77" s="400"/>
      <c r="BE77" s="42"/>
      <c r="BF77" s="518"/>
      <c r="BG77" s="518"/>
      <c r="BH77" s="450"/>
      <c r="BI77" s="41"/>
    </row>
    <row r="78" spans="1:110" ht="7.4" customHeight="1" x14ac:dyDescent="0.5">
      <c r="A78" s="42"/>
      <c r="B78" s="61"/>
      <c r="C78" s="457"/>
      <c r="D78" s="457"/>
      <c r="E78" s="457"/>
      <c r="F78" s="457"/>
      <c r="G78" s="457"/>
      <c r="H78" s="457"/>
      <c r="I78" s="457"/>
      <c r="J78" s="457"/>
      <c r="K78" s="457"/>
      <c r="L78" s="457"/>
      <c r="M78" s="214"/>
      <c r="N78" s="349">
        <v>50</v>
      </c>
      <c r="O78" s="318"/>
      <c r="P78" s="318"/>
      <c r="Q78" s="318"/>
      <c r="R78" s="318"/>
      <c r="S78" s="405" t="s">
        <v>69</v>
      </c>
      <c r="T78" s="405"/>
      <c r="U78" s="411"/>
      <c r="W78" s="61"/>
      <c r="X78" s="455"/>
      <c r="Y78" s="455"/>
      <c r="Z78" s="455"/>
      <c r="AA78" s="455"/>
      <c r="AB78" s="455"/>
      <c r="AC78" s="455"/>
      <c r="AD78" s="455"/>
      <c r="AE78" s="455"/>
      <c r="AF78" s="455"/>
      <c r="AG78" s="455"/>
      <c r="AH78" s="455"/>
      <c r="AI78" s="452" t="s">
        <v>143</v>
      </c>
      <c r="AJ78" s="453"/>
      <c r="AK78" s="453"/>
      <c r="AL78" s="453"/>
      <c r="AM78" s="453"/>
      <c r="AN78" s="453"/>
      <c r="AO78" s="453"/>
      <c r="AP78" s="454"/>
      <c r="AQ78" s="79"/>
      <c r="AR78" s="61"/>
      <c r="AS78" s="62"/>
      <c r="AT78" s="62"/>
      <c r="AU78" s="62"/>
      <c r="AV78" s="62"/>
      <c r="AW78" s="62"/>
      <c r="AX78" s="62"/>
      <c r="AY78" s="62"/>
      <c r="AZ78" s="62"/>
      <c r="BA78" s="62"/>
      <c r="BB78" s="62"/>
      <c r="BC78" s="62"/>
      <c r="BD78" s="62"/>
      <c r="BE78" s="50"/>
      <c r="BF78" s="51"/>
      <c r="BG78" s="51"/>
      <c r="BH78" s="52"/>
      <c r="BI78" s="41"/>
    </row>
    <row r="79" spans="1:110" ht="7.4" customHeight="1" x14ac:dyDescent="0.5">
      <c r="A79" s="42"/>
      <c r="B79" s="61"/>
      <c r="C79" s="457"/>
      <c r="D79" s="457"/>
      <c r="E79" s="457"/>
      <c r="F79" s="457"/>
      <c r="G79" s="457"/>
      <c r="H79" s="457"/>
      <c r="I79" s="457"/>
      <c r="J79" s="457"/>
      <c r="K79" s="457"/>
      <c r="L79" s="457"/>
      <c r="M79" s="214"/>
      <c r="N79" s="349"/>
      <c r="O79" s="318"/>
      <c r="P79" s="318"/>
      <c r="Q79" s="318"/>
      <c r="R79" s="318"/>
      <c r="S79" s="405"/>
      <c r="T79" s="405"/>
      <c r="U79" s="411"/>
      <c r="W79" s="61"/>
      <c r="X79" s="455"/>
      <c r="Y79" s="455"/>
      <c r="Z79" s="455"/>
      <c r="AA79" s="455"/>
      <c r="AB79" s="455"/>
      <c r="AC79" s="455"/>
      <c r="AD79" s="455"/>
      <c r="AE79" s="455"/>
      <c r="AF79" s="455"/>
      <c r="AG79" s="455"/>
      <c r="AH79" s="455"/>
      <c r="AI79" s="452"/>
      <c r="AJ79" s="453"/>
      <c r="AK79" s="453"/>
      <c r="AL79" s="453"/>
      <c r="AM79" s="453"/>
      <c r="AN79" s="453"/>
      <c r="AO79" s="453"/>
      <c r="AP79" s="454"/>
      <c r="AQ79" s="79"/>
      <c r="AR79" s="61"/>
      <c r="AS79" s="62"/>
      <c r="AT79" s="62"/>
      <c r="AU79" s="62"/>
      <c r="AV79" s="62"/>
      <c r="AW79" s="62"/>
      <c r="AX79" s="62"/>
      <c r="AY79" s="62"/>
      <c r="AZ79" s="62"/>
      <c r="BA79" s="62"/>
      <c r="BB79" s="62"/>
      <c r="BC79" s="62"/>
      <c r="BD79" s="63"/>
      <c r="BH79" s="41"/>
      <c r="BI79" s="41"/>
      <c r="BK79" s="351">
        <v>1</v>
      </c>
      <c r="BL79" s="352"/>
      <c r="BM79" s="353"/>
      <c r="BN79" s="351">
        <v>2</v>
      </c>
      <c r="BO79" s="352"/>
      <c r="BP79" s="353"/>
      <c r="BQ79" s="351">
        <v>3</v>
      </c>
      <c r="BR79" s="352"/>
      <c r="BS79" s="353"/>
      <c r="BT79" s="351">
        <v>4</v>
      </c>
      <c r="BU79" s="352"/>
      <c r="BV79" s="353"/>
      <c r="BW79" s="351">
        <v>5</v>
      </c>
      <c r="BX79" s="352"/>
      <c r="BY79" s="353"/>
      <c r="BZ79" s="351">
        <v>6</v>
      </c>
      <c r="CA79" s="352"/>
      <c r="CB79" s="353"/>
      <c r="CC79" s="351">
        <v>7</v>
      </c>
      <c r="CD79" s="352"/>
      <c r="CE79" s="353"/>
      <c r="CF79" s="351">
        <v>8</v>
      </c>
      <c r="CG79" s="352"/>
      <c r="CH79" s="353"/>
      <c r="CI79" s="351">
        <v>9</v>
      </c>
      <c r="CJ79" s="352"/>
      <c r="CK79" s="353"/>
      <c r="CL79" s="351">
        <v>10</v>
      </c>
      <c r="CM79" s="352"/>
      <c r="CN79" s="353"/>
      <c r="CO79" s="351">
        <v>11</v>
      </c>
      <c r="CP79" s="352"/>
      <c r="CQ79" s="353"/>
      <c r="CR79" s="351">
        <v>12</v>
      </c>
      <c r="CS79" s="352"/>
      <c r="CT79" s="353"/>
      <c r="CU79" s="351">
        <v>13</v>
      </c>
      <c r="CV79" s="352"/>
      <c r="CW79" s="353"/>
      <c r="CX79" s="351">
        <v>14</v>
      </c>
      <c r="CY79" s="352"/>
      <c r="CZ79" s="353"/>
      <c r="DA79" s="351">
        <v>15</v>
      </c>
      <c r="DB79" s="352"/>
      <c r="DC79" s="353"/>
      <c r="DD79" s="351">
        <v>16</v>
      </c>
      <c r="DE79" s="352"/>
      <c r="DF79" s="353"/>
    </row>
    <row r="80" spans="1:110" ht="7.4" customHeight="1" x14ac:dyDescent="0.5">
      <c r="A80" s="42"/>
      <c r="B80" s="61"/>
      <c r="C80" s="180"/>
      <c r="D80" s="180"/>
      <c r="E80" s="180"/>
      <c r="F80" s="180"/>
      <c r="G80" s="180"/>
      <c r="H80" s="180"/>
      <c r="I80" s="180"/>
      <c r="J80" s="180"/>
      <c r="K80" s="180"/>
      <c r="L80" s="180"/>
      <c r="M80" s="180"/>
      <c r="N80" s="42"/>
      <c r="O80" s="25"/>
      <c r="P80" s="25"/>
      <c r="Q80" s="25"/>
      <c r="R80" s="25"/>
      <c r="S80" s="25"/>
      <c r="T80" s="25"/>
      <c r="U80" s="44"/>
      <c r="W80" s="61"/>
      <c r="X80" s="62"/>
      <c r="Y80" s="62"/>
      <c r="Z80" s="62"/>
      <c r="AA80" s="62"/>
      <c r="AB80" s="62"/>
      <c r="AC80" s="62"/>
      <c r="AD80" s="62"/>
      <c r="AE80" s="62"/>
      <c r="AF80" s="62"/>
      <c r="AG80" s="62"/>
      <c r="AH80" s="62"/>
      <c r="AI80" s="50"/>
      <c r="AJ80" s="51"/>
      <c r="AK80" s="51"/>
      <c r="AL80" s="51"/>
      <c r="AM80" s="97"/>
      <c r="AN80" s="97"/>
      <c r="AO80" s="97"/>
      <c r="AP80" s="98"/>
      <c r="AQ80" s="79"/>
      <c r="AR80" s="61"/>
      <c r="AS80" s="400" t="s">
        <v>93</v>
      </c>
      <c r="AT80" s="400"/>
      <c r="AU80" s="400"/>
      <c r="AV80" s="400"/>
      <c r="AW80" s="400"/>
      <c r="AX80" s="400"/>
      <c r="AY80" s="400"/>
      <c r="AZ80" s="400"/>
      <c r="BA80" s="400"/>
      <c r="BB80" s="400"/>
      <c r="BC80" s="400"/>
      <c r="BD80" s="448"/>
      <c r="BF80" s="518">
        <v>0.04</v>
      </c>
      <c r="BG80" s="518"/>
      <c r="BH80" s="450"/>
      <c r="BI80" s="41"/>
      <c r="BK80" s="354"/>
      <c r="BL80" s="355"/>
      <c r="BM80" s="356"/>
      <c r="BN80" s="354"/>
      <c r="BO80" s="355"/>
      <c r="BP80" s="356"/>
      <c r="BQ80" s="354"/>
      <c r="BR80" s="355"/>
      <c r="BS80" s="356"/>
      <c r="BT80" s="354"/>
      <c r="BU80" s="355"/>
      <c r="BV80" s="356"/>
      <c r="BW80" s="354"/>
      <c r="BX80" s="355"/>
      <c r="BY80" s="356"/>
      <c r="BZ80" s="354"/>
      <c r="CA80" s="355"/>
      <c r="CB80" s="356"/>
      <c r="CC80" s="354"/>
      <c r="CD80" s="355"/>
      <c r="CE80" s="356"/>
      <c r="CF80" s="354"/>
      <c r="CG80" s="355"/>
      <c r="CH80" s="356"/>
      <c r="CI80" s="354"/>
      <c r="CJ80" s="355"/>
      <c r="CK80" s="356"/>
      <c r="CL80" s="354"/>
      <c r="CM80" s="355"/>
      <c r="CN80" s="356"/>
      <c r="CO80" s="354"/>
      <c r="CP80" s="355"/>
      <c r="CQ80" s="356"/>
      <c r="CR80" s="354"/>
      <c r="CS80" s="355"/>
      <c r="CT80" s="356"/>
      <c r="CU80" s="354"/>
      <c r="CV80" s="355"/>
      <c r="CW80" s="356"/>
      <c r="CX80" s="354"/>
      <c r="CY80" s="355"/>
      <c r="CZ80" s="356"/>
      <c r="DA80" s="354"/>
      <c r="DB80" s="355"/>
      <c r="DC80" s="356"/>
      <c r="DD80" s="354"/>
      <c r="DE80" s="355"/>
      <c r="DF80" s="356"/>
    </row>
    <row r="81" spans="1:126" ht="7.4" customHeight="1" x14ac:dyDescent="0.5">
      <c r="A81" s="42"/>
      <c r="B81" s="61"/>
      <c r="C81" s="457" t="s">
        <v>144</v>
      </c>
      <c r="D81" s="457"/>
      <c r="E81" s="457"/>
      <c r="F81" s="457"/>
      <c r="G81" s="457"/>
      <c r="H81" s="457"/>
      <c r="I81" s="457"/>
      <c r="J81" s="457"/>
      <c r="K81" s="457"/>
      <c r="L81" s="457"/>
      <c r="M81" s="214"/>
      <c r="N81" s="38"/>
      <c r="O81" s="39"/>
      <c r="P81" s="39"/>
      <c r="Q81" s="39"/>
      <c r="R81" s="89"/>
      <c r="S81" s="89"/>
      <c r="T81" s="89"/>
      <c r="U81" s="40"/>
      <c r="W81" s="61"/>
      <c r="X81" s="180"/>
      <c r="Y81" s="180"/>
      <c r="Z81" s="180"/>
      <c r="AA81" s="180"/>
      <c r="AB81" s="180"/>
      <c r="AC81" s="180"/>
      <c r="AD81" s="180"/>
      <c r="AE81" s="180"/>
      <c r="AF81" s="180"/>
      <c r="AG81" s="180"/>
      <c r="AH81" s="215"/>
      <c r="AI81" s="38"/>
      <c r="AJ81" s="39"/>
      <c r="AK81" s="39"/>
      <c r="AL81" s="39"/>
      <c r="AM81" s="89"/>
      <c r="AN81" s="89"/>
      <c r="AO81" s="89"/>
      <c r="AP81" s="176"/>
      <c r="AQ81" s="79"/>
      <c r="AR81" s="61"/>
      <c r="AS81" s="400"/>
      <c r="AT81" s="400"/>
      <c r="AU81" s="400"/>
      <c r="AV81" s="400"/>
      <c r="AW81" s="400"/>
      <c r="AX81" s="400"/>
      <c r="AY81" s="400"/>
      <c r="AZ81" s="400"/>
      <c r="BA81" s="400"/>
      <c r="BB81" s="400"/>
      <c r="BC81" s="400"/>
      <c r="BD81" s="448"/>
      <c r="BF81" s="518"/>
      <c r="BG81" s="518"/>
      <c r="BH81" s="450"/>
      <c r="BI81" s="41"/>
      <c r="BK81" s="445" cm="1">
        <f t="array" ref="BK81">IF(M54&gt;0,MIN(IF($DY$110:$ME$110*1000&gt;=BK87,$DY$110:$ME$110*1000)),0)/1000</f>
        <v>29.25</v>
      </c>
      <c r="BL81" s="446"/>
      <c r="BM81" s="447"/>
      <c r="BN81" s="445" cm="1">
        <f t="array" ref="BN81">IF(P54&gt;0,MIN(IF($DY$110:$ME$110*1000&gt;=BN87,$DY$110:$ME$110*1000)),0)/1000</f>
        <v>0</v>
      </c>
      <c r="BO81" s="446"/>
      <c r="BP81" s="447"/>
      <c r="BQ81" s="445" cm="1">
        <f t="array" ref="BQ81">IF(S54&gt;0,MIN(IF($DY$110:$ME$110*1000&gt;=BQ87,$DY$110:$ME$110*1000)),0)/1000</f>
        <v>0</v>
      </c>
      <c r="BR81" s="446"/>
      <c r="BS81" s="447"/>
      <c r="BT81" s="445" cm="1">
        <f t="array" ref="BT81">IF(V54&gt;0,MIN(IF($DY$110:$ME$110*1000&gt;=BT87,$DY$110:$ME$110*1000)),0)/1000</f>
        <v>0</v>
      </c>
      <c r="BU81" s="446"/>
      <c r="BV81" s="447"/>
      <c r="BW81" s="445" cm="1">
        <f t="array" ref="BW81">IF(Y54&gt;0,MIN(IF($DY$110:$ME$110*1000&gt;=BW87,$DY$110:$ME$110*1000)),0)/1000</f>
        <v>0</v>
      </c>
      <c r="BX81" s="446"/>
      <c r="BY81" s="447"/>
      <c r="BZ81" s="445" cm="1">
        <f t="array" ref="BZ81">IF(AB54&gt;0,MIN(IF($DY$110:$ME$110*1000&gt;=BZ87,$DY$110:$ME$110*1000)),0)/1000</f>
        <v>0</v>
      </c>
      <c r="CA81" s="446"/>
      <c r="CB81" s="447"/>
      <c r="CC81" s="445" cm="1">
        <f t="array" ref="CC81">IF(AE54&gt;0,MIN(IF($DY$110:$ME$110*1000&gt;=CC87,$DY$110:$ME$110*1000)),0)/1000</f>
        <v>0</v>
      </c>
      <c r="CD81" s="446"/>
      <c r="CE81" s="447"/>
      <c r="CF81" s="445" cm="1">
        <f t="array" ref="CF81">IF(AH54&gt;0,MIN(IF($DY$110:$ME$110*1000&gt;=CF87,$DY$110:$ME$110*1000)),0)/1000</f>
        <v>0</v>
      </c>
      <c r="CG81" s="446"/>
      <c r="CH81" s="447"/>
      <c r="CI81" s="445" cm="1">
        <f t="array" ref="CI81">IF(AK54&gt;0,MIN(IF($DY$110:$ME$110*1000&gt;=CI87,$DY$110:$ME$110*1000)),0)/1000</f>
        <v>0</v>
      </c>
      <c r="CJ81" s="446"/>
      <c r="CK81" s="447"/>
      <c r="CL81" s="445" cm="1">
        <f t="array" ref="CL81">IF(AN54&gt;0,MIN(IF($DY$110:$ME$110*1000&gt;=CL87,$DY$110:$ME$110*1000)),0)/1000</f>
        <v>0</v>
      </c>
      <c r="CM81" s="446"/>
      <c r="CN81" s="447"/>
      <c r="CO81" s="445" cm="1">
        <f t="array" ref="CO81">IF(AQ54&gt;0,MIN(IF($DY$110:$ME$110*1000&gt;=CO87,$DY$110:$ME$110*1000)),0)/1000</f>
        <v>0</v>
      </c>
      <c r="CP81" s="446"/>
      <c r="CQ81" s="447"/>
      <c r="CR81" s="445" cm="1">
        <f t="array" ref="CR81">IF(AT54&gt;0,MIN(IF($DY$110:$ME$110*1000&gt;=CR87,$DY$110:$ME$110*1000)),0)/1000</f>
        <v>0</v>
      </c>
      <c r="CS81" s="446"/>
      <c r="CT81" s="447"/>
      <c r="CU81" s="445" cm="1">
        <f t="array" ref="CU81">IF(AW54&gt;0,MIN(IF($DY$110:$ME$110*1000&gt;=CU87,$DY$110:$ME$110*1000)),0)/1000</f>
        <v>0</v>
      </c>
      <c r="CV81" s="446"/>
      <c r="CW81" s="447"/>
      <c r="CX81" s="445" cm="1">
        <f t="array" ref="CX81">IF(AZ54&gt;0,MIN(IF($DY$110:$ME$110*1000&gt;=CX87,$DY$110:$ME$110*1000)),0)/1000</f>
        <v>0</v>
      </c>
      <c r="CY81" s="446"/>
      <c r="CZ81" s="447"/>
      <c r="DA81" s="445" cm="1">
        <f t="array" ref="DA81">IF(BC54&gt;0,MIN(IF($DY$110:$ME$110*1000&gt;=DA87,$DY$110:$ME$110*1000)),0)/1000</f>
        <v>0</v>
      </c>
      <c r="DB81" s="446"/>
      <c r="DC81" s="447"/>
      <c r="DD81" s="445" cm="1">
        <f t="array" ref="DD81">IF(BF54&gt;0,MIN(IF($DY$110:$ME$110*1000&gt;=DD87,$DY$110:$ME$110*1000)),0)/1000</f>
        <v>0</v>
      </c>
      <c r="DE81" s="446"/>
      <c r="DF81" s="447"/>
      <c r="DG81" s="38"/>
      <c r="DH81" s="380" t="s">
        <v>100</v>
      </c>
      <c r="DI81" s="380"/>
      <c r="DJ81" s="380"/>
      <c r="DK81" s="380"/>
      <c r="DL81" s="380"/>
      <c r="DM81" s="380"/>
      <c r="DN81" s="380"/>
      <c r="DO81" s="380"/>
      <c r="DP81" s="380"/>
      <c r="DQ81" s="380"/>
      <c r="DR81" s="380"/>
      <c r="DS81" s="380"/>
      <c r="DT81" s="380"/>
      <c r="DU81" s="380"/>
      <c r="DV81" s="40"/>
    </row>
    <row r="82" spans="1:126" ht="7.4" customHeight="1" x14ac:dyDescent="0.5">
      <c r="A82" s="42"/>
      <c r="B82" s="61"/>
      <c r="C82" s="457"/>
      <c r="D82" s="457"/>
      <c r="E82" s="457"/>
      <c r="F82" s="457"/>
      <c r="G82" s="457"/>
      <c r="H82" s="457"/>
      <c r="I82" s="457"/>
      <c r="J82" s="457"/>
      <c r="K82" s="457"/>
      <c r="L82" s="457"/>
      <c r="M82" s="214"/>
      <c r="N82" s="349">
        <v>250</v>
      </c>
      <c r="O82" s="318"/>
      <c r="P82" s="318"/>
      <c r="Q82" s="318"/>
      <c r="R82" s="318"/>
      <c r="S82" s="405" t="s">
        <v>69</v>
      </c>
      <c r="T82" s="405"/>
      <c r="U82" s="411"/>
      <c r="W82" s="61"/>
      <c r="X82" s="400" t="s">
        <v>145</v>
      </c>
      <c r="Y82" s="400"/>
      <c r="Z82" s="400"/>
      <c r="AA82" s="400"/>
      <c r="AB82" s="400"/>
      <c r="AC82" s="400"/>
      <c r="AD82" s="400"/>
      <c r="AE82" s="400"/>
      <c r="AF82" s="400"/>
      <c r="AG82" s="400"/>
      <c r="AH82" s="448"/>
      <c r="AI82" s="452" t="s">
        <v>42</v>
      </c>
      <c r="AJ82" s="453"/>
      <c r="AK82" s="453"/>
      <c r="AL82" s="453"/>
      <c r="AM82" s="453"/>
      <c r="AN82" s="453"/>
      <c r="AO82" s="453"/>
      <c r="AP82" s="454"/>
      <c r="AQ82" s="79"/>
      <c r="AR82" s="61"/>
      <c r="AS82" s="62"/>
      <c r="AT82" s="62"/>
      <c r="AU82" s="62"/>
      <c r="AV82" s="62"/>
      <c r="AW82" s="62"/>
      <c r="AX82" s="62"/>
      <c r="AY82" s="62"/>
      <c r="AZ82" s="62"/>
      <c r="BA82" s="62"/>
      <c r="BB82" s="62"/>
      <c r="BC82" s="62"/>
      <c r="BD82" s="63"/>
      <c r="BE82" s="51"/>
      <c r="BF82" s="51"/>
      <c r="BG82" s="51"/>
      <c r="BH82" s="52"/>
      <c r="BI82" s="41"/>
      <c r="BK82" s="357"/>
      <c r="BL82" s="358"/>
      <c r="BM82" s="359"/>
      <c r="BN82" s="357"/>
      <c r="BO82" s="358"/>
      <c r="BP82" s="359"/>
      <c r="BQ82" s="357"/>
      <c r="BR82" s="358"/>
      <c r="BS82" s="359"/>
      <c r="BT82" s="357"/>
      <c r="BU82" s="358"/>
      <c r="BV82" s="359"/>
      <c r="BW82" s="357"/>
      <c r="BX82" s="358"/>
      <c r="BY82" s="359"/>
      <c r="BZ82" s="357"/>
      <c r="CA82" s="358"/>
      <c r="CB82" s="359"/>
      <c r="CC82" s="357"/>
      <c r="CD82" s="358"/>
      <c r="CE82" s="359"/>
      <c r="CF82" s="357"/>
      <c r="CG82" s="358"/>
      <c r="CH82" s="359"/>
      <c r="CI82" s="357"/>
      <c r="CJ82" s="358"/>
      <c r="CK82" s="359"/>
      <c r="CL82" s="357"/>
      <c r="CM82" s="358"/>
      <c r="CN82" s="359"/>
      <c r="CO82" s="357"/>
      <c r="CP82" s="358"/>
      <c r="CQ82" s="359"/>
      <c r="CR82" s="357"/>
      <c r="CS82" s="358"/>
      <c r="CT82" s="359"/>
      <c r="CU82" s="357"/>
      <c r="CV82" s="358"/>
      <c r="CW82" s="359"/>
      <c r="CX82" s="357"/>
      <c r="CY82" s="358"/>
      <c r="CZ82" s="359"/>
      <c r="DA82" s="357"/>
      <c r="DB82" s="358"/>
      <c r="DC82" s="359"/>
      <c r="DD82" s="357"/>
      <c r="DE82" s="358"/>
      <c r="DF82" s="359"/>
      <c r="DG82" s="42"/>
      <c r="DH82" s="382"/>
      <c r="DI82" s="382"/>
      <c r="DJ82" s="382"/>
      <c r="DK82" s="382"/>
      <c r="DL82" s="382"/>
      <c r="DM82" s="382"/>
      <c r="DN82" s="382"/>
      <c r="DO82" s="382"/>
      <c r="DP82" s="382"/>
      <c r="DQ82" s="382"/>
      <c r="DR82" s="382"/>
      <c r="DS82" s="382"/>
      <c r="DT82" s="382"/>
      <c r="DU82" s="382"/>
      <c r="DV82" s="41"/>
    </row>
    <row r="83" spans="1:126" ht="7.4" customHeight="1" x14ac:dyDescent="0.5">
      <c r="A83" s="42"/>
      <c r="B83" s="61"/>
      <c r="C83" s="457"/>
      <c r="D83" s="457"/>
      <c r="E83" s="457"/>
      <c r="F83" s="457"/>
      <c r="G83" s="457"/>
      <c r="H83" s="457"/>
      <c r="I83" s="457"/>
      <c r="J83" s="457"/>
      <c r="K83" s="457"/>
      <c r="L83" s="457"/>
      <c r="M83" s="214"/>
      <c r="N83" s="349"/>
      <c r="O83" s="318"/>
      <c r="P83" s="318"/>
      <c r="Q83" s="318"/>
      <c r="R83" s="318"/>
      <c r="S83" s="405"/>
      <c r="T83" s="405"/>
      <c r="U83" s="411"/>
      <c r="W83" s="61"/>
      <c r="X83" s="400"/>
      <c r="Y83" s="400"/>
      <c r="Z83" s="400"/>
      <c r="AA83" s="400"/>
      <c r="AB83" s="400"/>
      <c r="AC83" s="400"/>
      <c r="AD83" s="400"/>
      <c r="AE83" s="400"/>
      <c r="AF83" s="400"/>
      <c r="AG83" s="400"/>
      <c r="AH83" s="448"/>
      <c r="AI83" s="452"/>
      <c r="AJ83" s="453"/>
      <c r="AK83" s="453"/>
      <c r="AL83" s="453"/>
      <c r="AM83" s="453"/>
      <c r="AN83" s="453"/>
      <c r="AO83" s="453"/>
      <c r="AP83" s="454"/>
      <c r="AR83" s="61"/>
      <c r="AS83" s="62"/>
      <c r="AT83" s="62"/>
      <c r="AU83" s="62"/>
      <c r="AV83" s="62"/>
      <c r="AW83" s="62"/>
      <c r="AX83" s="62"/>
      <c r="AY83" s="62"/>
      <c r="AZ83" s="62"/>
      <c r="BA83" s="62"/>
      <c r="BB83" s="62"/>
      <c r="BC83" s="62"/>
      <c r="BD83" s="63"/>
      <c r="BE83" s="39"/>
      <c r="BF83" s="39"/>
      <c r="BG83" s="39"/>
      <c r="BH83" s="40"/>
      <c r="BI83" s="41"/>
      <c r="BK83" s="440">
        <f>IF(M54&gt;0,HLOOKUP(BK81,$DY$110:$ME$112,2),0)</f>
        <v>0</v>
      </c>
      <c r="BL83" s="441"/>
      <c r="BM83" s="442"/>
      <c r="BN83" s="440">
        <f>IF(P54&gt;0,HLOOKUP(BN81,$DY$110:$ME$112,2),0)</f>
        <v>0</v>
      </c>
      <c r="BO83" s="441"/>
      <c r="BP83" s="442"/>
      <c r="BQ83" s="440">
        <f>IF(S54&gt;0,HLOOKUP(BQ81,$DY$110:$ME$112,2),0)</f>
        <v>0</v>
      </c>
      <c r="BR83" s="441"/>
      <c r="BS83" s="442"/>
      <c r="BT83" s="440">
        <f>IF(V54&gt;0,HLOOKUP(BT81,$DY$110:$ME$112,2),0)</f>
        <v>0</v>
      </c>
      <c r="BU83" s="441"/>
      <c r="BV83" s="442"/>
      <c r="BW83" s="440">
        <f>IF(Y54&gt;0,HLOOKUP(BW81,$DY$110:$ME$112,2),0)</f>
        <v>0</v>
      </c>
      <c r="BX83" s="441"/>
      <c r="BY83" s="442"/>
      <c r="BZ83" s="440">
        <f>IF(AB54&gt;0,HLOOKUP(BZ81,$DY$110:$ME$112,2),0)</f>
        <v>0</v>
      </c>
      <c r="CA83" s="441"/>
      <c r="CB83" s="442"/>
      <c r="CC83" s="440">
        <f>IF(AE54&gt;0,HLOOKUP(CC81,$DY$110:$ME$112,2),0)</f>
        <v>0</v>
      </c>
      <c r="CD83" s="441"/>
      <c r="CE83" s="442"/>
      <c r="CF83" s="440">
        <f>IF(AH54&gt;0,HLOOKUP(CF81,$DY$110:$ME$112,2),0)</f>
        <v>0</v>
      </c>
      <c r="CG83" s="441"/>
      <c r="CH83" s="442"/>
      <c r="CI83" s="440">
        <f>IF(AK54&gt;0,HLOOKUP(CI81,$DY$110:$ME$112,2),0)</f>
        <v>0</v>
      </c>
      <c r="CJ83" s="441"/>
      <c r="CK83" s="442"/>
      <c r="CL83" s="440">
        <f>IF(AN54&gt;0,HLOOKUP(CL81,$DY$110:$ME$112,2),0)</f>
        <v>0</v>
      </c>
      <c r="CM83" s="441"/>
      <c r="CN83" s="442"/>
      <c r="CO83" s="440">
        <f>IF(AQ54&gt;0,HLOOKUP(CO81,$DY$110:$ME$112,2),0)</f>
        <v>0</v>
      </c>
      <c r="CP83" s="441"/>
      <c r="CQ83" s="442"/>
      <c r="CR83" s="440">
        <f>IF(AT54&gt;0,HLOOKUP(CR81,$DY$110:$ME$112,2),0)</f>
        <v>0</v>
      </c>
      <c r="CS83" s="441"/>
      <c r="CT83" s="442"/>
      <c r="CU83" s="440">
        <f>IF(AW54&gt;0,HLOOKUP(CU81,$DY$110:$ME$112,2),0)</f>
        <v>0</v>
      </c>
      <c r="CV83" s="441"/>
      <c r="CW83" s="442"/>
      <c r="CX83" s="440">
        <f>IF(AZ54&gt;0,HLOOKUP(CX81,$DY$110:$ME$112,2),0)</f>
        <v>0</v>
      </c>
      <c r="CY83" s="441"/>
      <c r="CZ83" s="442"/>
      <c r="DA83" s="440">
        <f>IF(BC54&gt;0,HLOOKUP(DA81,$DY$110:$ME$112,2),0)</f>
        <v>0</v>
      </c>
      <c r="DB83" s="441"/>
      <c r="DC83" s="442"/>
      <c r="DD83" s="440">
        <f>IF(BF54&gt;0,HLOOKUP(DD81,$DY$110:$ME$112,2),0)</f>
        <v>0</v>
      </c>
      <c r="DE83" s="441"/>
      <c r="DF83" s="442"/>
      <c r="DG83" s="42"/>
      <c r="DH83" s="443">
        <f>DX111</f>
        <v>4.7</v>
      </c>
      <c r="DI83" s="443"/>
      <c r="DJ83" s="444" t="s">
        <v>101</v>
      </c>
      <c r="DK83" s="444"/>
      <c r="DL83" s="444"/>
      <c r="DM83" s="444"/>
      <c r="DN83" s="444"/>
      <c r="DO83" s="444"/>
      <c r="DP83" s="444"/>
      <c r="DQ83" s="444"/>
      <c r="DR83" s="444"/>
      <c r="DS83" s="444"/>
      <c r="DV83" s="41"/>
    </row>
    <row r="84" spans="1:126" ht="7.4" customHeight="1" x14ac:dyDescent="0.5">
      <c r="A84" s="42"/>
      <c r="B84" s="64"/>
      <c r="C84" s="65"/>
      <c r="D84" s="65"/>
      <c r="E84" s="65"/>
      <c r="F84" s="65"/>
      <c r="G84" s="65"/>
      <c r="H84" s="65"/>
      <c r="I84" s="65"/>
      <c r="J84" s="65"/>
      <c r="K84" s="65"/>
      <c r="L84" s="65"/>
      <c r="M84" s="66"/>
      <c r="N84" s="50"/>
      <c r="O84" s="51"/>
      <c r="P84" s="51"/>
      <c r="Q84" s="51"/>
      <c r="R84" s="97"/>
      <c r="S84" s="97"/>
      <c r="T84" s="97"/>
      <c r="U84" s="98"/>
      <c r="W84" s="61"/>
      <c r="X84" s="216"/>
      <c r="Y84" s="216"/>
      <c r="Z84" s="216"/>
      <c r="AA84" s="216"/>
      <c r="AB84" s="216"/>
      <c r="AC84" s="216"/>
      <c r="AD84" s="216"/>
      <c r="AE84" s="216"/>
      <c r="AF84" s="216"/>
      <c r="AG84" s="216"/>
      <c r="AH84" s="217"/>
      <c r="AI84" s="50"/>
      <c r="AJ84" s="51"/>
      <c r="AK84" s="51"/>
      <c r="AL84" s="51"/>
      <c r="AM84" s="97"/>
      <c r="AN84" s="97"/>
      <c r="AO84" s="97"/>
      <c r="AP84" s="98"/>
      <c r="AQ84" s="79"/>
      <c r="AR84" s="61"/>
      <c r="AS84" s="400" t="s">
        <v>97</v>
      </c>
      <c r="AT84" s="400"/>
      <c r="AU84" s="400"/>
      <c r="AV84" s="400"/>
      <c r="AW84" s="400"/>
      <c r="AX84" s="400"/>
      <c r="AY84" s="400"/>
      <c r="AZ84" s="400"/>
      <c r="BA84" s="400"/>
      <c r="BB84" s="400"/>
      <c r="BC84" s="400"/>
      <c r="BD84" s="448"/>
      <c r="BF84" s="518">
        <v>0.03</v>
      </c>
      <c r="BG84" s="518"/>
      <c r="BH84" s="450"/>
      <c r="BI84" s="41"/>
      <c r="BK84" s="440"/>
      <c r="BL84" s="441"/>
      <c r="BM84" s="442"/>
      <c r="BN84" s="440"/>
      <c r="BO84" s="441"/>
      <c r="BP84" s="442"/>
      <c r="BQ84" s="440"/>
      <c r="BR84" s="441"/>
      <c r="BS84" s="442"/>
      <c r="BT84" s="440"/>
      <c r="BU84" s="441"/>
      <c r="BV84" s="442"/>
      <c r="BW84" s="440"/>
      <c r="BX84" s="441"/>
      <c r="BY84" s="442"/>
      <c r="BZ84" s="440"/>
      <c r="CA84" s="441"/>
      <c r="CB84" s="442"/>
      <c r="CC84" s="440"/>
      <c r="CD84" s="441"/>
      <c r="CE84" s="442"/>
      <c r="CF84" s="440"/>
      <c r="CG84" s="441"/>
      <c r="CH84" s="442"/>
      <c r="CI84" s="440"/>
      <c r="CJ84" s="441"/>
      <c r="CK84" s="442"/>
      <c r="CL84" s="440"/>
      <c r="CM84" s="441"/>
      <c r="CN84" s="442"/>
      <c r="CO84" s="440"/>
      <c r="CP84" s="441"/>
      <c r="CQ84" s="442"/>
      <c r="CR84" s="440"/>
      <c r="CS84" s="441"/>
      <c r="CT84" s="442"/>
      <c r="CU84" s="440"/>
      <c r="CV84" s="441"/>
      <c r="CW84" s="442"/>
      <c r="CX84" s="440"/>
      <c r="CY84" s="441"/>
      <c r="CZ84" s="442"/>
      <c r="DA84" s="440"/>
      <c r="DB84" s="441"/>
      <c r="DC84" s="442"/>
      <c r="DD84" s="440"/>
      <c r="DE84" s="441"/>
      <c r="DF84" s="442"/>
      <c r="DG84" s="42"/>
      <c r="DH84" s="443"/>
      <c r="DI84" s="443"/>
      <c r="DJ84" s="444"/>
      <c r="DK84" s="444"/>
      <c r="DL84" s="444"/>
      <c r="DM84" s="444"/>
      <c r="DN84" s="444"/>
      <c r="DO84" s="444"/>
      <c r="DP84" s="444"/>
      <c r="DQ84" s="444"/>
      <c r="DR84" s="444"/>
      <c r="DS84" s="444"/>
      <c r="DV84" s="41"/>
    </row>
    <row r="85" spans="1:126" ht="7.4" customHeight="1" x14ac:dyDescent="0.5">
      <c r="A85" s="42"/>
      <c r="C85" s="254"/>
      <c r="D85" s="254"/>
      <c r="E85" s="254"/>
      <c r="F85" s="254"/>
      <c r="G85" s="254"/>
      <c r="H85" s="254"/>
      <c r="I85" s="254"/>
      <c r="J85" s="254"/>
      <c r="K85" s="254"/>
      <c r="L85" s="254"/>
      <c r="M85" s="254"/>
      <c r="O85" s="291"/>
      <c r="P85" s="291"/>
      <c r="Q85" s="291"/>
      <c r="R85" s="291"/>
      <c r="S85" s="291"/>
      <c r="T85" s="291"/>
      <c r="U85" s="291"/>
      <c r="W85" s="61"/>
      <c r="X85" s="180"/>
      <c r="Y85" s="180"/>
      <c r="Z85" s="180"/>
      <c r="AA85" s="180"/>
      <c r="AB85" s="180"/>
      <c r="AC85" s="180"/>
      <c r="AD85" s="180"/>
      <c r="AE85" s="180"/>
      <c r="AF85" s="180"/>
      <c r="AG85" s="180"/>
      <c r="AH85" s="215"/>
      <c r="AI85" s="39"/>
      <c r="AJ85" s="39"/>
      <c r="AK85" s="39"/>
      <c r="AL85" s="39"/>
      <c r="AM85" s="89"/>
      <c r="AN85" s="89"/>
      <c r="AO85" s="89"/>
      <c r="AP85" s="176"/>
      <c r="AQ85" s="79"/>
      <c r="AR85" s="61"/>
      <c r="AS85" s="400"/>
      <c r="AT85" s="400"/>
      <c r="AU85" s="400"/>
      <c r="AV85" s="400"/>
      <c r="AW85" s="400"/>
      <c r="AX85" s="400"/>
      <c r="AY85" s="400"/>
      <c r="AZ85" s="400"/>
      <c r="BA85" s="400"/>
      <c r="BB85" s="400"/>
      <c r="BC85" s="400"/>
      <c r="BD85" s="448"/>
      <c r="BF85" s="518"/>
      <c r="BG85" s="518"/>
      <c r="BH85" s="450"/>
      <c r="BI85" s="41"/>
      <c r="BK85" s="440">
        <f>IF(M54&gt;0,HLOOKUP(BK81,$DY$110:$ME$112,3),0)</f>
        <v>5</v>
      </c>
      <c r="BL85" s="441"/>
      <c r="BM85" s="442"/>
      <c r="BN85" s="440">
        <f>IF(P54&gt;0,HLOOKUP(BN81,$DY$110:$ME$112,3),0)</f>
        <v>0</v>
      </c>
      <c r="BO85" s="441"/>
      <c r="BP85" s="442"/>
      <c r="BQ85" s="440">
        <f>IF(S54&gt;0,HLOOKUP(BQ81,$DY$110:$ME$112,3),0)</f>
        <v>0</v>
      </c>
      <c r="BR85" s="441"/>
      <c r="BS85" s="442"/>
      <c r="BT85" s="440">
        <f>IF(V54&gt;0,HLOOKUP(BT81,$DY$110:$ME$112,3),0)</f>
        <v>0</v>
      </c>
      <c r="BU85" s="441"/>
      <c r="BV85" s="442"/>
      <c r="BW85" s="440">
        <f>IF(Y54&gt;0,HLOOKUP(BW81,$DY$110:$ME$112,3),0)</f>
        <v>0</v>
      </c>
      <c r="BX85" s="441"/>
      <c r="BY85" s="442"/>
      <c r="BZ85" s="440">
        <f>IF(AB54&gt;0,HLOOKUP(BZ81,$DY$110:$ME$112,3),0)</f>
        <v>0</v>
      </c>
      <c r="CA85" s="441"/>
      <c r="CB85" s="442"/>
      <c r="CC85" s="440">
        <f>IF(AE54&gt;0,HLOOKUP(CC81,$DY$110:$ME$112,3),0)</f>
        <v>0</v>
      </c>
      <c r="CD85" s="441"/>
      <c r="CE85" s="442"/>
      <c r="CF85" s="440">
        <f>IF(AH54&gt;0,HLOOKUP(CF81,$DY$110:$ME$112,3),0)</f>
        <v>0</v>
      </c>
      <c r="CG85" s="441"/>
      <c r="CH85" s="442"/>
      <c r="CI85" s="440">
        <f>IF(AK54&gt;0,HLOOKUP(CI81,$DY$110:$ME$112,3),0)</f>
        <v>0</v>
      </c>
      <c r="CJ85" s="441"/>
      <c r="CK85" s="442"/>
      <c r="CL85" s="440">
        <f>IF(AN54&gt;0,HLOOKUP(CL81,$DY$110:$ME$112,3),0)</f>
        <v>0</v>
      </c>
      <c r="CM85" s="441"/>
      <c r="CN85" s="442"/>
      <c r="CO85" s="440">
        <f>IF(AQ54&gt;0,HLOOKUP(CO81,$DY$110:$ME$112,3),0)</f>
        <v>0</v>
      </c>
      <c r="CP85" s="441"/>
      <c r="CQ85" s="442"/>
      <c r="CR85" s="440">
        <f>IF(AT54&gt;0,HLOOKUP(CR81,$DY$110:$ME$112,3),0)</f>
        <v>0</v>
      </c>
      <c r="CS85" s="441"/>
      <c r="CT85" s="442"/>
      <c r="CU85" s="440">
        <f>IF(AW54&gt;0,HLOOKUP(CU81,$DY$110:$ME$112,3),0)</f>
        <v>0</v>
      </c>
      <c r="CV85" s="441"/>
      <c r="CW85" s="442"/>
      <c r="CX85" s="440">
        <f>IF(AZ54&gt;0,HLOOKUP(CX81,$DY$110:$ME$112,3),0)</f>
        <v>0</v>
      </c>
      <c r="CY85" s="441"/>
      <c r="CZ85" s="442"/>
      <c r="DA85" s="440">
        <f>IF(BC54&gt;0,HLOOKUP(DA81,$DY$110:$ME$112,3),0)</f>
        <v>0</v>
      </c>
      <c r="DB85" s="441"/>
      <c r="DC85" s="442"/>
      <c r="DD85" s="440">
        <f>IF(BF54&gt;0,HLOOKUP(DD81,$DY$110:$ME$112,3),0)</f>
        <v>0</v>
      </c>
      <c r="DE85" s="441"/>
      <c r="DF85" s="442"/>
      <c r="DG85" s="42"/>
      <c r="DH85" s="443">
        <f>DX112</f>
        <v>5.85</v>
      </c>
      <c r="DI85" s="443"/>
      <c r="DJ85" s="444" t="s">
        <v>101</v>
      </c>
      <c r="DK85" s="444"/>
      <c r="DL85" s="444"/>
      <c r="DM85" s="444"/>
      <c r="DN85" s="444"/>
      <c r="DO85" s="444"/>
      <c r="DP85" s="444"/>
      <c r="DQ85" s="444"/>
      <c r="DR85" s="444"/>
      <c r="DS85" s="444"/>
      <c r="DV85" s="41"/>
    </row>
    <row r="86" spans="1:126" ht="7.4" customHeight="1" x14ac:dyDescent="0.5">
      <c r="A86" s="42"/>
      <c r="C86" s="254"/>
      <c r="D86" s="254"/>
      <c r="E86" s="254"/>
      <c r="F86" s="254"/>
      <c r="G86" s="254"/>
      <c r="H86" s="254"/>
      <c r="I86" s="254"/>
      <c r="J86" s="254"/>
      <c r="K86" s="254"/>
      <c r="L86" s="254"/>
      <c r="M86" s="254"/>
      <c r="N86" s="295"/>
      <c r="O86" s="295"/>
      <c r="P86" s="295"/>
      <c r="Q86" s="295"/>
      <c r="R86" s="295"/>
      <c r="S86" s="295"/>
      <c r="T86" s="295"/>
      <c r="U86" s="295"/>
      <c r="W86" s="61"/>
      <c r="X86" s="476" t="s">
        <v>148</v>
      </c>
      <c r="Y86" s="476"/>
      <c r="Z86" s="476"/>
      <c r="AA86" s="476"/>
      <c r="AB86" s="476"/>
      <c r="AC86" s="476"/>
      <c r="AD86" s="476"/>
      <c r="AE86" s="476"/>
      <c r="AF86" s="476"/>
      <c r="AG86" s="476"/>
      <c r="AH86" s="477"/>
      <c r="AI86" s="452" t="s">
        <v>42</v>
      </c>
      <c r="AJ86" s="453"/>
      <c r="AK86" s="453"/>
      <c r="AL86" s="453"/>
      <c r="AM86" s="453"/>
      <c r="AN86" s="453"/>
      <c r="AO86" s="453"/>
      <c r="AP86" s="454"/>
      <c r="AQ86" s="79"/>
      <c r="AR86" s="64"/>
      <c r="AS86" s="65"/>
      <c r="AT86" s="65"/>
      <c r="AU86" s="65"/>
      <c r="AV86" s="65"/>
      <c r="AW86" s="65"/>
      <c r="AX86" s="65"/>
      <c r="AY86" s="65"/>
      <c r="AZ86" s="65"/>
      <c r="BA86" s="65"/>
      <c r="BB86" s="65"/>
      <c r="BC86" s="65"/>
      <c r="BD86" s="66"/>
      <c r="BE86" s="51"/>
      <c r="BF86" s="51"/>
      <c r="BG86" s="51"/>
      <c r="BH86" s="52"/>
      <c r="BI86" s="41"/>
      <c r="BK86" s="440"/>
      <c r="BL86" s="441"/>
      <c r="BM86" s="442"/>
      <c r="BN86" s="440"/>
      <c r="BO86" s="441"/>
      <c r="BP86" s="442"/>
      <c r="BQ86" s="440"/>
      <c r="BR86" s="441"/>
      <c r="BS86" s="442"/>
      <c r="BT86" s="440"/>
      <c r="BU86" s="441"/>
      <c r="BV86" s="442"/>
      <c r="BW86" s="440"/>
      <c r="BX86" s="441"/>
      <c r="BY86" s="442"/>
      <c r="BZ86" s="440"/>
      <c r="CA86" s="441"/>
      <c r="CB86" s="442"/>
      <c r="CC86" s="440"/>
      <c r="CD86" s="441"/>
      <c r="CE86" s="442"/>
      <c r="CF86" s="440"/>
      <c r="CG86" s="441"/>
      <c r="CH86" s="442"/>
      <c r="CI86" s="440"/>
      <c r="CJ86" s="441"/>
      <c r="CK86" s="442"/>
      <c r="CL86" s="440"/>
      <c r="CM86" s="441"/>
      <c r="CN86" s="442"/>
      <c r="CO86" s="440"/>
      <c r="CP86" s="441"/>
      <c r="CQ86" s="442"/>
      <c r="CR86" s="440"/>
      <c r="CS86" s="441"/>
      <c r="CT86" s="442"/>
      <c r="CU86" s="440"/>
      <c r="CV86" s="441"/>
      <c r="CW86" s="442"/>
      <c r="CX86" s="440"/>
      <c r="CY86" s="441"/>
      <c r="CZ86" s="442"/>
      <c r="DA86" s="440"/>
      <c r="DB86" s="441"/>
      <c r="DC86" s="442"/>
      <c r="DD86" s="440"/>
      <c r="DE86" s="441"/>
      <c r="DF86" s="442"/>
      <c r="DG86" s="42"/>
      <c r="DH86" s="443"/>
      <c r="DI86" s="443"/>
      <c r="DJ86" s="444"/>
      <c r="DK86" s="444"/>
      <c r="DL86" s="444"/>
      <c r="DM86" s="444"/>
      <c r="DN86" s="444"/>
      <c r="DO86" s="444"/>
      <c r="DP86" s="444"/>
      <c r="DQ86" s="444"/>
      <c r="DR86" s="444"/>
      <c r="DS86" s="444"/>
      <c r="DV86" s="41"/>
    </row>
    <row r="87" spans="1:126" ht="7.4" customHeight="1" x14ac:dyDescent="0.5">
      <c r="A87" s="42"/>
      <c r="C87" s="254"/>
      <c r="D87" s="254"/>
      <c r="E87" s="254"/>
      <c r="F87" s="254"/>
      <c r="G87" s="254"/>
      <c r="H87" s="254"/>
      <c r="I87" s="254"/>
      <c r="J87" s="254"/>
      <c r="K87" s="254"/>
      <c r="L87" s="254"/>
      <c r="M87" s="254"/>
      <c r="N87" s="295"/>
      <c r="O87" s="295"/>
      <c r="P87" s="295"/>
      <c r="Q87" s="295"/>
      <c r="R87" s="295"/>
      <c r="S87" s="295"/>
      <c r="T87" s="295"/>
      <c r="U87" s="295"/>
      <c r="V87" s="79"/>
      <c r="W87" s="61"/>
      <c r="X87" s="476"/>
      <c r="Y87" s="476"/>
      <c r="Z87" s="476"/>
      <c r="AA87" s="476"/>
      <c r="AB87" s="476"/>
      <c r="AC87" s="476"/>
      <c r="AD87" s="476"/>
      <c r="AE87" s="476"/>
      <c r="AF87" s="476"/>
      <c r="AG87" s="476"/>
      <c r="AH87" s="477"/>
      <c r="AI87" s="452"/>
      <c r="AJ87" s="453"/>
      <c r="AK87" s="453"/>
      <c r="AL87" s="453"/>
      <c r="AM87" s="453"/>
      <c r="AN87" s="453"/>
      <c r="AO87" s="453"/>
      <c r="AP87" s="454"/>
      <c r="AQ87" s="79"/>
      <c r="AR87" s="79"/>
      <c r="AS87" s="79"/>
      <c r="AT87" s="79"/>
      <c r="AU87" s="79"/>
      <c r="AV87" s="79"/>
      <c r="AW87" s="79"/>
      <c r="AX87" s="79"/>
      <c r="AY87" s="79"/>
      <c r="AZ87" s="79"/>
      <c r="BA87" s="79"/>
      <c r="BB87" s="79"/>
      <c r="BC87" s="79"/>
      <c r="BD87" s="79"/>
      <c r="BE87" s="79"/>
      <c r="BF87" s="79"/>
      <c r="BG87" s="79"/>
      <c r="BH87" s="79"/>
      <c r="BI87" s="41"/>
      <c r="BK87" s="430">
        <f>IF(M58&gt;0,$AE$45*M58+20*(M58-1)+$N$78*2,0)</f>
        <v>28930</v>
      </c>
      <c r="BL87" s="431"/>
      <c r="BM87" s="432"/>
      <c r="BN87" s="430">
        <f>IF(P58&gt;0,$AE$45*P58+20*(P58-1)+$N$78*2,0)</f>
        <v>0</v>
      </c>
      <c r="BO87" s="431"/>
      <c r="BP87" s="432"/>
      <c r="BQ87" s="430">
        <f>IF(S58&gt;0,$AE$45*S58+20*(S58-1)+$N$78*2,0)</f>
        <v>0</v>
      </c>
      <c r="BR87" s="431"/>
      <c r="BS87" s="432"/>
      <c r="BT87" s="430">
        <f>IF(V58&gt;0,$AE$45*V58+20*(V58-1)+$N$78*2,0)</f>
        <v>0</v>
      </c>
      <c r="BU87" s="431"/>
      <c r="BV87" s="432"/>
      <c r="BW87" s="430">
        <f>IF(Y58&gt;0,$AE$45*Y58+20*(Y58-1)+$N$78*2,0)</f>
        <v>0</v>
      </c>
      <c r="BX87" s="431"/>
      <c r="BY87" s="432"/>
      <c r="BZ87" s="430">
        <f>IF(AB58&gt;0,$AE$45*AB58+20*(AB58-1)+$N$78*2,0)</f>
        <v>0</v>
      </c>
      <c r="CA87" s="431"/>
      <c r="CB87" s="432"/>
      <c r="CC87" s="430">
        <f>IF(AE58&gt;0,$AE$45*AE58+20*(AE58-1)+$N$78*2,0)</f>
        <v>0</v>
      </c>
      <c r="CD87" s="431"/>
      <c r="CE87" s="432"/>
      <c r="CF87" s="430">
        <f>IF(AH58&gt;0,$AE$45*AH58+20*(AH58-1)+$N$78*2,0)</f>
        <v>0</v>
      </c>
      <c r="CG87" s="431"/>
      <c r="CH87" s="432"/>
      <c r="CI87" s="430">
        <f>IF(AK58&gt;0,$AE$45*AK58+20*(AK58-1)+$N$78*2,0)</f>
        <v>0</v>
      </c>
      <c r="CJ87" s="431"/>
      <c r="CK87" s="432"/>
      <c r="CL87" s="430">
        <f>IF(AN58&gt;0,$AE$45*AN58+20*(AN58-1)+$N$78*2,0)</f>
        <v>0</v>
      </c>
      <c r="CM87" s="431"/>
      <c r="CN87" s="432"/>
      <c r="CO87" s="430">
        <f>IF(AQ58&gt;0,$AE$45*AQ58+20*(AQ58-1)+$N$78*2,0)</f>
        <v>0</v>
      </c>
      <c r="CP87" s="431"/>
      <c r="CQ87" s="432"/>
      <c r="CR87" s="430">
        <f>IF(AT58&gt;0,$AE$45*AT58+20*(AT58-1)+$N$78*2,0)</f>
        <v>0</v>
      </c>
      <c r="CS87" s="431"/>
      <c r="CT87" s="432"/>
      <c r="CU87" s="430">
        <f>IF(AW58&gt;0,$AE$45*AW58+20*(AW58-1)+$N$78*2,0)</f>
        <v>0</v>
      </c>
      <c r="CV87" s="431"/>
      <c r="CW87" s="432"/>
      <c r="CX87" s="430">
        <f>IF(AZ58&gt;0,$AE$45*AZ58+20*(AZ58-1)+$N$78*2,0)</f>
        <v>0</v>
      </c>
      <c r="CY87" s="431"/>
      <c r="CZ87" s="432"/>
      <c r="DA87" s="430">
        <f>IF(BC58&gt;0,$AE$45*BC58+20*(BC58-1)+$N$78*2,0)</f>
        <v>0</v>
      </c>
      <c r="DB87" s="431"/>
      <c r="DC87" s="432"/>
      <c r="DD87" s="430">
        <f>IF(BF58&gt;0,$AE$45*BF58+20*(BF58-1)+$N$78*2,0)</f>
        <v>0</v>
      </c>
      <c r="DE87" s="431"/>
      <c r="DF87" s="432"/>
      <c r="DG87" s="42"/>
      <c r="DH87" s="382" t="s">
        <v>102</v>
      </c>
      <c r="DI87" s="382"/>
      <c r="DJ87" s="382"/>
      <c r="DK87" s="382"/>
      <c r="DL87" s="382"/>
      <c r="DM87" s="382"/>
      <c r="DN87" s="382"/>
      <c r="DO87" s="382"/>
      <c r="DP87" s="382"/>
      <c r="DQ87" s="382"/>
      <c r="DR87" s="382"/>
      <c r="DS87" s="382"/>
      <c r="DT87" s="382"/>
      <c r="DU87" s="382"/>
      <c r="DV87" s="41"/>
    </row>
    <row r="88" spans="1:126" ht="7.4" customHeight="1" x14ac:dyDescent="0.5">
      <c r="A88" s="42"/>
      <c r="V88" s="79"/>
      <c r="W88" s="64"/>
      <c r="X88" s="218"/>
      <c r="Y88" s="218"/>
      <c r="Z88" s="218"/>
      <c r="AA88" s="218"/>
      <c r="AB88" s="218"/>
      <c r="AC88" s="218"/>
      <c r="AD88" s="218"/>
      <c r="AE88" s="218"/>
      <c r="AF88" s="218"/>
      <c r="AG88" s="218"/>
      <c r="AH88" s="219"/>
      <c r="AI88" s="50"/>
      <c r="AJ88" s="51"/>
      <c r="AK88" s="51"/>
      <c r="AL88" s="51"/>
      <c r="AM88" s="97"/>
      <c r="AN88" s="97"/>
      <c r="AO88" s="97"/>
      <c r="AP88" s="98"/>
      <c r="AQ88" s="79"/>
      <c r="AR88" s="79"/>
      <c r="AS88" s="79"/>
      <c r="AT88" s="79"/>
      <c r="AU88" s="79"/>
      <c r="AV88" s="79"/>
      <c r="AW88" s="79"/>
      <c r="AX88" s="79"/>
      <c r="AY88" s="79"/>
      <c r="AZ88" s="79"/>
      <c r="BA88" s="79"/>
      <c r="BB88" s="79"/>
      <c r="BC88" s="79"/>
      <c r="BD88" s="79"/>
      <c r="BE88" s="79"/>
      <c r="BF88" s="79"/>
      <c r="BG88" s="79"/>
      <c r="BH88" s="79"/>
      <c r="BI88" s="41"/>
      <c r="BK88" s="430"/>
      <c r="BL88" s="431"/>
      <c r="BM88" s="432"/>
      <c r="BN88" s="430"/>
      <c r="BO88" s="431"/>
      <c r="BP88" s="432"/>
      <c r="BQ88" s="430"/>
      <c r="BR88" s="431"/>
      <c r="BS88" s="432"/>
      <c r="BT88" s="430"/>
      <c r="BU88" s="431"/>
      <c r="BV88" s="432"/>
      <c r="BW88" s="430"/>
      <c r="BX88" s="431"/>
      <c r="BY88" s="432"/>
      <c r="BZ88" s="430"/>
      <c r="CA88" s="431"/>
      <c r="CB88" s="432"/>
      <c r="CC88" s="430"/>
      <c r="CD88" s="431"/>
      <c r="CE88" s="432"/>
      <c r="CF88" s="430"/>
      <c r="CG88" s="431"/>
      <c r="CH88" s="432"/>
      <c r="CI88" s="430"/>
      <c r="CJ88" s="431"/>
      <c r="CK88" s="432"/>
      <c r="CL88" s="430"/>
      <c r="CM88" s="431"/>
      <c r="CN88" s="432"/>
      <c r="CO88" s="430"/>
      <c r="CP88" s="431"/>
      <c r="CQ88" s="432"/>
      <c r="CR88" s="430"/>
      <c r="CS88" s="431"/>
      <c r="CT88" s="432"/>
      <c r="CU88" s="430"/>
      <c r="CV88" s="431"/>
      <c r="CW88" s="432"/>
      <c r="CX88" s="430"/>
      <c r="CY88" s="431"/>
      <c r="CZ88" s="432"/>
      <c r="DA88" s="430"/>
      <c r="DB88" s="431"/>
      <c r="DC88" s="432"/>
      <c r="DD88" s="430"/>
      <c r="DE88" s="431"/>
      <c r="DF88" s="432"/>
      <c r="DG88" s="42"/>
      <c r="DH88" s="382"/>
      <c r="DI88" s="382"/>
      <c r="DJ88" s="382"/>
      <c r="DK88" s="382"/>
      <c r="DL88" s="382"/>
      <c r="DM88" s="382"/>
      <c r="DN88" s="382"/>
      <c r="DO88" s="382"/>
      <c r="DP88" s="382"/>
      <c r="DQ88" s="382"/>
      <c r="DR88" s="382"/>
      <c r="DS88" s="382"/>
      <c r="DT88" s="382"/>
      <c r="DU88" s="382"/>
      <c r="DV88" s="41"/>
    </row>
    <row r="89" spans="1:126" ht="7.4" customHeight="1" x14ac:dyDescent="0.5">
      <c r="A89" s="233"/>
      <c r="B89" s="232"/>
      <c r="C89" s="232"/>
      <c r="D89" s="232"/>
      <c r="E89" s="232"/>
      <c r="F89" s="232"/>
      <c r="G89" s="232"/>
      <c r="H89" s="232"/>
      <c r="I89" s="232"/>
      <c r="J89" s="232"/>
      <c r="K89" s="232"/>
      <c r="L89" s="232"/>
      <c r="M89" s="232"/>
      <c r="N89" s="232"/>
      <c r="O89" s="232"/>
      <c r="P89" s="232"/>
      <c r="Q89" s="232"/>
      <c r="R89" s="232"/>
      <c r="S89" s="232"/>
      <c r="T89" s="232"/>
      <c r="U89" s="232"/>
      <c r="V89" s="232"/>
      <c r="W89" s="232"/>
      <c r="X89" s="232"/>
      <c r="Y89" s="232"/>
      <c r="Z89" s="232"/>
      <c r="AA89" s="232"/>
      <c r="AB89" s="232"/>
      <c r="AC89" s="232"/>
      <c r="AD89" s="232"/>
      <c r="AE89" s="232"/>
      <c r="AF89" s="232"/>
      <c r="AG89" s="232"/>
      <c r="AH89" s="232"/>
      <c r="AI89" s="232"/>
      <c r="AJ89" s="232"/>
      <c r="AK89" s="232"/>
      <c r="AL89" s="232"/>
      <c r="AM89" s="232"/>
      <c r="AN89" s="232"/>
      <c r="AO89" s="232"/>
      <c r="AP89" s="232"/>
      <c r="AQ89" s="232"/>
      <c r="AR89" s="232"/>
      <c r="AS89" s="232"/>
      <c r="AT89" s="232"/>
      <c r="AU89" s="232"/>
      <c r="AV89" s="232"/>
      <c r="AW89" s="232"/>
      <c r="AX89" s="232"/>
      <c r="AY89" s="232"/>
      <c r="AZ89" s="232"/>
      <c r="BA89" s="232"/>
      <c r="BB89" s="232"/>
      <c r="BC89" s="232"/>
      <c r="BD89" s="232"/>
      <c r="BE89" s="232"/>
      <c r="BF89" s="232"/>
      <c r="BG89" s="232"/>
      <c r="BH89" s="232"/>
      <c r="BI89" s="231"/>
      <c r="BK89" s="430">
        <f>IF($N$74="Combination",0,IF(M58&gt;0,(($AE$45*M58+20*(M58-1)+$N$78*2)/$N$74-ROUNDDOWN(($AE$45*M58+20*(M58-1)+$N$78*2)/$N$74,0))*$N$74,0))</f>
        <v>0</v>
      </c>
      <c r="BL89" s="431"/>
      <c r="BM89" s="432"/>
      <c r="BN89" s="430">
        <f>IF($N$74="Combination",0,IF(P58&gt;0,(($AE$45*P58+20*(P58-1)+$N$78*2)/$N$74-ROUNDDOWN(($AE$45*P58+20*(P58-1)+$N$78*2)/$N$74,0))*$N$74,0))</f>
        <v>0</v>
      </c>
      <c r="BO89" s="431"/>
      <c r="BP89" s="432"/>
      <c r="BQ89" s="430">
        <f>IF($N$74="Combination",0,IF(S58&gt;0,(($AE$45*S58+20*(S58-1)+$N$78*2)/$N$74-ROUNDDOWN(($AE$45*S58+20*(S58-1)+$N$78*2)/$N$74,0))*$N$74,0))</f>
        <v>0</v>
      </c>
      <c r="BR89" s="431"/>
      <c r="BS89" s="432"/>
      <c r="BT89" s="430">
        <f>IF($N$74="Combination",0,IF(V58&gt;0,(($AE$45*V58+20*(V58-1)+$N$78*2)/$N$74-ROUNDDOWN(($AE$45*V58+20*(V58-1)+$N$78*2)/$N$74,0))*$N$74,0))</f>
        <v>0</v>
      </c>
      <c r="BU89" s="431"/>
      <c r="BV89" s="432"/>
      <c r="BW89" s="430">
        <f>IF($N$74="Combination",0,IF(Y58&gt;0,(($AE$45*Y58+20*(Y58-1)+$N$78*2)/$N$74-ROUNDDOWN(($AE$45*Y58+20*(Y58-1)+$N$78*2)/$N$74,0))*$N$74,0))</f>
        <v>0</v>
      </c>
      <c r="BX89" s="431"/>
      <c r="BY89" s="432"/>
      <c r="BZ89" s="430">
        <f>IF($N$74="Combination",0,IF(AB58&gt;0,(($AE$45*AB58+20*(AB58-1)+$N$78*2)/$N$74-ROUNDDOWN(($AE$45*AB58+20*(AB58-1)+$N$78*2)/$N$74,0))*$N$74,0))</f>
        <v>0</v>
      </c>
      <c r="CA89" s="431"/>
      <c r="CB89" s="432"/>
      <c r="CC89" s="430">
        <f>IF($N$74="Combination",0,IF(AE58&gt;0,(($AE$45*AE58+20*(AE58-1)+$N$78*2)/$N$74-ROUNDDOWN(($AE$45*AE58+20*(AE58-1)+$N$78*2)/$N$74,0))*$N$74,0))</f>
        <v>0</v>
      </c>
      <c r="CD89" s="431"/>
      <c r="CE89" s="432"/>
      <c r="CF89" s="430">
        <f>IF($N$74="Combination",0,IF(AH58&gt;0,(($AE$45*AH58+20*(AH58-1)+$N$78*2)/$N$74-ROUNDDOWN(($AE$45*AH58+20*(AH58-1)+$N$78*2)/$N$74,0))*$N$74,0))</f>
        <v>0</v>
      </c>
      <c r="CG89" s="431"/>
      <c r="CH89" s="432"/>
      <c r="CI89" s="430">
        <f>IF($N$74="Combination",0,IF(AK58&gt;0,(($AE$45*AK58+20*(AK58-1)+$N$78*2)/$N$74-ROUNDDOWN(($AE$45*AK58+20*(AK58-1)+$N$78*2)/$N$74,0))*$N$74,0))</f>
        <v>0</v>
      </c>
      <c r="CJ89" s="431"/>
      <c r="CK89" s="432"/>
      <c r="CL89" s="430">
        <f>IF($N$74="Combination",0,IF(AN58&gt;0,(($AE$45*AN58+20*(AN58-1)+$N$78*2)/$N$74-ROUNDDOWN(($AE$45*AN58+20*(AN58-1)+$N$78*2)/$N$74,0))*$N$74,0))</f>
        <v>0</v>
      </c>
      <c r="CM89" s="431"/>
      <c r="CN89" s="432"/>
      <c r="CO89" s="430">
        <f>IF($N$74="Combination",0,IF(AQ58&gt;0,(($AE$45*AQ58+20*(AQ58-1)+$N$78*2)/$N$74-ROUNDDOWN(($AE$45*AQ58+20*(AQ58-1)+$N$78*2)/$N$74,0))*$N$74,0))</f>
        <v>0</v>
      </c>
      <c r="CP89" s="431"/>
      <c r="CQ89" s="432"/>
      <c r="CR89" s="430">
        <f>IF($N$74="Combination",0,IF(AT58&gt;0,(($AE$45*AT58+20*(AT58-1)+$N$78*2)/$N$74-ROUNDDOWN(($AE$45*AT58+20*(AT58-1)+$N$78*2)/$N$74,0))*$N$74,0))</f>
        <v>0</v>
      </c>
      <c r="CS89" s="431"/>
      <c r="CT89" s="432"/>
      <c r="CU89" s="430">
        <f>IF($N$74="Combination",0,IF(AW58&gt;0,(($AE$45*AW58+20*(AW58-1)+$N$78*2)/$N$74-ROUNDDOWN(($AE$45*AW58+20*(AW58-1)+$N$78*2)/$N$74,0))*$N$74,0))</f>
        <v>0</v>
      </c>
      <c r="CV89" s="431"/>
      <c r="CW89" s="432"/>
      <c r="CX89" s="430">
        <f>IF($N$74="Combination",0,IF(AZ58&gt;0,(($AE$45*AZ58+20*(AZ58-1)+$N$78*2)/$N$74-ROUNDDOWN(($AE$45*AZ58+20*(AZ58-1)+$N$78*2)/$N$74,0))*$N$74,0))</f>
        <v>0</v>
      </c>
      <c r="CY89" s="431"/>
      <c r="CZ89" s="432"/>
      <c r="DA89" s="430">
        <f>IF($N$74="Combination",0,IF(BC58&gt;0,(($AE$45*BC58+20*(BC58-1)+$N$78*2)/$N$74-ROUNDDOWN(($AE$45*BC58+20*(BC58-1)+$N$78*2)/$N$74,0))*$N$74,0))</f>
        <v>0</v>
      </c>
      <c r="DB89" s="431"/>
      <c r="DC89" s="432"/>
      <c r="DD89" s="430">
        <f>IF($N$74="Combination",0,IF(BF58&gt;0,(($AE$45*BF58+20*(BF58-1)+$N$78*2)/$N$74-ROUNDDOWN(($AE$45*BF58+20*(BF58-1)+$N$78*2)/$N$74,0))*$N$74,0))</f>
        <v>0</v>
      </c>
      <c r="DE89" s="431"/>
      <c r="DF89" s="432"/>
      <c r="DG89" s="42"/>
      <c r="DH89" s="382" t="s">
        <v>103</v>
      </c>
      <c r="DI89" s="382"/>
      <c r="DJ89" s="382"/>
      <c r="DK89" s="382"/>
      <c r="DL89" s="382"/>
      <c r="DM89" s="382"/>
      <c r="DN89" s="382"/>
      <c r="DO89" s="382"/>
      <c r="DP89" s="382"/>
      <c r="DQ89" s="382"/>
      <c r="DR89" s="382"/>
      <c r="DS89" s="382"/>
      <c r="DV89" s="41"/>
    </row>
    <row r="90" spans="1:126" ht="7.4" customHeight="1" x14ac:dyDescent="0.5">
      <c r="A90" s="230"/>
      <c r="B90" s="230"/>
      <c r="C90" s="230"/>
      <c r="D90" s="230"/>
      <c r="E90" s="230"/>
      <c r="F90" s="230"/>
      <c r="G90" s="230"/>
      <c r="H90" s="230"/>
      <c r="I90" s="230"/>
      <c r="J90" s="230"/>
      <c r="K90" s="230"/>
      <c r="L90" s="230"/>
      <c r="M90" s="230"/>
      <c r="N90" s="230"/>
      <c r="O90" s="230"/>
      <c r="P90" s="230"/>
      <c r="Q90" s="230"/>
      <c r="R90" s="230"/>
      <c r="S90" s="230"/>
      <c r="T90" s="230"/>
      <c r="U90" s="230"/>
      <c r="V90" s="230"/>
      <c r="W90" s="230"/>
      <c r="X90" s="230"/>
      <c r="Y90" s="230"/>
      <c r="Z90" s="230"/>
      <c r="AA90" s="230"/>
      <c r="AB90" s="230"/>
      <c r="AC90" s="230"/>
      <c r="AD90" s="230"/>
      <c r="AE90" s="230"/>
      <c r="AF90" s="230"/>
      <c r="AG90" s="230"/>
      <c r="AH90" s="230"/>
      <c r="AI90" s="230"/>
      <c r="AJ90" s="230"/>
      <c r="AK90" s="230"/>
      <c r="AL90" s="230"/>
      <c r="AM90" s="230"/>
      <c r="AN90" s="230"/>
      <c r="AO90" s="230"/>
      <c r="AP90" s="230"/>
      <c r="AQ90" s="230"/>
      <c r="AR90" s="230"/>
      <c r="AS90" s="230"/>
      <c r="AT90" s="230"/>
      <c r="AU90" s="230"/>
      <c r="AV90" s="230"/>
      <c r="AW90" s="230"/>
      <c r="AX90" s="230"/>
      <c r="AY90" s="230"/>
      <c r="AZ90" s="230"/>
      <c r="BA90" s="230"/>
      <c r="BB90" s="230"/>
      <c r="BC90" s="230"/>
      <c r="BD90" s="230"/>
      <c r="BE90" s="230"/>
      <c r="BF90" s="230"/>
      <c r="BG90" s="230"/>
      <c r="BH90" s="230"/>
      <c r="BI90" s="230"/>
      <c r="BK90" s="430"/>
      <c r="BL90" s="431"/>
      <c r="BM90" s="432"/>
      <c r="BN90" s="430"/>
      <c r="BO90" s="431"/>
      <c r="BP90" s="432"/>
      <c r="BQ90" s="430"/>
      <c r="BR90" s="431"/>
      <c r="BS90" s="432"/>
      <c r="BT90" s="430"/>
      <c r="BU90" s="431"/>
      <c r="BV90" s="432"/>
      <c r="BW90" s="430"/>
      <c r="BX90" s="431"/>
      <c r="BY90" s="432"/>
      <c r="BZ90" s="430"/>
      <c r="CA90" s="431"/>
      <c r="CB90" s="432"/>
      <c r="CC90" s="430"/>
      <c r="CD90" s="431"/>
      <c r="CE90" s="432"/>
      <c r="CF90" s="430"/>
      <c r="CG90" s="431"/>
      <c r="CH90" s="432"/>
      <c r="CI90" s="430"/>
      <c r="CJ90" s="431"/>
      <c r="CK90" s="432"/>
      <c r="CL90" s="430"/>
      <c r="CM90" s="431"/>
      <c r="CN90" s="432"/>
      <c r="CO90" s="430"/>
      <c r="CP90" s="431"/>
      <c r="CQ90" s="432"/>
      <c r="CR90" s="430"/>
      <c r="CS90" s="431"/>
      <c r="CT90" s="432"/>
      <c r="CU90" s="430"/>
      <c r="CV90" s="431"/>
      <c r="CW90" s="432"/>
      <c r="CX90" s="430"/>
      <c r="CY90" s="431"/>
      <c r="CZ90" s="432"/>
      <c r="DA90" s="430"/>
      <c r="DB90" s="431"/>
      <c r="DC90" s="432"/>
      <c r="DD90" s="430"/>
      <c r="DE90" s="431"/>
      <c r="DF90" s="432"/>
      <c r="DG90" s="42"/>
      <c r="DH90" s="382"/>
      <c r="DI90" s="382"/>
      <c r="DJ90" s="382"/>
      <c r="DK90" s="382"/>
      <c r="DL90" s="382"/>
      <c r="DM90" s="382"/>
      <c r="DN90" s="382"/>
      <c r="DO90" s="382"/>
      <c r="DP90" s="382"/>
      <c r="DQ90" s="382"/>
      <c r="DR90" s="382"/>
      <c r="DS90" s="382"/>
      <c r="DV90" s="41"/>
    </row>
    <row r="91" spans="1:126" ht="7.4" customHeight="1" x14ac:dyDescent="0.5">
      <c r="A91" s="337" t="s">
        <v>46</v>
      </c>
      <c r="B91" s="337"/>
      <c r="C91" s="337"/>
      <c r="D91" s="337"/>
      <c r="E91" s="337"/>
      <c r="F91" s="337"/>
      <c r="G91" s="337"/>
      <c r="H91" s="337"/>
      <c r="I91" s="337"/>
      <c r="J91" s="337"/>
      <c r="K91" s="337"/>
      <c r="L91" s="337"/>
      <c r="M91" s="337"/>
      <c r="N91" s="337"/>
      <c r="O91" s="337"/>
      <c r="P91" s="337"/>
      <c r="Q91" s="337"/>
      <c r="R91" s="337"/>
      <c r="S91" s="337"/>
      <c r="T91" s="337"/>
      <c r="U91" s="337"/>
      <c r="V91" s="337"/>
      <c r="W91" s="337"/>
      <c r="X91" s="337"/>
      <c r="Y91" s="337"/>
      <c r="Z91" s="337"/>
      <c r="AA91" s="337"/>
      <c r="AB91" s="337"/>
      <c r="AC91" s="337"/>
      <c r="AD91" s="337"/>
      <c r="AE91" s="337"/>
      <c r="AF91" s="337"/>
      <c r="AG91" s="337"/>
      <c r="AH91" s="337"/>
      <c r="AI91" s="337"/>
      <c r="AJ91" s="337"/>
      <c r="AK91" s="337"/>
      <c r="AL91" s="337"/>
      <c r="AM91" s="337"/>
      <c r="AN91" s="337"/>
      <c r="AO91" s="337"/>
      <c r="AP91" s="337"/>
      <c r="AQ91" s="337"/>
      <c r="AR91" s="337"/>
      <c r="AS91" s="337"/>
      <c r="AT91" s="337"/>
      <c r="AU91" s="337"/>
      <c r="AV91" s="337"/>
      <c r="AW91" s="337"/>
      <c r="AX91" s="337"/>
      <c r="AY91" s="337"/>
      <c r="AZ91" s="337"/>
      <c r="BA91" s="337"/>
      <c r="BB91" s="337"/>
      <c r="BC91" s="337"/>
      <c r="BD91" s="337"/>
      <c r="BE91" s="337"/>
      <c r="BF91" s="337"/>
      <c r="BG91" s="337"/>
      <c r="BH91" s="337"/>
      <c r="BI91" s="337"/>
      <c r="BK91" s="430">
        <f>IF($N$74="Combination",0,IF(M58&gt;0,$N$74-BK89,0))</f>
        <v>0</v>
      </c>
      <c r="BL91" s="431"/>
      <c r="BM91" s="432"/>
      <c r="BN91" s="430">
        <f>IF($N$74="Combination",0,IF(P58&gt;0,$N$74-BN89,0))</f>
        <v>0</v>
      </c>
      <c r="BO91" s="431"/>
      <c r="BP91" s="432"/>
      <c r="BQ91" s="430">
        <f>IF($N$74="Combination",0,IF(S58&gt;0,$N$74-BQ89,0))</f>
        <v>0</v>
      </c>
      <c r="BR91" s="431"/>
      <c r="BS91" s="432"/>
      <c r="BT91" s="430">
        <f>IF($N$74="Combination",0,IF(V58&gt;0,$N$74-BT89,0))</f>
        <v>0</v>
      </c>
      <c r="BU91" s="431"/>
      <c r="BV91" s="432"/>
      <c r="BW91" s="430">
        <f>IF($N$74="Combination",0,IF(Y58&gt;0,$N$74-BW89,0))</f>
        <v>0</v>
      </c>
      <c r="BX91" s="431"/>
      <c r="BY91" s="432"/>
      <c r="BZ91" s="430">
        <f>IF($N$74="Combination",0,IF(AB58&gt;0,$N$74-BZ89,0))</f>
        <v>0</v>
      </c>
      <c r="CA91" s="431"/>
      <c r="CB91" s="432"/>
      <c r="CC91" s="430">
        <f>IF($N$74="Combination",0,IF(AE58&gt;0,$N$74-CC89,0))</f>
        <v>0</v>
      </c>
      <c r="CD91" s="431"/>
      <c r="CE91" s="432"/>
      <c r="CF91" s="430">
        <f>IF($N$74="Combination",0,IF(AH58&gt;0,$N$74-CF89,0))</f>
        <v>0</v>
      </c>
      <c r="CG91" s="431"/>
      <c r="CH91" s="432"/>
      <c r="CI91" s="430">
        <f>IF($N$74="Combination",0,IF(AK58&gt;0,$N$74-CI89,0))</f>
        <v>0</v>
      </c>
      <c r="CJ91" s="431"/>
      <c r="CK91" s="432"/>
      <c r="CL91" s="430">
        <f>IF($N$74="Combination",0,IF(AN58&gt;0,$N$74-CL89,0))</f>
        <v>0</v>
      </c>
      <c r="CM91" s="431"/>
      <c r="CN91" s="432"/>
      <c r="CO91" s="430">
        <f>IF($N$74="Combination",0,IF(AQ58&gt;0,$N$74-CO89,0))</f>
        <v>0</v>
      </c>
      <c r="CP91" s="431"/>
      <c r="CQ91" s="432"/>
      <c r="CR91" s="430">
        <f>IF($N$74="Combination",0,IF(AT58&gt;0,$N$74-CR89,0))</f>
        <v>0</v>
      </c>
      <c r="CS91" s="431"/>
      <c r="CT91" s="432"/>
      <c r="CU91" s="430">
        <f>IF($N$74="Combination",0,IF(AW58&gt;0,$N$74-CU89,0))</f>
        <v>0</v>
      </c>
      <c r="CV91" s="431"/>
      <c r="CW91" s="432"/>
      <c r="CX91" s="430">
        <f>IF($N$74="Combination",0,IF(AZ58&gt;0,$N$74-CX89,0))</f>
        <v>0</v>
      </c>
      <c r="CY91" s="431"/>
      <c r="CZ91" s="432"/>
      <c r="DA91" s="430">
        <f>IF($N$74="Combination",0,IF(BC58&gt;0,$N$74-DA89,0))</f>
        <v>0</v>
      </c>
      <c r="DB91" s="431"/>
      <c r="DC91" s="432"/>
      <c r="DD91" s="430">
        <f>IF($N$74="Combination",0,IF(BF58&gt;0,$N$74-DD89,0))</f>
        <v>0</v>
      </c>
      <c r="DE91" s="431"/>
      <c r="DF91" s="432"/>
      <c r="DG91" s="42"/>
      <c r="DH91" s="382" t="s">
        <v>104</v>
      </c>
      <c r="DI91" s="382"/>
      <c r="DJ91" s="382"/>
      <c r="DK91" s="382"/>
      <c r="DL91" s="382"/>
      <c r="DM91" s="382"/>
      <c r="DN91" s="382"/>
      <c r="DO91" s="382"/>
      <c r="DP91" s="382"/>
      <c r="DQ91" s="382"/>
      <c r="DR91" s="382"/>
      <c r="DS91" s="382"/>
      <c r="DV91" s="41"/>
    </row>
    <row r="92" spans="1:126" ht="7.4" customHeight="1" x14ac:dyDescent="0.5">
      <c r="A92" s="337"/>
      <c r="B92" s="337"/>
      <c r="C92" s="337"/>
      <c r="D92" s="337"/>
      <c r="E92" s="337"/>
      <c r="F92" s="337"/>
      <c r="G92" s="337"/>
      <c r="H92" s="337"/>
      <c r="I92" s="337"/>
      <c r="J92" s="337"/>
      <c r="K92" s="337"/>
      <c r="L92" s="337"/>
      <c r="M92" s="337"/>
      <c r="N92" s="337"/>
      <c r="O92" s="337"/>
      <c r="P92" s="337"/>
      <c r="Q92" s="337"/>
      <c r="R92" s="337"/>
      <c r="S92" s="337"/>
      <c r="T92" s="337"/>
      <c r="U92" s="337"/>
      <c r="V92" s="337"/>
      <c r="W92" s="337"/>
      <c r="X92" s="337"/>
      <c r="Y92" s="337"/>
      <c r="Z92" s="337"/>
      <c r="AA92" s="337"/>
      <c r="AB92" s="337"/>
      <c r="AC92" s="337"/>
      <c r="AD92" s="337"/>
      <c r="AE92" s="337"/>
      <c r="AF92" s="337"/>
      <c r="AG92" s="337"/>
      <c r="AH92" s="337"/>
      <c r="AI92" s="337"/>
      <c r="AJ92" s="337"/>
      <c r="AK92" s="337"/>
      <c r="AL92" s="337"/>
      <c r="AM92" s="337"/>
      <c r="AN92" s="337"/>
      <c r="AO92" s="337"/>
      <c r="AP92" s="337"/>
      <c r="AQ92" s="337"/>
      <c r="AR92" s="337"/>
      <c r="AS92" s="337"/>
      <c r="AT92" s="337"/>
      <c r="AU92" s="337"/>
      <c r="AV92" s="337"/>
      <c r="AW92" s="337"/>
      <c r="AX92" s="337"/>
      <c r="AY92" s="337"/>
      <c r="AZ92" s="337"/>
      <c r="BA92" s="337"/>
      <c r="BB92" s="337"/>
      <c r="BC92" s="337"/>
      <c r="BD92" s="337"/>
      <c r="BE92" s="337"/>
      <c r="BF92" s="337"/>
      <c r="BG92" s="337"/>
      <c r="BH92" s="337"/>
      <c r="BI92" s="337"/>
      <c r="BK92" s="430"/>
      <c r="BL92" s="431"/>
      <c r="BM92" s="432"/>
      <c r="BN92" s="430"/>
      <c r="BO92" s="431"/>
      <c r="BP92" s="432"/>
      <c r="BQ92" s="430"/>
      <c r="BR92" s="431"/>
      <c r="BS92" s="432"/>
      <c r="BT92" s="430"/>
      <c r="BU92" s="431"/>
      <c r="BV92" s="432"/>
      <c r="BW92" s="430"/>
      <c r="BX92" s="431"/>
      <c r="BY92" s="432"/>
      <c r="BZ92" s="430"/>
      <c r="CA92" s="431"/>
      <c r="CB92" s="432"/>
      <c r="CC92" s="430"/>
      <c r="CD92" s="431"/>
      <c r="CE92" s="432"/>
      <c r="CF92" s="430"/>
      <c r="CG92" s="431"/>
      <c r="CH92" s="432"/>
      <c r="CI92" s="430"/>
      <c r="CJ92" s="431"/>
      <c r="CK92" s="432"/>
      <c r="CL92" s="430"/>
      <c r="CM92" s="431"/>
      <c r="CN92" s="432"/>
      <c r="CO92" s="430"/>
      <c r="CP92" s="431"/>
      <c r="CQ92" s="432"/>
      <c r="CR92" s="430"/>
      <c r="CS92" s="431"/>
      <c r="CT92" s="432"/>
      <c r="CU92" s="430"/>
      <c r="CV92" s="431"/>
      <c r="CW92" s="432"/>
      <c r="CX92" s="430"/>
      <c r="CY92" s="431"/>
      <c r="CZ92" s="432"/>
      <c r="DA92" s="430"/>
      <c r="DB92" s="431"/>
      <c r="DC92" s="432"/>
      <c r="DD92" s="430"/>
      <c r="DE92" s="431"/>
      <c r="DF92" s="432"/>
      <c r="DG92" s="42"/>
      <c r="DH92" s="382"/>
      <c r="DI92" s="382"/>
      <c r="DJ92" s="382"/>
      <c r="DK92" s="382"/>
      <c r="DL92" s="382"/>
      <c r="DM92" s="382"/>
      <c r="DN92" s="382"/>
      <c r="DO92" s="382"/>
      <c r="DP92" s="382"/>
      <c r="DQ92" s="382"/>
      <c r="DR92" s="382"/>
      <c r="DS92" s="382"/>
      <c r="DV92" s="41"/>
    </row>
    <row r="93" spans="1:126" ht="7.4" customHeight="1" x14ac:dyDescent="0.5">
      <c r="BK93" s="523">
        <f>BK81*1000-BK87</f>
        <v>320</v>
      </c>
      <c r="BL93" s="524"/>
      <c r="BM93" s="525"/>
      <c r="BN93" s="523">
        <f>BN81*1000-BN87</f>
        <v>0</v>
      </c>
      <c r="BO93" s="524"/>
      <c r="BP93" s="525"/>
      <c r="BQ93" s="523">
        <f>BQ81*1000-BQ87</f>
        <v>0</v>
      </c>
      <c r="BR93" s="524"/>
      <c r="BS93" s="525"/>
      <c r="BT93" s="523">
        <f>BT81*1000-BT87</f>
        <v>0</v>
      </c>
      <c r="BU93" s="524"/>
      <c r="BV93" s="525"/>
      <c r="BW93" s="523">
        <f>BW81*1000-BW87</f>
        <v>0</v>
      </c>
      <c r="BX93" s="524"/>
      <c r="BY93" s="525"/>
      <c r="BZ93" s="523">
        <f>BZ81*1000-BZ87</f>
        <v>0</v>
      </c>
      <c r="CA93" s="524"/>
      <c r="CB93" s="525"/>
      <c r="CC93" s="523">
        <f>CC81*1000-CC87</f>
        <v>0</v>
      </c>
      <c r="CD93" s="524"/>
      <c r="CE93" s="525"/>
      <c r="CF93" s="523">
        <f>CF81*1000-CF87</f>
        <v>0</v>
      </c>
      <c r="CG93" s="524"/>
      <c r="CH93" s="525"/>
      <c r="CI93" s="523">
        <f>CI81*1000-CI87</f>
        <v>0</v>
      </c>
      <c r="CJ93" s="524"/>
      <c r="CK93" s="525"/>
      <c r="CL93" s="523">
        <f>CL81*1000-CL87</f>
        <v>0</v>
      </c>
      <c r="CM93" s="524"/>
      <c r="CN93" s="525"/>
      <c r="CO93" s="523">
        <f>CO81*1000-CO87</f>
        <v>0</v>
      </c>
      <c r="CP93" s="524"/>
      <c r="CQ93" s="525"/>
      <c r="CR93" s="523">
        <f>CR81*1000-CR87</f>
        <v>0</v>
      </c>
      <c r="CS93" s="524"/>
      <c r="CT93" s="525"/>
      <c r="CU93" s="523">
        <f>CU81*1000-CU87</f>
        <v>0</v>
      </c>
      <c r="CV93" s="524"/>
      <c r="CW93" s="525"/>
      <c r="CX93" s="523">
        <f>CX81*1000-CX87</f>
        <v>0</v>
      </c>
      <c r="CY93" s="524"/>
      <c r="CZ93" s="525"/>
      <c r="DA93" s="523">
        <f>DA81*1000-DA87</f>
        <v>0</v>
      </c>
      <c r="DB93" s="524"/>
      <c r="DC93" s="525"/>
      <c r="DD93" s="523">
        <f>DD81*1000-DD87</f>
        <v>0</v>
      </c>
      <c r="DE93" s="524"/>
      <c r="DF93" s="525"/>
      <c r="DG93" s="42"/>
      <c r="DH93" s="436" t="s">
        <v>105</v>
      </c>
      <c r="DI93" s="436"/>
      <c r="DJ93" s="436"/>
      <c r="DK93" s="436"/>
      <c r="DL93" s="436"/>
      <c r="DM93" s="436"/>
      <c r="DN93" s="436"/>
      <c r="DO93" s="436"/>
      <c r="DP93" s="436"/>
      <c r="DQ93" s="436"/>
      <c r="DR93" s="436"/>
      <c r="DS93" s="436"/>
      <c r="DT93" s="436"/>
      <c r="DU93" s="436"/>
      <c r="DV93" s="437"/>
    </row>
    <row r="94" spans="1:126" ht="7.4" customHeight="1" x14ac:dyDescent="0.5">
      <c r="BK94" s="526"/>
      <c r="BL94" s="527"/>
      <c r="BM94" s="528"/>
      <c r="BN94" s="526"/>
      <c r="BO94" s="527"/>
      <c r="BP94" s="528"/>
      <c r="BQ94" s="526"/>
      <c r="BR94" s="527"/>
      <c r="BS94" s="528"/>
      <c r="BT94" s="526"/>
      <c r="BU94" s="527"/>
      <c r="BV94" s="528"/>
      <c r="BW94" s="526"/>
      <c r="BX94" s="527"/>
      <c r="BY94" s="528"/>
      <c r="BZ94" s="526"/>
      <c r="CA94" s="527"/>
      <c r="CB94" s="528"/>
      <c r="CC94" s="526"/>
      <c r="CD94" s="527"/>
      <c r="CE94" s="528"/>
      <c r="CF94" s="526"/>
      <c r="CG94" s="527"/>
      <c r="CH94" s="528"/>
      <c r="CI94" s="526"/>
      <c r="CJ94" s="527"/>
      <c r="CK94" s="528"/>
      <c r="CL94" s="526"/>
      <c r="CM94" s="527"/>
      <c r="CN94" s="528"/>
      <c r="CO94" s="526"/>
      <c r="CP94" s="527"/>
      <c r="CQ94" s="528"/>
      <c r="CR94" s="526"/>
      <c r="CS94" s="527"/>
      <c r="CT94" s="528"/>
      <c r="CU94" s="526"/>
      <c r="CV94" s="527"/>
      <c r="CW94" s="528"/>
      <c r="CX94" s="526"/>
      <c r="CY94" s="527"/>
      <c r="CZ94" s="528"/>
      <c r="DA94" s="526"/>
      <c r="DB94" s="527"/>
      <c r="DC94" s="528"/>
      <c r="DD94" s="526"/>
      <c r="DE94" s="527"/>
      <c r="DF94" s="528"/>
      <c r="DG94" s="50"/>
      <c r="DH94" s="438"/>
      <c r="DI94" s="438"/>
      <c r="DJ94" s="438"/>
      <c r="DK94" s="438"/>
      <c r="DL94" s="438"/>
      <c r="DM94" s="438"/>
      <c r="DN94" s="438"/>
      <c r="DO94" s="438"/>
      <c r="DP94" s="438"/>
      <c r="DQ94" s="438"/>
      <c r="DR94" s="438"/>
      <c r="DS94" s="438"/>
      <c r="DT94" s="438"/>
      <c r="DU94" s="438"/>
      <c r="DV94" s="439"/>
    </row>
    <row r="95" spans="1:126" ht="7.4" customHeight="1" x14ac:dyDescent="0.5">
      <c r="BK95" s="183"/>
      <c r="BL95" s="183"/>
      <c r="BM95" s="183"/>
      <c r="BN95" s="183"/>
      <c r="BO95" s="183"/>
      <c r="BP95" s="183"/>
      <c r="BQ95" s="183"/>
      <c r="BR95" s="183"/>
      <c r="BS95" s="183"/>
      <c r="BT95" s="183"/>
      <c r="BU95" s="183"/>
      <c r="BV95" s="183"/>
      <c r="BW95" s="183"/>
      <c r="BX95" s="183"/>
      <c r="BY95" s="183"/>
      <c r="BZ95" s="183"/>
      <c r="CA95" s="183"/>
      <c r="CB95" s="183"/>
      <c r="CC95" s="183"/>
      <c r="CD95" s="183"/>
      <c r="CE95" s="183"/>
      <c r="CF95" s="183"/>
      <c r="CG95" s="183"/>
      <c r="CH95" s="183"/>
      <c r="CI95" s="183"/>
      <c r="CJ95" s="183"/>
      <c r="CK95" s="183"/>
      <c r="CL95" s="183"/>
      <c r="CM95" s="183"/>
      <c r="CN95" s="183"/>
      <c r="CO95" s="183"/>
      <c r="CP95" s="183"/>
      <c r="CQ95" s="183"/>
      <c r="CR95" s="183"/>
      <c r="CS95" s="183"/>
      <c r="CT95" s="183"/>
      <c r="CU95" s="183"/>
      <c r="CV95" s="183"/>
      <c r="CW95" s="183"/>
      <c r="CX95" s="183"/>
      <c r="CY95" s="183"/>
      <c r="CZ95" s="183"/>
      <c r="DA95" s="183"/>
      <c r="DB95" s="183"/>
      <c r="DC95" s="183"/>
      <c r="DD95" s="183"/>
      <c r="DE95" s="183"/>
      <c r="DF95" s="183"/>
      <c r="DH95" s="182"/>
      <c r="DI95" s="182"/>
      <c r="DJ95" s="182"/>
      <c r="DK95" s="182"/>
      <c r="DL95" s="182"/>
      <c r="DM95" s="182"/>
      <c r="DN95" s="182"/>
      <c r="DO95" s="182"/>
      <c r="DP95" s="182"/>
      <c r="DQ95" s="182"/>
      <c r="DR95" s="182"/>
      <c r="DS95" s="182"/>
      <c r="DT95" s="182"/>
      <c r="DU95" s="182"/>
      <c r="DV95" s="182"/>
    </row>
    <row r="96" spans="1:126" ht="7.4" customHeight="1" x14ac:dyDescent="0.5">
      <c r="BK96" s="183"/>
      <c r="BL96" s="183"/>
      <c r="BM96" s="183"/>
      <c r="BN96" s="183"/>
      <c r="BO96" s="183"/>
      <c r="BP96" s="183"/>
      <c r="BQ96" s="183"/>
      <c r="BR96" s="183"/>
      <c r="BS96" s="183"/>
      <c r="BT96" s="183"/>
      <c r="BU96" s="183"/>
      <c r="BV96" s="183"/>
      <c r="BW96" s="183"/>
      <c r="BX96" s="183"/>
      <c r="BY96" s="183"/>
      <c r="BZ96" s="183"/>
      <c r="CA96" s="183"/>
      <c r="CB96" s="183"/>
      <c r="CC96" s="183"/>
      <c r="CD96" s="183"/>
      <c r="CE96" s="183"/>
      <c r="CF96" s="183"/>
      <c r="CG96" s="183"/>
      <c r="CH96" s="183"/>
      <c r="CI96" s="183"/>
      <c r="CJ96" s="183"/>
      <c r="CK96" s="183"/>
      <c r="CL96" s="183"/>
      <c r="CM96" s="183"/>
      <c r="CN96" s="183"/>
      <c r="CO96" s="183"/>
      <c r="CP96" s="183"/>
      <c r="CQ96" s="183"/>
      <c r="CR96" s="183"/>
      <c r="CS96" s="183"/>
      <c r="CT96" s="183"/>
      <c r="CU96" s="183"/>
      <c r="CV96" s="183"/>
      <c r="CW96" s="183"/>
      <c r="CX96" s="183"/>
      <c r="CY96" s="183"/>
      <c r="CZ96" s="183"/>
      <c r="DA96" s="183"/>
      <c r="DB96" s="183"/>
      <c r="DC96" s="183"/>
      <c r="DD96" s="183"/>
      <c r="DE96" s="183"/>
      <c r="DF96" s="183"/>
      <c r="DH96" s="182"/>
      <c r="DI96" s="182"/>
      <c r="DJ96" s="182"/>
      <c r="DK96" s="182"/>
      <c r="DL96" s="182"/>
      <c r="DM96" s="182"/>
      <c r="DN96" s="182"/>
      <c r="DO96" s="182"/>
      <c r="DP96" s="182"/>
      <c r="DQ96" s="182"/>
      <c r="DR96" s="182"/>
      <c r="DS96" s="182"/>
      <c r="DT96" s="182"/>
      <c r="DU96" s="182"/>
      <c r="DV96" s="182"/>
    </row>
    <row r="97" spans="1:343" ht="7.4" customHeight="1" x14ac:dyDescent="0.5">
      <c r="BK97" s="183"/>
      <c r="BL97" s="183"/>
      <c r="BM97" s="183"/>
      <c r="BN97" s="183"/>
      <c r="BO97" s="183"/>
      <c r="BP97" s="183"/>
      <c r="BQ97" s="183"/>
      <c r="BR97" s="183"/>
      <c r="BS97" s="183"/>
      <c r="BT97" s="183"/>
      <c r="BU97" s="183"/>
      <c r="BV97" s="183"/>
      <c r="BW97" s="183"/>
      <c r="BX97" s="183"/>
      <c r="BY97" s="183"/>
      <c r="BZ97" s="183"/>
      <c r="CA97" s="183"/>
      <c r="CB97" s="183"/>
      <c r="CC97" s="183"/>
      <c r="CD97" s="183"/>
      <c r="CE97" s="183"/>
      <c r="CF97" s="183"/>
      <c r="CG97" s="183"/>
      <c r="CH97" s="183"/>
      <c r="CI97" s="183"/>
      <c r="CJ97" s="183"/>
      <c r="CK97" s="183"/>
      <c r="CL97" s="183"/>
      <c r="CM97" s="183"/>
      <c r="CN97" s="183"/>
      <c r="CO97" s="183"/>
      <c r="CP97" s="183"/>
      <c r="CQ97" s="183"/>
      <c r="CR97" s="183"/>
      <c r="CS97" s="183"/>
      <c r="CT97" s="183"/>
      <c r="CU97" s="183"/>
      <c r="CV97" s="183"/>
      <c r="CW97" s="183"/>
      <c r="CX97" s="183"/>
      <c r="CY97" s="183"/>
      <c r="CZ97" s="183"/>
      <c r="DA97" s="183"/>
      <c r="DB97" s="183"/>
      <c r="DC97" s="183"/>
      <c r="DD97" s="183"/>
      <c r="DE97" s="183"/>
      <c r="DF97" s="183"/>
      <c r="DH97" s="182"/>
      <c r="DI97" s="182"/>
      <c r="DJ97" s="182"/>
      <c r="DK97" s="182"/>
      <c r="DL97" s="182"/>
      <c r="DM97" s="182"/>
      <c r="DN97" s="182"/>
      <c r="DO97" s="182"/>
      <c r="DP97" s="182"/>
      <c r="DQ97" s="182"/>
      <c r="DR97" s="182"/>
      <c r="DS97" s="182"/>
      <c r="DT97" s="182"/>
      <c r="DU97" s="182"/>
      <c r="DV97" s="182"/>
    </row>
    <row r="98" spans="1:343" ht="7.4" customHeight="1" x14ac:dyDescent="0.5">
      <c r="BK98" s="183"/>
      <c r="BL98" s="183"/>
      <c r="BM98" s="183"/>
      <c r="BN98" s="183"/>
      <c r="BO98" s="183"/>
      <c r="BP98" s="183"/>
      <c r="BQ98" s="183"/>
      <c r="BR98" s="183"/>
      <c r="BS98" s="183"/>
      <c r="BT98" s="183"/>
      <c r="BU98" s="183"/>
      <c r="BV98" s="183"/>
      <c r="BW98" s="183"/>
      <c r="BX98" s="183"/>
      <c r="BY98" s="183"/>
      <c r="BZ98" s="183"/>
      <c r="CA98" s="183"/>
      <c r="CB98" s="183"/>
      <c r="CC98" s="183"/>
      <c r="CD98" s="183"/>
      <c r="CE98" s="183"/>
      <c r="CF98" s="183"/>
      <c r="CG98" s="183"/>
      <c r="CH98" s="183"/>
      <c r="CI98" s="183"/>
      <c r="CJ98" s="183"/>
      <c r="CK98" s="183"/>
      <c r="CL98" s="183"/>
      <c r="CM98" s="183"/>
      <c r="CN98" s="183"/>
      <c r="CO98" s="183"/>
      <c r="CP98" s="183"/>
      <c r="CQ98" s="183"/>
      <c r="CR98" s="183"/>
      <c r="CS98" s="183"/>
      <c r="CT98" s="183"/>
      <c r="CU98" s="183"/>
      <c r="CV98" s="183"/>
      <c r="CW98" s="183"/>
      <c r="CX98" s="183"/>
      <c r="CY98" s="183"/>
      <c r="CZ98" s="183"/>
      <c r="DA98" s="183"/>
      <c r="DB98" s="183"/>
      <c r="DC98" s="183"/>
      <c r="DD98" s="183"/>
      <c r="DE98" s="183"/>
      <c r="DF98" s="183"/>
      <c r="DH98" s="182"/>
      <c r="DI98" s="182"/>
      <c r="DJ98" s="182"/>
      <c r="DK98" s="182"/>
      <c r="DL98" s="182"/>
      <c r="DM98" s="182"/>
      <c r="DN98" s="182"/>
      <c r="DO98" s="182"/>
      <c r="DP98" s="182"/>
      <c r="DQ98" s="182"/>
      <c r="DR98" s="182"/>
      <c r="DS98" s="182"/>
      <c r="DT98" s="182"/>
      <c r="DU98" s="182"/>
      <c r="DV98" s="182"/>
    </row>
    <row r="99" spans="1:343" ht="7.4" customHeight="1" x14ac:dyDescent="0.5">
      <c r="BK99" s="183"/>
      <c r="BL99" s="183"/>
      <c r="BM99" s="183"/>
      <c r="BN99" s="183"/>
      <c r="BO99" s="183"/>
      <c r="BP99" s="183"/>
      <c r="BQ99" s="183"/>
      <c r="BR99" s="183"/>
      <c r="BS99" s="183"/>
      <c r="BT99" s="183"/>
      <c r="BU99" s="183"/>
      <c r="BV99" s="183"/>
      <c r="BW99" s="183"/>
      <c r="BX99" s="183"/>
      <c r="BY99" s="183"/>
      <c r="BZ99" s="183"/>
      <c r="CA99" s="183"/>
      <c r="CB99" s="183"/>
      <c r="CC99" s="183"/>
      <c r="CD99" s="183"/>
      <c r="CE99" s="183"/>
      <c r="CF99" s="183"/>
      <c r="CG99" s="183"/>
      <c r="CH99" s="183"/>
      <c r="CI99" s="183"/>
      <c r="CJ99" s="183"/>
      <c r="CK99" s="183"/>
      <c r="CL99" s="183"/>
      <c r="CM99" s="183"/>
      <c r="CN99" s="183"/>
      <c r="CO99" s="183"/>
      <c r="CP99" s="183"/>
      <c r="CQ99" s="183"/>
      <c r="CR99" s="183"/>
      <c r="CS99" s="183"/>
      <c r="CT99" s="183"/>
      <c r="CU99" s="183"/>
      <c r="CV99" s="183"/>
      <c r="CW99" s="183"/>
      <c r="CX99" s="183"/>
      <c r="CY99" s="183"/>
      <c r="CZ99" s="183"/>
      <c r="DA99" s="183"/>
      <c r="DB99" s="183"/>
      <c r="DC99" s="183"/>
      <c r="DD99" s="183"/>
      <c r="DE99" s="183"/>
      <c r="DF99" s="183"/>
      <c r="DH99" s="182"/>
      <c r="DI99" s="182"/>
      <c r="DJ99" s="182"/>
      <c r="DK99" s="182"/>
      <c r="DL99" s="182"/>
      <c r="DM99" s="182"/>
      <c r="DN99" s="182"/>
      <c r="DO99" s="182"/>
      <c r="DP99" s="182"/>
      <c r="DQ99" s="182"/>
      <c r="DR99" s="182"/>
      <c r="DS99" s="182"/>
      <c r="DT99" s="182"/>
      <c r="DU99" s="182"/>
      <c r="DV99" s="182"/>
    </row>
    <row r="100" spans="1:343" ht="7.4" customHeight="1" x14ac:dyDescent="0.5">
      <c r="BK100" s="183"/>
      <c r="BL100" s="183"/>
      <c r="BM100" s="183"/>
      <c r="BN100" s="183"/>
      <c r="BO100" s="183"/>
      <c r="BP100" s="183"/>
      <c r="BQ100" s="183"/>
      <c r="BR100" s="183"/>
      <c r="BS100" s="183"/>
      <c r="BT100" s="183"/>
      <c r="BU100" s="183"/>
      <c r="BV100" s="183"/>
      <c r="BW100" s="183"/>
      <c r="BX100" s="183"/>
      <c r="BY100" s="183"/>
      <c r="BZ100" s="183"/>
      <c r="CA100" s="183"/>
      <c r="CB100" s="183"/>
      <c r="CC100" s="183"/>
      <c r="CD100" s="183"/>
      <c r="CE100" s="183"/>
      <c r="CF100" s="183"/>
      <c r="CG100" s="183"/>
      <c r="CH100" s="183"/>
      <c r="CI100" s="183"/>
      <c r="CJ100" s="183"/>
      <c r="CK100" s="183"/>
      <c r="CL100" s="183"/>
      <c r="CM100" s="183"/>
      <c r="CN100" s="183"/>
      <c r="CO100" s="183"/>
      <c r="CP100" s="183"/>
      <c r="CQ100" s="183"/>
      <c r="CR100" s="183"/>
      <c r="CS100" s="183"/>
      <c r="CT100" s="183"/>
      <c r="CU100" s="183"/>
      <c r="CV100" s="183"/>
      <c r="CW100" s="183"/>
      <c r="CX100" s="183"/>
      <c r="CY100" s="183"/>
      <c r="CZ100" s="183"/>
      <c r="DA100" s="183"/>
      <c r="DB100" s="183"/>
      <c r="DC100" s="183"/>
      <c r="DD100" s="183"/>
      <c r="DE100" s="183"/>
      <c r="DF100" s="183"/>
      <c r="DH100" s="182"/>
      <c r="DI100" s="182"/>
      <c r="DJ100" s="182"/>
      <c r="DK100" s="182"/>
      <c r="DL100" s="182"/>
      <c r="DM100" s="182"/>
      <c r="DN100" s="182"/>
      <c r="DO100" s="182"/>
      <c r="DP100" s="182"/>
      <c r="DQ100" s="182"/>
      <c r="DR100" s="182"/>
      <c r="DS100" s="182"/>
      <c r="DT100" s="182"/>
      <c r="DU100" s="182"/>
      <c r="DV100" s="182"/>
    </row>
    <row r="101" spans="1:343" ht="7.4" customHeight="1" x14ac:dyDescent="0.5">
      <c r="BK101" s="183"/>
      <c r="BL101" s="183"/>
      <c r="BM101" s="183"/>
      <c r="BN101" s="183"/>
      <c r="BO101" s="183"/>
      <c r="BP101" s="183"/>
      <c r="BQ101" s="183"/>
      <c r="BR101" s="183"/>
      <c r="BS101" s="183"/>
      <c r="BT101" s="183"/>
      <c r="BU101" s="183"/>
      <c r="BV101" s="183"/>
      <c r="BW101" s="183"/>
      <c r="BX101" s="183"/>
      <c r="BY101" s="183"/>
      <c r="BZ101" s="183"/>
      <c r="CA101" s="183"/>
      <c r="CB101" s="183"/>
      <c r="CC101" s="183"/>
      <c r="CD101" s="183"/>
      <c r="CE101" s="183"/>
      <c r="CF101" s="183"/>
      <c r="CG101" s="183"/>
      <c r="CH101" s="183"/>
      <c r="CI101" s="183"/>
      <c r="CJ101" s="183"/>
      <c r="CK101" s="183"/>
      <c r="CL101" s="183"/>
      <c r="CM101" s="183"/>
      <c r="CN101" s="183"/>
      <c r="CO101" s="183"/>
      <c r="CP101" s="183"/>
      <c r="CQ101" s="183"/>
      <c r="CR101" s="183"/>
      <c r="CS101" s="183"/>
      <c r="CT101" s="183"/>
      <c r="CU101" s="183"/>
      <c r="CV101" s="183"/>
      <c r="CW101" s="183"/>
      <c r="CX101" s="183"/>
      <c r="CY101" s="183"/>
      <c r="CZ101" s="183"/>
      <c r="DA101" s="183"/>
      <c r="DB101" s="183"/>
      <c r="DC101" s="183"/>
      <c r="DD101" s="183"/>
      <c r="DE101" s="183"/>
      <c r="DF101" s="183"/>
      <c r="DH101" s="182"/>
      <c r="DI101" s="182"/>
      <c r="DJ101" s="182"/>
      <c r="DK101" s="182"/>
      <c r="DL101" s="182"/>
      <c r="DM101" s="182"/>
      <c r="DN101" s="182"/>
      <c r="DO101" s="182"/>
      <c r="DP101" s="182"/>
      <c r="DQ101" s="182"/>
      <c r="DR101" s="182"/>
      <c r="DS101" s="182"/>
      <c r="DT101" s="182"/>
      <c r="DU101" s="182"/>
      <c r="DV101" s="182"/>
    </row>
    <row r="102" spans="1:343" ht="7.4" customHeight="1" x14ac:dyDescent="0.5">
      <c r="BK102" s="183"/>
      <c r="BL102" s="183"/>
      <c r="BM102" s="183"/>
      <c r="BN102" s="183"/>
      <c r="BO102" s="183"/>
      <c r="BP102" s="183"/>
      <c r="BQ102" s="183"/>
      <c r="BR102" s="183"/>
      <c r="BS102" s="183"/>
      <c r="BT102" s="183"/>
      <c r="BU102" s="183"/>
      <c r="BV102" s="183"/>
      <c r="BW102" s="183"/>
      <c r="BX102" s="183"/>
      <c r="BY102" s="183"/>
      <c r="BZ102" s="183"/>
      <c r="CA102" s="183"/>
      <c r="CB102" s="183"/>
      <c r="CC102" s="183"/>
      <c r="CD102" s="183"/>
      <c r="CE102" s="183"/>
      <c r="CF102" s="183"/>
      <c r="CG102" s="183"/>
      <c r="CH102" s="183"/>
      <c r="CI102" s="183"/>
      <c r="CJ102" s="183"/>
      <c r="CK102" s="183"/>
      <c r="CL102" s="183"/>
      <c r="CM102" s="183"/>
      <c r="CN102" s="183"/>
      <c r="CO102" s="183"/>
      <c r="CP102" s="183"/>
      <c r="CQ102" s="183"/>
      <c r="CR102" s="183"/>
      <c r="CS102" s="183"/>
      <c r="CT102" s="183"/>
      <c r="CU102" s="183"/>
      <c r="CV102" s="183"/>
      <c r="CW102" s="183"/>
      <c r="CX102" s="183"/>
      <c r="CY102" s="183"/>
      <c r="CZ102" s="183"/>
      <c r="DA102" s="183"/>
      <c r="DB102" s="183"/>
      <c r="DC102" s="183"/>
      <c r="DD102" s="183"/>
      <c r="DE102" s="183"/>
      <c r="DF102" s="183"/>
      <c r="DH102" s="182"/>
      <c r="DI102" s="182"/>
      <c r="DJ102" s="182"/>
      <c r="DK102" s="182"/>
      <c r="DL102" s="182"/>
      <c r="DM102" s="182"/>
      <c r="DN102" s="182"/>
      <c r="DO102" s="182"/>
      <c r="DP102" s="182"/>
      <c r="DQ102" s="182"/>
      <c r="DR102" s="182"/>
      <c r="DS102" s="182"/>
      <c r="DT102" s="182"/>
      <c r="DU102" s="182"/>
      <c r="DV102" s="182"/>
    </row>
    <row r="103" spans="1:343" ht="7.4" customHeight="1" x14ac:dyDescent="0.5">
      <c r="DH103" s="24"/>
      <c r="DI103" s="24"/>
      <c r="DJ103" s="24"/>
      <c r="DK103" s="24"/>
      <c r="DL103" s="24"/>
    </row>
    <row r="104" spans="1:343" ht="7.4" customHeight="1" x14ac:dyDescent="0.5">
      <c r="DH104" s="24"/>
      <c r="DI104" s="24"/>
      <c r="DJ104" s="24"/>
      <c r="DK104" s="24"/>
      <c r="DL104" s="24"/>
    </row>
    <row r="105" spans="1:343" ht="7.4" customHeight="1" x14ac:dyDescent="0.5">
      <c r="BK105" s="333"/>
      <c r="BL105" s="333"/>
      <c r="BM105" s="333"/>
      <c r="BN105" s="333"/>
      <c r="BO105" s="333"/>
      <c r="BP105" s="333"/>
      <c r="BQ105" s="298"/>
      <c r="BR105" s="298"/>
      <c r="BS105" s="298"/>
      <c r="BT105" s="298"/>
      <c r="BU105" s="298"/>
      <c r="BV105" s="298"/>
      <c r="BW105" s="298"/>
      <c r="BX105" s="334"/>
      <c r="BY105" s="334"/>
      <c r="BZ105" s="334"/>
      <c r="CA105" s="334"/>
      <c r="CB105" s="334"/>
      <c r="CC105" s="334"/>
    </row>
    <row r="106" spans="1:343" ht="7.4" customHeight="1" x14ac:dyDescent="0.5">
      <c r="BK106" s="333"/>
      <c r="BL106" s="333"/>
      <c r="BM106" s="333"/>
      <c r="BN106" s="333"/>
      <c r="BO106" s="333"/>
      <c r="BP106" s="333"/>
      <c r="BQ106" s="298"/>
      <c r="BR106" s="298"/>
      <c r="BS106" s="298"/>
      <c r="BT106" s="298"/>
      <c r="BU106" s="298"/>
      <c r="BV106" s="298"/>
      <c r="BW106" s="298"/>
      <c r="BX106" s="334"/>
      <c r="BY106" s="334"/>
      <c r="BZ106" s="334"/>
      <c r="CA106" s="334"/>
      <c r="CB106" s="334"/>
      <c r="CC106" s="334"/>
    </row>
    <row r="107" spans="1:343" ht="7.4" customHeight="1" x14ac:dyDescent="0.5">
      <c r="BB107" s="419"/>
      <c r="BC107" s="419"/>
      <c r="BD107" s="419"/>
      <c r="BE107" s="419"/>
      <c r="BF107" s="419"/>
      <c r="BG107" s="419"/>
      <c r="BH107" s="419"/>
      <c r="BI107" s="419"/>
      <c r="BK107" s="339"/>
      <c r="BL107" s="339"/>
      <c r="BM107" s="339"/>
      <c r="BN107" s="339"/>
      <c r="BO107" s="339"/>
      <c r="BP107" s="339"/>
      <c r="BQ107" s="340"/>
      <c r="BR107" s="340"/>
      <c r="BS107" s="340"/>
      <c r="BT107" s="340"/>
      <c r="BU107" s="340"/>
      <c r="BV107" s="340"/>
      <c r="BW107" s="340"/>
      <c r="BX107" s="341"/>
      <c r="BY107" s="341"/>
      <c r="BZ107" s="341"/>
      <c r="CA107" s="341"/>
      <c r="CB107" s="341"/>
      <c r="CC107" s="341"/>
      <c r="CJ107" s="108"/>
      <c r="CK107" s="108"/>
      <c r="CL107" s="108"/>
      <c r="CM107" s="108"/>
      <c r="CN107" s="108"/>
      <c r="CO107" s="108"/>
      <c r="DB107" s="75"/>
      <c r="DC107" s="75"/>
      <c r="DD107" s="75"/>
      <c r="DE107" s="75"/>
      <c r="DF107" s="75"/>
      <c r="DH107" s="24"/>
      <c r="DI107" s="24"/>
      <c r="DJ107" s="24"/>
      <c r="DK107" s="24"/>
      <c r="DL107" s="24"/>
    </row>
    <row r="108" spans="1:343" ht="7.4" customHeight="1" x14ac:dyDescent="0.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BB108" s="419"/>
      <c r="BC108" s="419"/>
      <c r="BD108" s="419"/>
      <c r="BE108" s="419"/>
      <c r="BF108" s="419"/>
      <c r="BG108" s="419"/>
      <c r="BH108" s="419"/>
      <c r="BI108" s="419"/>
      <c r="BK108" s="339"/>
      <c r="BL108" s="339"/>
      <c r="BM108" s="339"/>
      <c r="BN108" s="339"/>
      <c r="BO108" s="339"/>
      <c r="BP108" s="339"/>
      <c r="BQ108" s="340"/>
      <c r="BR108" s="340"/>
      <c r="BS108" s="340"/>
      <c r="BT108" s="340"/>
      <c r="BU108" s="340"/>
      <c r="BV108" s="340"/>
      <c r="BW108" s="340"/>
      <c r="BX108" s="341"/>
      <c r="BY108" s="341"/>
      <c r="BZ108" s="341"/>
      <c r="CA108" s="341"/>
      <c r="CB108" s="341"/>
      <c r="CC108" s="341"/>
      <c r="CJ108" s="108"/>
      <c r="CK108" s="108"/>
      <c r="CL108" s="108"/>
      <c r="CM108" s="108"/>
      <c r="CN108" s="108"/>
      <c r="CO108" s="108"/>
      <c r="DB108" s="75"/>
      <c r="DC108" s="75"/>
      <c r="DD108" s="75"/>
      <c r="DE108" s="75"/>
      <c r="DF108" s="75"/>
      <c r="DH108" s="24"/>
      <c r="DI108" s="24"/>
      <c r="DJ108" s="24"/>
      <c r="DK108" s="24"/>
      <c r="DL108" s="24"/>
    </row>
    <row r="109" spans="1:343" ht="7.4" customHeight="1" x14ac:dyDescent="0.5">
      <c r="A109" s="38"/>
      <c r="B109" s="39"/>
      <c r="C109" s="39"/>
      <c r="D109" s="39"/>
      <c r="E109" s="39"/>
      <c r="F109" s="39"/>
      <c r="G109" s="39"/>
      <c r="H109" s="39"/>
      <c r="I109" s="39"/>
      <c r="J109" s="39"/>
      <c r="K109" s="39"/>
      <c r="L109" s="39"/>
      <c r="M109" s="39"/>
      <c r="N109" s="39"/>
      <c r="O109" s="39"/>
      <c r="P109" s="39"/>
      <c r="Q109" s="39"/>
      <c r="R109" s="39"/>
      <c r="S109" s="67"/>
      <c r="T109" s="68"/>
      <c r="U109" s="68"/>
      <c r="V109" s="68"/>
      <c r="W109" s="68"/>
      <c r="X109" s="68"/>
      <c r="Y109" s="68"/>
      <c r="Z109" s="68"/>
      <c r="AA109" s="68"/>
      <c r="AB109" s="68"/>
      <c r="AC109" s="68"/>
      <c r="AD109" s="68"/>
      <c r="AE109" s="68"/>
      <c r="AF109" s="68"/>
      <c r="AG109" s="68"/>
      <c r="AH109" s="68"/>
      <c r="AI109" s="68"/>
      <c r="AJ109" s="68"/>
      <c r="AK109" s="68"/>
      <c r="AL109" s="68"/>
      <c r="AM109" s="68"/>
      <c r="AN109" s="68"/>
      <c r="AO109" s="68"/>
      <c r="AP109" s="68"/>
      <c r="AQ109" s="69"/>
      <c r="AR109" s="39"/>
      <c r="AS109" s="39"/>
      <c r="AT109" s="39"/>
      <c r="AU109" s="39"/>
      <c r="AV109" s="39"/>
      <c r="AW109" s="39"/>
      <c r="AX109" s="39"/>
      <c r="AY109" s="39"/>
      <c r="AZ109" s="39"/>
      <c r="BA109" s="39"/>
      <c r="BB109" s="39"/>
      <c r="BC109" s="39"/>
      <c r="BD109" s="39"/>
      <c r="BE109" s="39"/>
      <c r="BF109" s="39"/>
      <c r="BG109" s="39"/>
      <c r="BH109" s="39"/>
      <c r="BI109" s="40"/>
      <c r="BK109" s="334"/>
      <c r="BL109" s="334"/>
      <c r="BM109" s="334"/>
      <c r="BN109" s="334"/>
      <c r="BO109" s="334"/>
      <c r="BP109" s="334"/>
      <c r="BQ109" s="429"/>
      <c r="BR109" s="429"/>
      <c r="BS109" s="429"/>
      <c r="BT109" s="429"/>
      <c r="BU109" s="429"/>
      <c r="BV109" s="429"/>
      <c r="BW109" s="429"/>
      <c r="BX109" s="429"/>
      <c r="BY109" s="429"/>
      <c r="BZ109" s="429"/>
      <c r="CA109" s="429"/>
      <c r="CB109" s="429"/>
      <c r="CC109" s="334"/>
      <c r="CD109" s="334"/>
      <c r="CE109" s="334"/>
      <c r="CF109" s="334"/>
      <c r="CG109" s="334"/>
      <c r="CH109" s="334"/>
      <c r="CI109" s="333"/>
      <c r="CJ109" s="333"/>
      <c r="CK109" s="333"/>
      <c r="CL109" s="333"/>
      <c r="CM109" s="333"/>
      <c r="CN109" s="333"/>
      <c r="CO109" s="334"/>
      <c r="CP109" s="334"/>
      <c r="CQ109" s="334"/>
      <c r="CR109" s="334"/>
      <c r="CS109" s="334"/>
      <c r="CT109" s="334"/>
    </row>
    <row r="110" spans="1:343" ht="7.4" customHeight="1" x14ac:dyDescent="0.5">
      <c r="A110" s="42"/>
      <c r="S110" s="70"/>
      <c r="T110" s="509" t="str">
        <f>"Roof Top Angled Railed ("&amp;$AO$35&amp;")"</f>
        <v>Roof Top Angled Railed (IBR)</v>
      </c>
      <c r="U110" s="509"/>
      <c r="V110" s="509"/>
      <c r="W110" s="509"/>
      <c r="X110" s="509"/>
      <c r="Y110" s="509"/>
      <c r="Z110" s="509"/>
      <c r="AA110" s="509"/>
      <c r="AB110" s="509"/>
      <c r="AC110" s="509"/>
      <c r="AD110" s="509"/>
      <c r="AE110" s="509"/>
      <c r="AF110" s="509"/>
      <c r="AG110" s="509"/>
      <c r="AH110" s="509"/>
      <c r="AI110" s="509"/>
      <c r="AJ110" s="509"/>
      <c r="AK110" s="509"/>
      <c r="AL110" s="509"/>
      <c r="AM110" s="509"/>
      <c r="AN110" s="509"/>
      <c r="AO110" s="509"/>
      <c r="AP110" s="509"/>
      <c r="AQ110" s="71"/>
      <c r="BI110" s="41"/>
      <c r="BK110" s="334"/>
      <c r="BL110" s="334"/>
      <c r="BM110" s="334"/>
      <c r="BN110" s="334"/>
      <c r="BO110" s="334"/>
      <c r="BP110" s="334"/>
      <c r="BQ110" s="429"/>
      <c r="BR110" s="429"/>
      <c r="BS110" s="429"/>
      <c r="BT110" s="429"/>
      <c r="BU110" s="429"/>
      <c r="BV110" s="429"/>
      <c r="BW110" s="429"/>
      <c r="BX110" s="429"/>
      <c r="BY110" s="429"/>
      <c r="BZ110" s="429"/>
      <c r="CA110" s="429"/>
      <c r="CB110" s="429"/>
      <c r="CC110" s="334"/>
      <c r="CD110" s="334"/>
      <c r="CE110" s="334"/>
      <c r="CF110" s="334"/>
      <c r="CG110" s="334"/>
      <c r="CH110" s="334"/>
      <c r="CI110" s="333"/>
      <c r="CJ110" s="333"/>
      <c r="CK110" s="333"/>
      <c r="CL110" s="333"/>
      <c r="CM110" s="333"/>
      <c r="CN110" s="333"/>
      <c r="CO110" s="334"/>
      <c r="CP110" s="334"/>
      <c r="CQ110" s="334"/>
      <c r="CR110" s="334"/>
      <c r="CS110" s="334"/>
      <c r="CT110" s="334"/>
      <c r="DY110" s="185">
        <f t="shared" ref="DY110:GJ110" si="0">$DX$111*DY111+$DX$112*DY112</f>
        <v>0</v>
      </c>
      <c r="DZ110" s="185">
        <f t="shared" si="0"/>
        <v>2.35</v>
      </c>
      <c r="EA110" s="185">
        <f t="shared" si="0"/>
        <v>2.9249999999999998</v>
      </c>
      <c r="EB110" s="185">
        <f t="shared" si="0"/>
        <v>4.7</v>
      </c>
      <c r="EC110" s="185">
        <f t="shared" si="0"/>
        <v>5.2750000000000004</v>
      </c>
      <c r="ED110" s="185">
        <f t="shared" si="0"/>
        <v>5.85</v>
      </c>
      <c r="EE110" s="185">
        <f t="shared" si="0"/>
        <v>7.0500000000000007</v>
      </c>
      <c r="EF110" s="185">
        <f t="shared" si="0"/>
        <v>7.625</v>
      </c>
      <c r="EG110" s="185">
        <f t="shared" si="0"/>
        <v>8.1999999999999993</v>
      </c>
      <c r="EH110" s="185">
        <f t="shared" si="0"/>
        <v>8.7749999999999986</v>
      </c>
      <c r="EI110" s="185">
        <f t="shared" si="0"/>
        <v>9.4</v>
      </c>
      <c r="EJ110" s="185">
        <f t="shared" si="0"/>
        <v>9.9750000000000014</v>
      </c>
      <c r="EK110" s="185">
        <f t="shared" si="0"/>
        <v>10.55</v>
      </c>
      <c r="EL110" s="185">
        <f t="shared" si="0"/>
        <v>11.124999999999998</v>
      </c>
      <c r="EM110" s="185">
        <f t="shared" si="0"/>
        <v>11.7</v>
      </c>
      <c r="EN110" s="185">
        <f t="shared" si="0"/>
        <v>11.75</v>
      </c>
      <c r="EO110" s="185">
        <f t="shared" si="0"/>
        <v>12.324999999999999</v>
      </c>
      <c r="EP110" s="185">
        <f t="shared" si="0"/>
        <v>12.9</v>
      </c>
      <c r="EQ110" s="185">
        <f t="shared" si="0"/>
        <v>13.474999999999998</v>
      </c>
      <c r="ER110" s="185">
        <f t="shared" si="0"/>
        <v>14.049999999999999</v>
      </c>
      <c r="ES110" s="185">
        <f t="shared" si="0"/>
        <v>14.049999999999999</v>
      </c>
      <c r="ET110" s="185">
        <f t="shared" si="0"/>
        <v>14.625</v>
      </c>
      <c r="EU110" s="185">
        <f t="shared" si="0"/>
        <v>14.675000000000001</v>
      </c>
      <c r="EV110" s="185">
        <f t="shared" si="0"/>
        <v>15.25</v>
      </c>
      <c r="EW110" s="185">
        <f t="shared" si="0"/>
        <v>15.824999999999999</v>
      </c>
      <c r="EX110" s="185">
        <f t="shared" si="0"/>
        <v>16.399999999999999</v>
      </c>
      <c r="EY110" s="185">
        <f t="shared" si="0"/>
        <v>16.45</v>
      </c>
      <c r="EZ110" s="185">
        <f t="shared" si="0"/>
        <v>16.975000000000001</v>
      </c>
      <c r="FA110" s="185">
        <f t="shared" si="0"/>
        <v>16.975000000000001</v>
      </c>
      <c r="FB110" s="185">
        <f t="shared" si="0"/>
        <v>17.549999999999997</v>
      </c>
      <c r="FC110" s="185">
        <f t="shared" si="0"/>
        <v>17.549999999999997</v>
      </c>
      <c r="FD110" s="185">
        <f t="shared" si="0"/>
        <v>18.174999999999997</v>
      </c>
      <c r="FE110" s="185">
        <f t="shared" si="0"/>
        <v>18.75</v>
      </c>
      <c r="FF110" s="185">
        <f t="shared" si="0"/>
        <v>18.75</v>
      </c>
      <c r="FG110" s="185">
        <f t="shared" si="0"/>
        <v>19.324999999999999</v>
      </c>
      <c r="FH110" s="185">
        <f t="shared" si="0"/>
        <v>19.375</v>
      </c>
      <c r="FI110" s="185">
        <f t="shared" si="0"/>
        <v>19.899999999999999</v>
      </c>
      <c r="FJ110" s="185">
        <f t="shared" si="0"/>
        <v>19.950000000000003</v>
      </c>
      <c r="FK110" s="185">
        <f t="shared" si="0"/>
        <v>20.474999999999998</v>
      </c>
      <c r="FL110" s="185">
        <f t="shared" si="0"/>
        <v>20.474999999999998</v>
      </c>
      <c r="FM110" s="185">
        <f t="shared" si="0"/>
        <v>21.1</v>
      </c>
      <c r="FN110" s="185">
        <f t="shared" si="0"/>
        <v>21.150000000000002</v>
      </c>
      <c r="FO110" s="185">
        <f t="shared" si="0"/>
        <v>21.675000000000001</v>
      </c>
      <c r="FP110" s="185">
        <f t="shared" si="0"/>
        <v>21.675000000000001</v>
      </c>
      <c r="FQ110" s="185">
        <f t="shared" si="0"/>
        <v>22.249999999999996</v>
      </c>
      <c r="FR110" s="185">
        <f t="shared" si="0"/>
        <v>22.249999999999996</v>
      </c>
      <c r="FS110" s="185">
        <f t="shared" si="0"/>
        <v>22.824999999999999</v>
      </c>
      <c r="FT110" s="185">
        <f t="shared" si="0"/>
        <v>22.875</v>
      </c>
      <c r="FU110" s="185">
        <f t="shared" si="0"/>
        <v>23.4</v>
      </c>
      <c r="FV110" s="185">
        <f t="shared" si="0"/>
        <v>23.45</v>
      </c>
      <c r="FW110" s="185">
        <f t="shared" si="0"/>
        <v>23.45</v>
      </c>
      <c r="FX110" s="185">
        <f t="shared" si="0"/>
        <v>24.024999999999999</v>
      </c>
      <c r="FY110" s="185">
        <f t="shared" si="0"/>
        <v>24.075000000000003</v>
      </c>
      <c r="FZ110" s="185">
        <f t="shared" si="0"/>
        <v>24.599999999999998</v>
      </c>
      <c r="GA110" s="185">
        <f t="shared" si="0"/>
        <v>24.65</v>
      </c>
      <c r="GB110" s="185">
        <f t="shared" si="0"/>
        <v>25.174999999999997</v>
      </c>
      <c r="GC110" s="185">
        <f t="shared" si="0"/>
        <v>25.174999999999997</v>
      </c>
      <c r="GD110" s="185">
        <f t="shared" si="0"/>
        <v>25.75</v>
      </c>
      <c r="GE110" s="185">
        <f t="shared" si="0"/>
        <v>25.75</v>
      </c>
      <c r="GF110" s="185">
        <f t="shared" si="0"/>
        <v>25.85</v>
      </c>
      <c r="GG110" s="185">
        <f t="shared" si="0"/>
        <v>26.324999999999999</v>
      </c>
      <c r="GH110" s="185">
        <f t="shared" si="0"/>
        <v>26.375</v>
      </c>
      <c r="GI110" s="185">
        <f t="shared" si="0"/>
        <v>26.375</v>
      </c>
      <c r="GJ110" s="185">
        <f t="shared" si="0"/>
        <v>26.949999999999996</v>
      </c>
      <c r="GK110" s="185">
        <f t="shared" ref="GK110:IV110" si="1">$DX$111*GK111+$DX$112*GK112</f>
        <v>26.949999999999996</v>
      </c>
      <c r="GL110" s="185">
        <f t="shared" si="1"/>
        <v>27.524999999999999</v>
      </c>
      <c r="GM110" s="185">
        <f t="shared" si="1"/>
        <v>27.574999999999999</v>
      </c>
      <c r="GN110" s="185">
        <f t="shared" si="1"/>
        <v>28.099999999999998</v>
      </c>
      <c r="GO110" s="185">
        <f t="shared" si="1"/>
        <v>28.15</v>
      </c>
      <c r="GP110" s="185">
        <f t="shared" si="1"/>
        <v>28.15</v>
      </c>
      <c r="GQ110" s="185">
        <f t="shared" si="1"/>
        <v>28.675000000000001</v>
      </c>
      <c r="GR110" s="185">
        <f t="shared" si="1"/>
        <v>28.675000000000001</v>
      </c>
      <c r="GS110" s="185">
        <f t="shared" si="1"/>
        <v>28.775000000000002</v>
      </c>
      <c r="GT110" s="185">
        <f t="shared" si="1"/>
        <v>29.25</v>
      </c>
      <c r="GU110" s="185">
        <f t="shared" si="1"/>
        <v>29.25</v>
      </c>
      <c r="GV110" s="185">
        <f t="shared" si="1"/>
        <v>29.35</v>
      </c>
      <c r="GW110" s="185">
        <f t="shared" si="1"/>
        <v>29.875</v>
      </c>
      <c r="GX110" s="185">
        <f t="shared" si="1"/>
        <v>29.875</v>
      </c>
      <c r="GY110" s="185">
        <f t="shared" si="1"/>
        <v>30.45</v>
      </c>
      <c r="GZ110" s="185">
        <f t="shared" si="1"/>
        <v>30.45</v>
      </c>
      <c r="HA110" s="185">
        <f t="shared" si="1"/>
        <v>30.55</v>
      </c>
      <c r="HB110" s="185">
        <f t="shared" si="1"/>
        <v>31.024999999999999</v>
      </c>
      <c r="HC110" s="185">
        <f t="shared" si="1"/>
        <v>31.074999999999999</v>
      </c>
      <c r="HD110" s="185">
        <f t="shared" si="1"/>
        <v>31.074999999999999</v>
      </c>
      <c r="HE110" s="185">
        <f t="shared" si="1"/>
        <v>31.6</v>
      </c>
      <c r="HF110" s="185">
        <f t="shared" si="1"/>
        <v>31.65</v>
      </c>
      <c r="HG110" s="185">
        <f t="shared" si="1"/>
        <v>31.65</v>
      </c>
      <c r="HH110" s="185">
        <f t="shared" si="1"/>
        <v>32.174999999999997</v>
      </c>
      <c r="HI110" s="185">
        <f t="shared" si="1"/>
        <v>32.174999999999997</v>
      </c>
      <c r="HJ110" s="185">
        <f t="shared" si="1"/>
        <v>32.274999999999999</v>
      </c>
      <c r="HK110" s="185">
        <f t="shared" si="1"/>
        <v>32.799999999999997</v>
      </c>
      <c r="HL110" s="185">
        <f t="shared" si="1"/>
        <v>32.85</v>
      </c>
      <c r="HM110" s="185">
        <f t="shared" si="1"/>
        <v>32.85</v>
      </c>
      <c r="HN110" s="185">
        <f t="shared" si="1"/>
        <v>33.375</v>
      </c>
      <c r="HO110" s="185">
        <f t="shared" si="1"/>
        <v>33.375</v>
      </c>
      <c r="HP110" s="185">
        <f t="shared" si="1"/>
        <v>33.475000000000001</v>
      </c>
      <c r="HQ110" s="185">
        <f t="shared" si="1"/>
        <v>33.950000000000003</v>
      </c>
      <c r="HR110" s="185">
        <f t="shared" si="1"/>
        <v>33.950000000000003</v>
      </c>
      <c r="HS110" s="185">
        <f t="shared" si="1"/>
        <v>34.050000000000004</v>
      </c>
      <c r="HT110" s="185">
        <f t="shared" si="1"/>
        <v>34.524999999999999</v>
      </c>
      <c r="HU110" s="185">
        <f t="shared" si="1"/>
        <v>34.575000000000003</v>
      </c>
      <c r="HV110" s="185">
        <f t="shared" si="1"/>
        <v>34.575000000000003</v>
      </c>
      <c r="HW110" s="185">
        <f t="shared" si="1"/>
        <v>35.099999999999994</v>
      </c>
      <c r="HX110" s="185">
        <f t="shared" si="1"/>
        <v>35.15</v>
      </c>
      <c r="HY110" s="185">
        <f t="shared" si="1"/>
        <v>35.15</v>
      </c>
      <c r="HZ110" s="185">
        <f t="shared" si="1"/>
        <v>35.25</v>
      </c>
      <c r="IA110" s="185">
        <f t="shared" si="1"/>
        <v>35.725000000000001</v>
      </c>
      <c r="IB110" s="185">
        <f t="shared" si="1"/>
        <v>35.775000000000006</v>
      </c>
      <c r="IC110" s="185">
        <f t="shared" si="1"/>
        <v>35.775000000000006</v>
      </c>
      <c r="ID110" s="185">
        <f t="shared" si="1"/>
        <v>36.299999999999997</v>
      </c>
      <c r="IE110" s="185">
        <f t="shared" si="1"/>
        <v>36.349999999999994</v>
      </c>
      <c r="IF110" s="185">
        <f t="shared" si="1"/>
        <v>36.349999999999994</v>
      </c>
      <c r="IG110" s="185">
        <f t="shared" si="1"/>
        <v>36.875</v>
      </c>
      <c r="IH110" s="185">
        <f t="shared" si="1"/>
        <v>36.875</v>
      </c>
      <c r="II110" s="185">
        <f t="shared" si="1"/>
        <v>36.975000000000001</v>
      </c>
      <c r="IJ110" s="185">
        <f t="shared" si="1"/>
        <v>37.449999999999996</v>
      </c>
      <c r="IK110" s="185">
        <f t="shared" si="1"/>
        <v>37.449999999999996</v>
      </c>
      <c r="IL110" s="185">
        <f t="shared" si="1"/>
        <v>37.549999999999997</v>
      </c>
      <c r="IM110" s="185">
        <f t="shared" si="1"/>
        <v>37.549999999999997</v>
      </c>
      <c r="IN110" s="185">
        <f t="shared" si="1"/>
        <v>38.024999999999999</v>
      </c>
      <c r="IO110" s="185">
        <f t="shared" si="1"/>
        <v>38.075000000000003</v>
      </c>
      <c r="IP110" s="185">
        <f t="shared" si="1"/>
        <v>38.075000000000003</v>
      </c>
      <c r="IQ110" s="185">
        <f t="shared" si="1"/>
        <v>38.174999999999997</v>
      </c>
      <c r="IR110" s="185">
        <f t="shared" si="1"/>
        <v>38.65</v>
      </c>
      <c r="IS110" s="185">
        <f t="shared" si="1"/>
        <v>38.65</v>
      </c>
      <c r="IT110" s="185">
        <f t="shared" si="1"/>
        <v>38.75</v>
      </c>
      <c r="IU110" s="185">
        <f t="shared" si="1"/>
        <v>39.224999999999994</v>
      </c>
      <c r="IV110" s="185">
        <f t="shared" si="1"/>
        <v>39.274999999999999</v>
      </c>
      <c r="IW110" s="185">
        <f t="shared" ref="IW110:LH110" si="2">$DX$111*IW111+$DX$112*IW112</f>
        <v>39.274999999999999</v>
      </c>
      <c r="IX110" s="185">
        <f t="shared" si="2"/>
        <v>39.799999999999997</v>
      </c>
      <c r="IY110" s="185">
        <f t="shared" si="2"/>
        <v>39.849999999999994</v>
      </c>
      <c r="IZ110" s="185">
        <f t="shared" si="2"/>
        <v>39.849999999999994</v>
      </c>
      <c r="JA110" s="185">
        <f t="shared" si="2"/>
        <v>39.950000000000003</v>
      </c>
      <c r="JB110" s="185">
        <f t="shared" si="2"/>
        <v>40.375</v>
      </c>
      <c r="JC110" s="185">
        <f t="shared" si="2"/>
        <v>40.375</v>
      </c>
      <c r="JD110" s="185">
        <f t="shared" si="2"/>
        <v>40.475000000000001</v>
      </c>
      <c r="JE110" s="185">
        <f t="shared" si="2"/>
        <v>40.475000000000001</v>
      </c>
      <c r="JF110" s="185">
        <f t="shared" si="2"/>
        <v>40.949999999999996</v>
      </c>
      <c r="JG110" s="185">
        <f t="shared" si="2"/>
        <v>40.949999999999996</v>
      </c>
      <c r="JH110" s="185">
        <f t="shared" si="2"/>
        <v>41.05</v>
      </c>
      <c r="JI110" s="185">
        <f t="shared" si="2"/>
        <v>41.05</v>
      </c>
      <c r="JJ110" s="185">
        <f t="shared" si="2"/>
        <v>41.574999999999996</v>
      </c>
      <c r="JK110" s="185">
        <f t="shared" si="2"/>
        <v>41.574999999999996</v>
      </c>
      <c r="JL110" s="185">
        <f t="shared" si="2"/>
        <v>41.674999999999997</v>
      </c>
      <c r="JM110" s="185">
        <f t="shared" si="2"/>
        <v>42.149999999999991</v>
      </c>
      <c r="JN110" s="185">
        <f t="shared" si="2"/>
        <v>42.149999999999991</v>
      </c>
      <c r="JO110" s="185">
        <f t="shared" si="2"/>
        <v>42.25</v>
      </c>
      <c r="JP110" s="185">
        <f t="shared" si="2"/>
        <v>42.25</v>
      </c>
      <c r="JQ110" s="185">
        <f t="shared" si="2"/>
        <v>42.725000000000001</v>
      </c>
      <c r="JR110" s="185">
        <f t="shared" si="2"/>
        <v>42.774999999999999</v>
      </c>
      <c r="JS110" s="185">
        <f t="shared" si="2"/>
        <v>42.774999999999999</v>
      </c>
      <c r="JT110" s="185">
        <f t="shared" si="2"/>
        <v>42.875</v>
      </c>
      <c r="JU110" s="185">
        <f t="shared" si="2"/>
        <v>43.3</v>
      </c>
      <c r="JV110" s="185">
        <f t="shared" si="2"/>
        <v>43.35</v>
      </c>
      <c r="JW110" s="185">
        <f t="shared" si="2"/>
        <v>43.35</v>
      </c>
      <c r="JX110" s="185">
        <f t="shared" si="2"/>
        <v>43.45</v>
      </c>
      <c r="JY110" s="185">
        <f t="shared" si="2"/>
        <v>43.875</v>
      </c>
      <c r="JZ110" s="185">
        <f t="shared" si="2"/>
        <v>43.875</v>
      </c>
      <c r="KA110" s="185">
        <f t="shared" si="2"/>
        <v>43.974999999999994</v>
      </c>
      <c r="KB110" s="185">
        <f t="shared" si="2"/>
        <v>43.974999999999994</v>
      </c>
      <c r="KC110" s="185">
        <f t="shared" si="2"/>
        <v>44.499999999999993</v>
      </c>
      <c r="KD110" s="185">
        <f t="shared" si="2"/>
        <v>44.55</v>
      </c>
      <c r="KE110" s="185">
        <f t="shared" si="2"/>
        <v>44.55</v>
      </c>
      <c r="KF110" s="185">
        <f t="shared" si="2"/>
        <v>44.65</v>
      </c>
      <c r="KG110" s="185">
        <f t="shared" si="2"/>
        <v>45.075000000000003</v>
      </c>
      <c r="KH110" s="185">
        <f t="shared" si="2"/>
        <v>45.075000000000003</v>
      </c>
      <c r="KI110" s="185">
        <f t="shared" si="2"/>
        <v>45.174999999999997</v>
      </c>
      <c r="KJ110" s="185">
        <f t="shared" si="2"/>
        <v>45.174999999999997</v>
      </c>
      <c r="KK110" s="185">
        <f t="shared" si="2"/>
        <v>45.65</v>
      </c>
      <c r="KL110" s="185">
        <f t="shared" si="2"/>
        <v>45.65</v>
      </c>
      <c r="KM110" s="185">
        <f t="shared" si="2"/>
        <v>45.75</v>
      </c>
      <c r="KN110" s="185">
        <f t="shared" si="2"/>
        <v>45.75</v>
      </c>
      <c r="KO110" s="185">
        <f t="shared" si="2"/>
        <v>46.225000000000001</v>
      </c>
      <c r="KP110" s="185">
        <f t="shared" si="2"/>
        <v>46.274999999999999</v>
      </c>
      <c r="KQ110" s="185">
        <f t="shared" si="2"/>
        <v>46.274999999999999</v>
      </c>
      <c r="KR110" s="185">
        <f t="shared" si="2"/>
        <v>46.375</v>
      </c>
      <c r="KS110" s="185">
        <f t="shared" si="2"/>
        <v>46.8</v>
      </c>
      <c r="KT110" s="185">
        <f t="shared" si="2"/>
        <v>46.849999999999994</v>
      </c>
      <c r="KU110" s="185">
        <f t="shared" si="2"/>
        <v>46.849999999999994</v>
      </c>
      <c r="KV110" s="185">
        <f t="shared" si="2"/>
        <v>46.95</v>
      </c>
      <c r="KW110" s="185">
        <f t="shared" si="2"/>
        <v>47.424999999999997</v>
      </c>
      <c r="KX110" s="185">
        <f t="shared" si="2"/>
        <v>47.475000000000001</v>
      </c>
      <c r="KY110" s="185">
        <f t="shared" si="2"/>
        <v>47.475000000000001</v>
      </c>
      <c r="KZ110" s="185">
        <f t="shared" si="2"/>
        <v>48</v>
      </c>
      <c r="LA110" s="185">
        <f t="shared" si="2"/>
        <v>48.05</v>
      </c>
      <c r="LB110" s="185">
        <f t="shared" si="2"/>
        <v>48.05</v>
      </c>
      <c r="LC110" s="185">
        <f t="shared" si="2"/>
        <v>48.150000000000006</v>
      </c>
      <c r="LD110" s="185">
        <f t="shared" si="2"/>
        <v>48.575000000000003</v>
      </c>
      <c r="LE110" s="185">
        <f t="shared" si="2"/>
        <v>48.575000000000003</v>
      </c>
      <c r="LF110" s="185">
        <f t="shared" si="2"/>
        <v>48.674999999999997</v>
      </c>
      <c r="LG110" s="185">
        <f t="shared" si="2"/>
        <v>48.674999999999997</v>
      </c>
      <c r="LH110" s="185">
        <f t="shared" si="2"/>
        <v>49.15</v>
      </c>
      <c r="LI110" s="185">
        <f t="shared" ref="LI110:ME110" si="3">$DX$111*LI111+$DX$112*LI112</f>
        <v>49.15</v>
      </c>
      <c r="LJ110" s="185">
        <f t="shared" si="3"/>
        <v>49.25</v>
      </c>
      <c r="LK110" s="185">
        <f t="shared" si="3"/>
        <v>49.25</v>
      </c>
      <c r="LL110" s="185">
        <f t="shared" si="3"/>
        <v>49.35</v>
      </c>
      <c r="LM110" s="185">
        <f t="shared" si="3"/>
        <v>49.724999999999994</v>
      </c>
      <c r="LN110" s="185">
        <f t="shared" si="3"/>
        <v>49.774999999999999</v>
      </c>
      <c r="LO110" s="185">
        <f t="shared" si="3"/>
        <v>49.774999999999999</v>
      </c>
      <c r="LP110" s="185">
        <f t="shared" si="3"/>
        <v>49.875</v>
      </c>
      <c r="LQ110" s="185">
        <f t="shared" si="3"/>
        <v>49.875</v>
      </c>
      <c r="LR110" s="185">
        <f t="shared" si="3"/>
        <v>50.349999999999994</v>
      </c>
      <c r="LS110" s="185">
        <f t="shared" si="3"/>
        <v>50.349999999999994</v>
      </c>
      <c r="LT110" s="185">
        <f t="shared" si="3"/>
        <v>50.449999999999996</v>
      </c>
      <c r="LU110" s="185">
        <f t="shared" si="3"/>
        <v>50.924999999999997</v>
      </c>
      <c r="LV110" s="185">
        <f t="shared" si="3"/>
        <v>50.974999999999994</v>
      </c>
      <c r="LW110" s="185">
        <f t="shared" si="3"/>
        <v>50.974999999999994</v>
      </c>
      <c r="LX110" s="185">
        <f t="shared" si="3"/>
        <v>51.075000000000003</v>
      </c>
      <c r="LY110" s="185">
        <f t="shared" si="3"/>
        <v>51.5</v>
      </c>
      <c r="LZ110" s="185">
        <f t="shared" si="3"/>
        <v>51.55</v>
      </c>
      <c r="MA110" s="185">
        <f t="shared" si="3"/>
        <v>51.55</v>
      </c>
      <c r="MB110" s="185">
        <f t="shared" si="3"/>
        <v>51.650000000000006</v>
      </c>
      <c r="MC110" s="185">
        <f t="shared" si="3"/>
        <v>51.650000000000006</v>
      </c>
      <c r="MD110" s="185">
        <f t="shared" si="3"/>
        <v>52.074999999999996</v>
      </c>
      <c r="ME110" s="185">
        <f t="shared" si="3"/>
        <v>52.074999999999996</v>
      </c>
    </row>
    <row r="111" spans="1:343" ht="7.4" customHeight="1" x14ac:dyDescent="0.5">
      <c r="A111" s="42"/>
      <c r="S111" s="70"/>
      <c r="T111" s="509"/>
      <c r="U111" s="509"/>
      <c r="V111" s="509"/>
      <c r="W111" s="509"/>
      <c r="X111" s="509"/>
      <c r="Y111" s="509"/>
      <c r="Z111" s="509"/>
      <c r="AA111" s="509"/>
      <c r="AB111" s="509"/>
      <c r="AC111" s="509"/>
      <c r="AD111" s="509"/>
      <c r="AE111" s="509"/>
      <c r="AF111" s="509"/>
      <c r="AG111" s="509"/>
      <c r="AH111" s="509"/>
      <c r="AI111" s="509"/>
      <c r="AJ111" s="509"/>
      <c r="AK111" s="509"/>
      <c r="AL111" s="509"/>
      <c r="AM111" s="509"/>
      <c r="AN111" s="509"/>
      <c r="AO111" s="509"/>
      <c r="AP111" s="509"/>
      <c r="AQ111" s="71"/>
      <c r="BI111" s="41"/>
      <c r="BK111" s="427"/>
      <c r="BL111" s="427"/>
      <c r="BM111" s="427"/>
      <c r="BN111" s="427"/>
      <c r="BO111" s="427"/>
      <c r="BP111" s="427"/>
      <c r="BQ111" s="510"/>
      <c r="BR111" s="510"/>
      <c r="BS111" s="510"/>
      <c r="BT111" s="510"/>
      <c r="BU111" s="510"/>
      <c r="BV111" s="510"/>
      <c r="BW111" s="510"/>
      <c r="BX111" s="510"/>
      <c r="BY111" s="510"/>
      <c r="BZ111" s="510"/>
      <c r="CA111" s="510"/>
      <c r="CB111" s="510"/>
      <c r="CC111" s="339"/>
      <c r="CD111" s="339"/>
      <c r="CE111" s="339"/>
      <c r="CF111" s="339"/>
      <c r="CG111" s="339"/>
      <c r="CH111" s="339"/>
      <c r="CI111" s="336"/>
      <c r="CJ111" s="336"/>
      <c r="CK111" s="336"/>
      <c r="CL111" s="336"/>
      <c r="CM111" s="336"/>
      <c r="CN111" s="336"/>
      <c r="CO111" s="336"/>
      <c r="CP111" s="336"/>
      <c r="CQ111" s="336"/>
      <c r="CR111" s="336"/>
      <c r="CS111" s="336"/>
      <c r="CT111" s="336"/>
      <c r="DW111" s="186">
        <f>DX111*1000</f>
        <v>4700</v>
      </c>
      <c r="DX111" s="187">
        <v>4.7</v>
      </c>
      <c r="DY111" s="188">
        <v>0</v>
      </c>
      <c r="DZ111" s="188">
        <v>0.5</v>
      </c>
      <c r="EA111" s="188">
        <v>0</v>
      </c>
      <c r="EB111" s="188">
        <v>1</v>
      </c>
      <c r="EC111" s="188">
        <v>0.5</v>
      </c>
      <c r="ED111" s="188">
        <v>0</v>
      </c>
      <c r="EE111" s="188">
        <v>1.5</v>
      </c>
      <c r="EF111" s="188">
        <v>1</v>
      </c>
      <c r="EG111" s="188">
        <v>0.5</v>
      </c>
      <c r="EH111" s="188">
        <v>0</v>
      </c>
      <c r="EI111" s="188">
        <v>2</v>
      </c>
      <c r="EJ111" s="188">
        <v>1.5</v>
      </c>
      <c r="EK111" s="188">
        <v>1</v>
      </c>
      <c r="EL111" s="188">
        <v>0.5</v>
      </c>
      <c r="EM111" s="188">
        <v>0</v>
      </c>
      <c r="EN111" s="188">
        <v>2.5</v>
      </c>
      <c r="EO111" s="188">
        <v>2</v>
      </c>
      <c r="EP111" s="188">
        <v>1.5</v>
      </c>
      <c r="EQ111" s="188">
        <v>1</v>
      </c>
      <c r="ER111" s="188">
        <v>0.5</v>
      </c>
      <c r="ES111" s="188">
        <v>0.5</v>
      </c>
      <c r="ET111" s="188">
        <v>0</v>
      </c>
      <c r="EU111" s="188">
        <v>2.5</v>
      </c>
      <c r="EV111" s="188">
        <v>2</v>
      </c>
      <c r="EW111" s="188">
        <v>1.5</v>
      </c>
      <c r="EX111" s="188">
        <v>1</v>
      </c>
      <c r="EY111" s="188">
        <v>3.5</v>
      </c>
      <c r="EZ111" s="188">
        <v>0.5</v>
      </c>
      <c r="FA111" s="188">
        <v>0.5</v>
      </c>
      <c r="FB111" s="188">
        <v>0</v>
      </c>
      <c r="FC111" s="188">
        <v>0</v>
      </c>
      <c r="FD111" s="188">
        <v>2</v>
      </c>
      <c r="FE111" s="188">
        <v>1.5</v>
      </c>
      <c r="FF111" s="188">
        <v>1.5</v>
      </c>
      <c r="FG111" s="188">
        <v>1</v>
      </c>
      <c r="FH111" s="188">
        <v>3.5</v>
      </c>
      <c r="FI111" s="188">
        <v>0.5</v>
      </c>
      <c r="FJ111" s="188">
        <v>3</v>
      </c>
      <c r="FK111" s="188">
        <v>0</v>
      </c>
      <c r="FL111" s="188">
        <v>0</v>
      </c>
      <c r="FM111" s="188">
        <v>2</v>
      </c>
      <c r="FN111" s="188">
        <v>4.5</v>
      </c>
      <c r="FO111" s="188">
        <v>1.5</v>
      </c>
      <c r="FP111" s="188">
        <v>1.5</v>
      </c>
      <c r="FQ111" s="188">
        <v>1</v>
      </c>
      <c r="FR111" s="188">
        <v>1</v>
      </c>
      <c r="FS111" s="188">
        <v>0.5</v>
      </c>
      <c r="FT111" s="188">
        <v>3</v>
      </c>
      <c r="FU111" s="188">
        <v>0</v>
      </c>
      <c r="FV111" s="188">
        <v>2.5</v>
      </c>
      <c r="FW111" s="188">
        <v>2.5</v>
      </c>
      <c r="FX111" s="188">
        <v>2</v>
      </c>
      <c r="FY111" s="188">
        <v>4.5</v>
      </c>
      <c r="FZ111" s="188">
        <v>1.5</v>
      </c>
      <c r="GA111" s="188">
        <v>4</v>
      </c>
      <c r="GB111" s="188">
        <v>1</v>
      </c>
      <c r="GC111" s="188">
        <v>1</v>
      </c>
      <c r="GD111" s="188">
        <v>0.5</v>
      </c>
      <c r="GE111" s="188">
        <v>0.5</v>
      </c>
      <c r="GF111" s="188">
        <v>5.5</v>
      </c>
      <c r="GG111" s="188">
        <v>0</v>
      </c>
      <c r="GH111" s="188">
        <v>2.5</v>
      </c>
      <c r="GI111" s="188">
        <v>2.5</v>
      </c>
      <c r="GJ111" s="188">
        <v>2</v>
      </c>
      <c r="GK111" s="188">
        <v>2</v>
      </c>
      <c r="GL111" s="188">
        <v>1.5</v>
      </c>
      <c r="GM111" s="188">
        <v>4</v>
      </c>
      <c r="GN111" s="188">
        <v>1</v>
      </c>
      <c r="GO111" s="188">
        <v>3.5</v>
      </c>
      <c r="GP111" s="188">
        <v>3.5</v>
      </c>
      <c r="GQ111" s="188">
        <v>0.5</v>
      </c>
      <c r="GR111" s="188">
        <v>0.5</v>
      </c>
      <c r="GS111" s="188">
        <v>5.5</v>
      </c>
      <c r="GT111" s="188">
        <v>0</v>
      </c>
      <c r="GU111" s="188">
        <v>0</v>
      </c>
      <c r="GV111" s="188">
        <v>5</v>
      </c>
      <c r="GW111" s="188">
        <v>2</v>
      </c>
      <c r="GX111" s="188">
        <v>2</v>
      </c>
      <c r="GY111" s="188">
        <v>1.5</v>
      </c>
      <c r="GZ111" s="188">
        <v>1.5</v>
      </c>
      <c r="HA111" s="188">
        <v>6.5</v>
      </c>
      <c r="HB111" s="188">
        <v>1</v>
      </c>
      <c r="HC111" s="188">
        <v>3.5</v>
      </c>
      <c r="HD111" s="188">
        <v>3.5</v>
      </c>
      <c r="HE111" s="188">
        <v>0.5</v>
      </c>
      <c r="HF111" s="188">
        <v>3</v>
      </c>
      <c r="HG111" s="188">
        <v>3</v>
      </c>
      <c r="HH111" s="188">
        <v>0</v>
      </c>
      <c r="HI111" s="188">
        <v>0</v>
      </c>
      <c r="HJ111" s="188">
        <v>5</v>
      </c>
      <c r="HK111" s="188">
        <v>2</v>
      </c>
      <c r="HL111" s="188">
        <v>4.5</v>
      </c>
      <c r="HM111" s="188">
        <v>4.5</v>
      </c>
      <c r="HN111" s="188">
        <v>1.5</v>
      </c>
      <c r="HO111" s="188">
        <v>1.5</v>
      </c>
      <c r="HP111" s="188">
        <v>6.5</v>
      </c>
      <c r="HQ111" s="188">
        <v>1</v>
      </c>
      <c r="HR111" s="188">
        <v>1</v>
      </c>
      <c r="HS111" s="188">
        <v>6</v>
      </c>
      <c r="HT111" s="188">
        <v>0.5</v>
      </c>
      <c r="HU111" s="188">
        <v>3</v>
      </c>
      <c r="HV111" s="188">
        <v>3</v>
      </c>
      <c r="HW111" s="188">
        <v>0</v>
      </c>
      <c r="HX111" s="188">
        <v>2.5</v>
      </c>
      <c r="HY111" s="188">
        <v>2.5</v>
      </c>
      <c r="HZ111" s="188">
        <v>7.5</v>
      </c>
      <c r="IA111" s="188">
        <v>2</v>
      </c>
      <c r="IB111" s="188">
        <v>4.5</v>
      </c>
      <c r="IC111" s="188">
        <v>4.5</v>
      </c>
      <c r="ID111" s="188">
        <v>1.5</v>
      </c>
      <c r="IE111" s="188">
        <v>4</v>
      </c>
      <c r="IF111" s="188">
        <v>4</v>
      </c>
      <c r="IG111" s="188">
        <v>1</v>
      </c>
      <c r="IH111" s="188">
        <v>1</v>
      </c>
      <c r="II111" s="188">
        <v>6</v>
      </c>
      <c r="IJ111" s="188">
        <v>0.5</v>
      </c>
      <c r="IK111" s="188">
        <v>0.5</v>
      </c>
      <c r="IL111" s="188">
        <v>5.5</v>
      </c>
      <c r="IM111" s="188">
        <v>5.5</v>
      </c>
      <c r="IN111" s="188">
        <v>0</v>
      </c>
      <c r="IO111" s="188">
        <v>2.5</v>
      </c>
      <c r="IP111" s="188">
        <v>2.5</v>
      </c>
      <c r="IQ111" s="188">
        <v>7.5</v>
      </c>
      <c r="IR111" s="188">
        <v>2</v>
      </c>
      <c r="IS111" s="188">
        <v>2</v>
      </c>
      <c r="IT111" s="188">
        <v>7</v>
      </c>
      <c r="IU111" s="188">
        <v>1.5</v>
      </c>
      <c r="IV111" s="188">
        <v>4</v>
      </c>
      <c r="IW111" s="188">
        <v>4</v>
      </c>
      <c r="IX111" s="188">
        <v>1</v>
      </c>
      <c r="IY111" s="188">
        <v>3.5</v>
      </c>
      <c r="IZ111" s="188">
        <v>3.5</v>
      </c>
      <c r="JA111" s="188">
        <v>8.5</v>
      </c>
      <c r="JB111" s="188">
        <v>0.5</v>
      </c>
      <c r="JC111" s="188">
        <v>0.5</v>
      </c>
      <c r="JD111" s="188">
        <v>5.5</v>
      </c>
      <c r="JE111" s="188">
        <v>5.5</v>
      </c>
      <c r="JF111" s="188">
        <v>0</v>
      </c>
      <c r="JG111" s="188">
        <v>0</v>
      </c>
      <c r="JH111" s="188">
        <v>5</v>
      </c>
      <c r="JI111" s="188">
        <v>5</v>
      </c>
      <c r="JJ111" s="188">
        <v>2</v>
      </c>
      <c r="JK111" s="188">
        <v>2</v>
      </c>
      <c r="JL111" s="188">
        <v>7</v>
      </c>
      <c r="JM111" s="188">
        <v>1.5</v>
      </c>
      <c r="JN111" s="188">
        <v>1.5</v>
      </c>
      <c r="JO111" s="188">
        <v>6.5</v>
      </c>
      <c r="JP111" s="188">
        <v>6.5</v>
      </c>
      <c r="JQ111" s="188">
        <v>1</v>
      </c>
      <c r="JR111" s="188">
        <v>3.5</v>
      </c>
      <c r="JS111" s="188">
        <v>3.5</v>
      </c>
      <c r="JT111" s="188">
        <v>8.5</v>
      </c>
      <c r="JU111" s="188">
        <v>0.5</v>
      </c>
      <c r="JV111" s="188">
        <v>3</v>
      </c>
      <c r="JW111" s="188">
        <v>3</v>
      </c>
      <c r="JX111" s="188">
        <v>8</v>
      </c>
      <c r="JY111" s="188">
        <v>0</v>
      </c>
      <c r="JZ111" s="188">
        <v>0</v>
      </c>
      <c r="KA111" s="188">
        <v>5</v>
      </c>
      <c r="KB111" s="188">
        <v>5</v>
      </c>
      <c r="KC111" s="188">
        <v>2</v>
      </c>
      <c r="KD111" s="188">
        <v>4.5</v>
      </c>
      <c r="KE111" s="188">
        <v>4.5</v>
      </c>
      <c r="KF111" s="188">
        <v>9.5</v>
      </c>
      <c r="KG111" s="188">
        <v>1.5</v>
      </c>
      <c r="KH111" s="188">
        <v>1.5</v>
      </c>
      <c r="KI111" s="188">
        <v>6.5</v>
      </c>
      <c r="KJ111" s="188">
        <v>6.5</v>
      </c>
      <c r="KK111" s="188">
        <v>1</v>
      </c>
      <c r="KL111" s="188">
        <v>1</v>
      </c>
      <c r="KM111" s="188">
        <v>6</v>
      </c>
      <c r="KN111" s="188">
        <v>6</v>
      </c>
      <c r="KO111" s="188">
        <v>0.5</v>
      </c>
      <c r="KP111" s="188">
        <v>3</v>
      </c>
      <c r="KQ111" s="188">
        <v>3</v>
      </c>
      <c r="KR111" s="188">
        <v>8</v>
      </c>
      <c r="KS111" s="188">
        <v>0</v>
      </c>
      <c r="KT111" s="188">
        <v>2.5</v>
      </c>
      <c r="KU111" s="188">
        <v>2.5</v>
      </c>
      <c r="KV111" s="188">
        <v>7.5</v>
      </c>
      <c r="KW111" s="188">
        <v>2</v>
      </c>
      <c r="KX111" s="188">
        <v>4.5</v>
      </c>
      <c r="KY111" s="188">
        <v>4.5</v>
      </c>
      <c r="KZ111" s="188">
        <v>1.5</v>
      </c>
      <c r="LA111" s="188">
        <v>4</v>
      </c>
      <c r="LB111" s="188">
        <v>4</v>
      </c>
      <c r="LC111" s="188">
        <v>9</v>
      </c>
      <c r="LD111" s="188">
        <v>1</v>
      </c>
      <c r="LE111" s="188">
        <v>1</v>
      </c>
      <c r="LF111" s="188">
        <v>6</v>
      </c>
      <c r="LG111" s="188">
        <v>6</v>
      </c>
      <c r="LH111" s="188">
        <v>0.5</v>
      </c>
      <c r="LI111" s="188">
        <v>0.5</v>
      </c>
      <c r="LJ111" s="188">
        <v>5.5</v>
      </c>
      <c r="LK111" s="188">
        <v>5.5</v>
      </c>
      <c r="LL111" s="188">
        <v>10.5</v>
      </c>
      <c r="LM111" s="188">
        <v>0</v>
      </c>
      <c r="LN111" s="188">
        <v>2.5</v>
      </c>
      <c r="LO111" s="188">
        <v>2.5</v>
      </c>
      <c r="LP111" s="188">
        <v>7.5</v>
      </c>
      <c r="LQ111" s="188">
        <v>7.5</v>
      </c>
      <c r="LR111" s="188">
        <v>2</v>
      </c>
      <c r="LS111" s="188">
        <v>2</v>
      </c>
      <c r="LT111" s="188">
        <v>7</v>
      </c>
      <c r="LU111" s="188">
        <v>1.5</v>
      </c>
      <c r="LV111" s="188">
        <v>4</v>
      </c>
      <c r="LW111" s="188">
        <v>4</v>
      </c>
      <c r="LX111" s="188">
        <v>9</v>
      </c>
      <c r="LY111" s="188">
        <v>1</v>
      </c>
      <c r="LZ111" s="188">
        <v>3.5</v>
      </c>
      <c r="MA111" s="188">
        <v>3.5</v>
      </c>
      <c r="MB111" s="188">
        <v>8.5</v>
      </c>
      <c r="MC111" s="188">
        <v>8.5</v>
      </c>
      <c r="MD111" s="188">
        <v>0.5</v>
      </c>
      <c r="ME111" s="188">
        <v>0.5</v>
      </c>
    </row>
    <row r="112" spans="1:343" ht="7.4" customHeight="1" x14ac:dyDescent="0.5">
      <c r="A112" s="42"/>
      <c r="S112" s="72"/>
      <c r="T112" s="73"/>
      <c r="U112" s="73"/>
      <c r="V112" s="73"/>
      <c r="W112" s="73"/>
      <c r="X112" s="73"/>
      <c r="Y112" s="73"/>
      <c r="Z112" s="73"/>
      <c r="AA112" s="73"/>
      <c r="AB112" s="73"/>
      <c r="AC112" s="73"/>
      <c r="AD112" s="73"/>
      <c r="AE112" s="73"/>
      <c r="AF112" s="73"/>
      <c r="AG112" s="73"/>
      <c r="AH112" s="73"/>
      <c r="AI112" s="73"/>
      <c r="AJ112" s="73"/>
      <c r="AK112" s="73"/>
      <c r="AL112" s="73"/>
      <c r="AM112" s="73"/>
      <c r="AN112" s="73"/>
      <c r="AO112" s="73"/>
      <c r="AP112" s="73"/>
      <c r="AQ112" s="74"/>
      <c r="BI112" s="41"/>
      <c r="BK112" s="427"/>
      <c r="BL112" s="427"/>
      <c r="BM112" s="427"/>
      <c r="BN112" s="427"/>
      <c r="BO112" s="427"/>
      <c r="BP112" s="427"/>
      <c r="BQ112" s="510"/>
      <c r="BR112" s="510"/>
      <c r="BS112" s="510"/>
      <c r="BT112" s="510"/>
      <c r="BU112" s="510"/>
      <c r="BV112" s="510"/>
      <c r="BW112" s="510"/>
      <c r="BX112" s="510"/>
      <c r="BY112" s="510"/>
      <c r="BZ112" s="510"/>
      <c r="CA112" s="510"/>
      <c r="CB112" s="510"/>
      <c r="CC112" s="339"/>
      <c r="CD112" s="339"/>
      <c r="CE112" s="339"/>
      <c r="CF112" s="339"/>
      <c r="CG112" s="339"/>
      <c r="CH112" s="339"/>
      <c r="CI112" s="336"/>
      <c r="CJ112" s="336"/>
      <c r="CK112" s="336"/>
      <c r="CL112" s="336"/>
      <c r="CM112" s="336"/>
      <c r="CN112" s="336"/>
      <c r="CO112" s="336"/>
      <c r="CP112" s="336"/>
      <c r="CQ112" s="336"/>
      <c r="CR112" s="336"/>
      <c r="CS112" s="336"/>
      <c r="CT112" s="336"/>
      <c r="DW112" s="186">
        <f>DX112*1000</f>
        <v>5850</v>
      </c>
      <c r="DX112" s="187">
        <v>5.85</v>
      </c>
      <c r="DY112" s="188">
        <v>0</v>
      </c>
      <c r="DZ112" s="188">
        <v>0</v>
      </c>
      <c r="EA112" s="188">
        <v>0.5</v>
      </c>
      <c r="EB112" s="188">
        <v>0</v>
      </c>
      <c r="EC112" s="188">
        <v>0.5</v>
      </c>
      <c r="ED112" s="188">
        <v>1</v>
      </c>
      <c r="EE112" s="188">
        <v>0</v>
      </c>
      <c r="EF112" s="188">
        <v>0.5</v>
      </c>
      <c r="EG112" s="188">
        <v>1</v>
      </c>
      <c r="EH112" s="188">
        <v>1.5</v>
      </c>
      <c r="EI112" s="188">
        <v>0</v>
      </c>
      <c r="EJ112" s="188">
        <v>0.5</v>
      </c>
      <c r="EK112" s="188">
        <v>1</v>
      </c>
      <c r="EL112" s="188">
        <v>1.5</v>
      </c>
      <c r="EM112" s="188">
        <v>2</v>
      </c>
      <c r="EN112" s="188">
        <v>0</v>
      </c>
      <c r="EO112" s="188">
        <v>0.5</v>
      </c>
      <c r="EP112" s="188">
        <v>1</v>
      </c>
      <c r="EQ112" s="188">
        <v>1.5</v>
      </c>
      <c r="ER112" s="188">
        <v>2</v>
      </c>
      <c r="ES112" s="188">
        <v>2</v>
      </c>
      <c r="ET112" s="188">
        <v>2.5</v>
      </c>
      <c r="EU112" s="188">
        <v>0.5</v>
      </c>
      <c r="EV112" s="188">
        <v>1</v>
      </c>
      <c r="EW112" s="188">
        <v>1.5</v>
      </c>
      <c r="EX112" s="188">
        <v>2</v>
      </c>
      <c r="EY112" s="188">
        <v>0</v>
      </c>
      <c r="EZ112" s="188">
        <v>2.5</v>
      </c>
      <c r="FA112" s="188">
        <v>2.5</v>
      </c>
      <c r="FB112" s="188">
        <v>3</v>
      </c>
      <c r="FC112" s="188">
        <v>3</v>
      </c>
      <c r="FD112" s="188">
        <v>1.5</v>
      </c>
      <c r="FE112" s="188">
        <v>2</v>
      </c>
      <c r="FF112" s="188">
        <v>2</v>
      </c>
      <c r="FG112" s="188">
        <v>2.5</v>
      </c>
      <c r="FH112" s="188">
        <v>0.5</v>
      </c>
      <c r="FI112" s="188">
        <v>3</v>
      </c>
      <c r="FJ112" s="188">
        <v>1</v>
      </c>
      <c r="FK112" s="188">
        <v>3.5</v>
      </c>
      <c r="FL112" s="188">
        <v>3.5</v>
      </c>
      <c r="FM112" s="188">
        <v>2</v>
      </c>
      <c r="FN112" s="188">
        <v>0</v>
      </c>
      <c r="FO112" s="188">
        <v>2.5</v>
      </c>
      <c r="FP112" s="188">
        <v>2.5</v>
      </c>
      <c r="FQ112" s="188">
        <v>3</v>
      </c>
      <c r="FR112" s="188">
        <v>3</v>
      </c>
      <c r="FS112" s="188">
        <v>3.5</v>
      </c>
      <c r="FT112" s="188">
        <v>1.5</v>
      </c>
      <c r="FU112" s="188">
        <v>4</v>
      </c>
      <c r="FV112" s="188">
        <v>2</v>
      </c>
      <c r="FW112" s="188">
        <v>2</v>
      </c>
      <c r="FX112" s="188">
        <v>2.5</v>
      </c>
      <c r="FY112" s="188">
        <v>0.5</v>
      </c>
      <c r="FZ112" s="188">
        <v>3</v>
      </c>
      <c r="GA112" s="188">
        <v>1</v>
      </c>
      <c r="GB112" s="188">
        <v>3.5</v>
      </c>
      <c r="GC112" s="188">
        <v>3.5</v>
      </c>
      <c r="GD112" s="188">
        <v>4</v>
      </c>
      <c r="GE112" s="188">
        <v>4</v>
      </c>
      <c r="GF112" s="188">
        <v>0</v>
      </c>
      <c r="GG112" s="188">
        <v>4.5</v>
      </c>
      <c r="GH112" s="188">
        <v>2.5</v>
      </c>
      <c r="GI112" s="188">
        <v>2.5</v>
      </c>
      <c r="GJ112" s="188">
        <v>3</v>
      </c>
      <c r="GK112" s="188">
        <v>3</v>
      </c>
      <c r="GL112" s="188">
        <v>3.5</v>
      </c>
      <c r="GM112" s="188">
        <v>1.5</v>
      </c>
      <c r="GN112" s="188">
        <v>4</v>
      </c>
      <c r="GO112" s="188">
        <v>2</v>
      </c>
      <c r="GP112" s="188">
        <v>2</v>
      </c>
      <c r="GQ112" s="188">
        <v>4.5</v>
      </c>
      <c r="GR112" s="188">
        <v>4.5</v>
      </c>
      <c r="GS112" s="188">
        <v>0.5</v>
      </c>
      <c r="GT112" s="188">
        <v>5</v>
      </c>
      <c r="GU112" s="188">
        <v>5</v>
      </c>
      <c r="GV112" s="188">
        <v>1</v>
      </c>
      <c r="GW112" s="188">
        <v>3.5</v>
      </c>
      <c r="GX112" s="188">
        <v>3.5</v>
      </c>
      <c r="GY112" s="188">
        <v>4</v>
      </c>
      <c r="GZ112" s="188">
        <v>4</v>
      </c>
      <c r="HA112" s="188">
        <v>0</v>
      </c>
      <c r="HB112" s="188">
        <v>4.5</v>
      </c>
      <c r="HC112" s="188">
        <v>2.5</v>
      </c>
      <c r="HD112" s="188">
        <v>2.5</v>
      </c>
      <c r="HE112" s="188">
        <v>5</v>
      </c>
      <c r="HF112" s="188">
        <v>3</v>
      </c>
      <c r="HG112" s="188">
        <v>3</v>
      </c>
      <c r="HH112" s="188">
        <v>5.5</v>
      </c>
      <c r="HI112" s="188">
        <v>5.5</v>
      </c>
      <c r="HJ112" s="188">
        <v>1.5</v>
      </c>
      <c r="HK112" s="188">
        <v>4</v>
      </c>
      <c r="HL112" s="188">
        <v>2</v>
      </c>
      <c r="HM112" s="188">
        <v>2</v>
      </c>
      <c r="HN112" s="188">
        <v>4.5</v>
      </c>
      <c r="HO112" s="188">
        <v>4.5</v>
      </c>
      <c r="HP112" s="188">
        <v>0.5</v>
      </c>
      <c r="HQ112" s="188">
        <v>5</v>
      </c>
      <c r="HR112" s="188">
        <v>5</v>
      </c>
      <c r="HS112" s="188">
        <v>1</v>
      </c>
      <c r="HT112" s="188">
        <v>5.5</v>
      </c>
      <c r="HU112" s="188">
        <v>3.5</v>
      </c>
      <c r="HV112" s="188">
        <v>3.5</v>
      </c>
      <c r="HW112" s="188">
        <v>6</v>
      </c>
      <c r="HX112" s="188">
        <v>4</v>
      </c>
      <c r="HY112" s="188">
        <v>4</v>
      </c>
      <c r="HZ112" s="188">
        <v>0</v>
      </c>
      <c r="IA112" s="188">
        <v>4.5</v>
      </c>
      <c r="IB112" s="188">
        <v>2.5</v>
      </c>
      <c r="IC112" s="188">
        <v>2.5</v>
      </c>
      <c r="ID112" s="188">
        <v>5</v>
      </c>
      <c r="IE112" s="188">
        <v>3</v>
      </c>
      <c r="IF112" s="188">
        <v>3</v>
      </c>
      <c r="IG112" s="188">
        <v>5.5</v>
      </c>
      <c r="IH112" s="188">
        <v>5.5</v>
      </c>
      <c r="II112" s="188">
        <v>1.5</v>
      </c>
      <c r="IJ112" s="188">
        <v>6</v>
      </c>
      <c r="IK112" s="188">
        <v>6</v>
      </c>
      <c r="IL112" s="188">
        <v>2</v>
      </c>
      <c r="IM112" s="188">
        <v>2</v>
      </c>
      <c r="IN112" s="188">
        <v>6.5</v>
      </c>
      <c r="IO112" s="188">
        <v>4.5</v>
      </c>
      <c r="IP112" s="188">
        <v>4.5</v>
      </c>
      <c r="IQ112" s="188">
        <v>0.5</v>
      </c>
      <c r="IR112" s="188">
        <v>5</v>
      </c>
      <c r="IS112" s="188">
        <v>5</v>
      </c>
      <c r="IT112" s="188">
        <v>1</v>
      </c>
      <c r="IU112" s="188">
        <v>5.5</v>
      </c>
      <c r="IV112" s="188">
        <v>3.5</v>
      </c>
      <c r="IW112" s="188">
        <v>3.5</v>
      </c>
      <c r="IX112" s="188">
        <v>6</v>
      </c>
      <c r="IY112" s="188">
        <v>4</v>
      </c>
      <c r="IZ112" s="188">
        <v>4</v>
      </c>
      <c r="JA112" s="188">
        <v>0</v>
      </c>
      <c r="JB112" s="188">
        <v>6.5</v>
      </c>
      <c r="JC112" s="188">
        <v>6.5</v>
      </c>
      <c r="JD112" s="188">
        <v>2.5</v>
      </c>
      <c r="JE112" s="188">
        <v>2.5</v>
      </c>
      <c r="JF112" s="188">
        <v>7</v>
      </c>
      <c r="JG112" s="188">
        <v>7</v>
      </c>
      <c r="JH112" s="188">
        <v>3</v>
      </c>
      <c r="JI112" s="188">
        <v>3</v>
      </c>
      <c r="JJ112" s="188">
        <v>5.5</v>
      </c>
      <c r="JK112" s="188">
        <v>5.5</v>
      </c>
      <c r="JL112" s="188">
        <v>1.5</v>
      </c>
      <c r="JM112" s="188">
        <v>6</v>
      </c>
      <c r="JN112" s="188">
        <v>6</v>
      </c>
      <c r="JO112" s="188">
        <v>2</v>
      </c>
      <c r="JP112" s="188">
        <v>2</v>
      </c>
      <c r="JQ112" s="188">
        <v>6.5</v>
      </c>
      <c r="JR112" s="188">
        <v>4.5</v>
      </c>
      <c r="JS112" s="188">
        <v>4.5</v>
      </c>
      <c r="JT112" s="188">
        <v>0.5</v>
      </c>
      <c r="JU112" s="188">
        <v>7</v>
      </c>
      <c r="JV112" s="188">
        <v>5</v>
      </c>
      <c r="JW112" s="188">
        <v>5</v>
      </c>
      <c r="JX112" s="188">
        <v>1</v>
      </c>
      <c r="JY112" s="188">
        <v>7.5</v>
      </c>
      <c r="JZ112" s="188">
        <v>7.5</v>
      </c>
      <c r="KA112" s="188">
        <v>3.5</v>
      </c>
      <c r="KB112" s="188">
        <v>3.5</v>
      </c>
      <c r="KC112" s="188">
        <v>6</v>
      </c>
      <c r="KD112" s="188">
        <v>4</v>
      </c>
      <c r="KE112" s="188">
        <v>4</v>
      </c>
      <c r="KF112" s="188">
        <v>0</v>
      </c>
      <c r="KG112" s="188">
        <v>6.5</v>
      </c>
      <c r="KH112" s="188">
        <v>6.5</v>
      </c>
      <c r="KI112" s="188">
        <v>2.5</v>
      </c>
      <c r="KJ112" s="188">
        <v>2.5</v>
      </c>
      <c r="KK112" s="188">
        <v>7</v>
      </c>
      <c r="KL112" s="188">
        <v>7</v>
      </c>
      <c r="KM112" s="188">
        <v>3</v>
      </c>
      <c r="KN112" s="188">
        <v>3</v>
      </c>
      <c r="KO112" s="188">
        <v>7.5</v>
      </c>
      <c r="KP112" s="188">
        <v>5.5</v>
      </c>
      <c r="KQ112" s="188">
        <v>5.5</v>
      </c>
      <c r="KR112" s="188">
        <v>1.5</v>
      </c>
      <c r="KS112" s="188">
        <v>8</v>
      </c>
      <c r="KT112" s="188">
        <v>6</v>
      </c>
      <c r="KU112" s="188">
        <v>6</v>
      </c>
      <c r="KV112" s="188">
        <v>2</v>
      </c>
      <c r="KW112" s="188">
        <v>6.5</v>
      </c>
      <c r="KX112" s="188">
        <v>4.5</v>
      </c>
      <c r="KY112" s="188">
        <v>4.5</v>
      </c>
      <c r="KZ112" s="188">
        <v>7</v>
      </c>
      <c r="LA112" s="188">
        <v>5</v>
      </c>
      <c r="LB112" s="188">
        <v>5</v>
      </c>
      <c r="LC112" s="188">
        <v>1</v>
      </c>
      <c r="LD112" s="188">
        <v>7.5</v>
      </c>
      <c r="LE112" s="188">
        <v>7.5</v>
      </c>
      <c r="LF112" s="188">
        <v>3.5</v>
      </c>
      <c r="LG112" s="188">
        <v>3.5</v>
      </c>
      <c r="LH112" s="188">
        <v>8</v>
      </c>
      <c r="LI112" s="188">
        <v>8</v>
      </c>
      <c r="LJ112" s="188">
        <v>4</v>
      </c>
      <c r="LK112" s="188">
        <v>4</v>
      </c>
      <c r="LL112" s="188">
        <v>0</v>
      </c>
      <c r="LM112" s="188">
        <v>8.5</v>
      </c>
      <c r="LN112" s="188">
        <v>6.5</v>
      </c>
      <c r="LO112" s="188">
        <v>6.5</v>
      </c>
      <c r="LP112" s="188">
        <v>2.5</v>
      </c>
      <c r="LQ112" s="188">
        <v>2.5</v>
      </c>
      <c r="LR112" s="188">
        <v>7</v>
      </c>
      <c r="LS112" s="188">
        <v>7</v>
      </c>
      <c r="LT112" s="188">
        <v>3</v>
      </c>
      <c r="LU112" s="188">
        <v>7.5</v>
      </c>
      <c r="LV112" s="188">
        <v>5.5</v>
      </c>
      <c r="LW112" s="188">
        <v>5.5</v>
      </c>
      <c r="LX112" s="188">
        <v>1.5</v>
      </c>
      <c r="LY112" s="188">
        <v>8</v>
      </c>
      <c r="LZ112" s="188">
        <v>6</v>
      </c>
      <c r="MA112" s="188">
        <v>6</v>
      </c>
      <c r="MB112" s="188">
        <v>2</v>
      </c>
      <c r="MC112" s="188">
        <v>2</v>
      </c>
      <c r="MD112" s="188">
        <v>8.5</v>
      </c>
      <c r="ME112" s="188">
        <v>8.5</v>
      </c>
    </row>
    <row r="113" spans="1:342" ht="7.4" customHeight="1" x14ac:dyDescent="0.5">
      <c r="A113" s="42"/>
      <c r="BI113" s="41"/>
      <c r="CO113" s="298"/>
      <c r="CP113" s="298"/>
      <c r="CQ113" s="298"/>
      <c r="CR113" s="298"/>
      <c r="CS113" s="298"/>
      <c r="CT113" s="298"/>
      <c r="DW113" s="24" t="s">
        <v>86</v>
      </c>
    </row>
    <row r="114" spans="1:342" ht="7.4" customHeight="1" x14ac:dyDescent="0.5">
      <c r="A114" s="42"/>
      <c r="B114" s="29"/>
      <c r="C114" s="422" t="s">
        <v>49</v>
      </c>
      <c r="D114" s="422"/>
      <c r="E114" s="423"/>
      <c r="F114" s="29"/>
      <c r="G114" s="422" t="s">
        <v>50</v>
      </c>
      <c r="H114" s="422"/>
      <c r="I114" s="422"/>
      <c r="J114" s="422"/>
      <c r="K114" s="422"/>
      <c r="L114" s="422"/>
      <c r="M114" s="422"/>
      <c r="N114" s="422"/>
      <c r="O114" s="422"/>
      <c r="P114" s="422"/>
      <c r="Q114" s="422"/>
      <c r="R114" s="423"/>
      <c r="S114" s="29"/>
      <c r="T114" s="363" t="s">
        <v>51</v>
      </c>
      <c r="U114" s="363"/>
      <c r="V114" s="363"/>
      <c r="W114" s="363"/>
      <c r="X114" s="363"/>
      <c r="Y114" s="363"/>
      <c r="Z114" s="363"/>
      <c r="AA114" s="363"/>
      <c r="AB114" s="363"/>
      <c r="AC114" s="363"/>
      <c r="AD114" s="363"/>
      <c r="AE114" s="363"/>
      <c r="AF114" s="363"/>
      <c r="AG114" s="363"/>
      <c r="AH114" s="363"/>
      <c r="AI114" s="363"/>
      <c r="AJ114" s="364"/>
      <c r="AK114" s="29"/>
      <c r="AL114" s="422" t="s">
        <v>106</v>
      </c>
      <c r="AM114" s="422"/>
      <c r="AN114" s="422"/>
      <c r="AO114" s="422"/>
      <c r="AP114" s="423"/>
      <c r="AQ114" s="299" t="s">
        <v>53</v>
      </c>
      <c r="AR114" s="363"/>
      <c r="AS114" s="363"/>
      <c r="AT114" s="363"/>
      <c r="AU114" s="363"/>
      <c r="AV114" s="363"/>
      <c r="AW114" s="363"/>
      <c r="AX114" s="363"/>
      <c r="AY114" s="363"/>
      <c r="AZ114" s="363"/>
      <c r="BA114" s="363"/>
      <c r="BB114" s="363"/>
      <c r="BC114" s="363"/>
      <c r="BD114" s="363"/>
      <c r="BE114" s="363"/>
      <c r="BF114" s="363"/>
      <c r="BG114" s="363"/>
      <c r="BH114" s="364"/>
      <c r="BI114" s="41"/>
      <c r="BK114" s="81"/>
      <c r="BL114" s="77"/>
      <c r="BM114" s="40"/>
      <c r="BN114" s="77"/>
      <c r="BO114" s="77"/>
      <c r="BP114" s="40"/>
      <c r="BQ114" s="81"/>
      <c r="BR114" s="77"/>
      <c r="BS114" s="40"/>
      <c r="BT114" s="81"/>
      <c r="BU114" s="77"/>
      <c r="BV114" s="40"/>
      <c r="BW114" s="81"/>
      <c r="BX114" s="77"/>
      <c r="BY114" s="40"/>
      <c r="BZ114" s="81"/>
      <c r="CA114" s="77"/>
      <c r="CB114" s="40"/>
      <c r="CC114" s="81"/>
      <c r="CD114" s="77"/>
      <c r="CE114" s="40"/>
      <c r="CF114" s="81"/>
      <c r="CG114" s="77"/>
      <c r="CH114" s="40"/>
      <c r="CI114" s="81"/>
      <c r="CJ114" s="77"/>
      <c r="CK114" s="40"/>
      <c r="CL114" s="81"/>
      <c r="CM114" s="77"/>
      <c r="CN114" s="40"/>
      <c r="CO114" s="81"/>
      <c r="CP114" s="77"/>
      <c r="CQ114" s="40"/>
      <c r="CR114" s="81"/>
      <c r="CS114" s="77"/>
      <c r="CT114" s="40"/>
      <c r="CU114" s="81"/>
      <c r="CV114" s="77"/>
      <c r="CW114" s="40"/>
      <c r="CX114" s="81"/>
      <c r="CY114" s="77"/>
      <c r="CZ114" s="40"/>
      <c r="DA114" s="81"/>
      <c r="DB114" s="77"/>
      <c r="DC114" s="40"/>
      <c r="DD114" s="81"/>
      <c r="DE114" s="77"/>
      <c r="DF114" s="40"/>
      <c r="DY114" s="189"/>
      <c r="DZ114" s="189"/>
      <c r="EA114" s="189"/>
      <c r="EB114" s="189"/>
      <c r="EC114" s="189"/>
      <c r="ED114" s="189"/>
      <c r="EE114" s="189"/>
      <c r="EF114" s="189"/>
      <c r="EG114" s="189"/>
      <c r="EH114" s="189"/>
      <c r="EI114" s="189"/>
      <c r="EJ114" s="189"/>
      <c r="EK114" s="189"/>
      <c r="EL114" s="189"/>
      <c r="EM114" s="189"/>
      <c r="EN114" s="189"/>
      <c r="EO114" s="189"/>
      <c r="EP114" s="189"/>
      <c r="EQ114" s="189"/>
      <c r="ER114" s="189"/>
      <c r="ES114" s="189"/>
      <c r="ET114" s="189"/>
      <c r="EU114" s="189"/>
      <c r="EV114" s="189"/>
      <c r="EW114" s="189"/>
      <c r="EX114" s="189"/>
      <c r="EY114" s="189"/>
      <c r="EZ114" s="189"/>
      <c r="FA114" s="189"/>
      <c r="FB114" s="189"/>
      <c r="FC114" s="189"/>
      <c r="FD114" s="189"/>
      <c r="FE114" s="189"/>
      <c r="FF114" s="189"/>
      <c r="FG114" s="189"/>
      <c r="FH114" s="189"/>
      <c r="FI114" s="189"/>
      <c r="FJ114" s="189"/>
      <c r="FK114" s="189"/>
      <c r="FL114" s="189"/>
      <c r="FM114" s="189"/>
      <c r="FN114" s="189"/>
      <c r="FO114" s="189"/>
      <c r="FP114" s="189"/>
      <c r="FQ114" s="189"/>
      <c r="FR114" s="189"/>
      <c r="FS114" s="189"/>
      <c r="FT114" s="189"/>
      <c r="FU114" s="189"/>
      <c r="FV114" s="189"/>
      <c r="FW114" s="189"/>
      <c r="FX114" s="189"/>
      <c r="FY114" s="189"/>
      <c r="FZ114" s="189"/>
      <c r="GA114" s="189"/>
      <c r="GB114" s="189"/>
      <c r="GC114" s="189"/>
      <c r="GD114" s="189"/>
      <c r="GE114" s="189"/>
      <c r="GF114" s="189"/>
      <c r="GG114" s="189"/>
      <c r="GH114" s="189"/>
      <c r="GI114" s="189"/>
      <c r="GJ114" s="189"/>
      <c r="GK114" s="189"/>
      <c r="GL114" s="189"/>
      <c r="GM114" s="189"/>
      <c r="GN114" s="189"/>
      <c r="GO114" s="189"/>
      <c r="GP114" s="189"/>
      <c r="GQ114" s="189"/>
      <c r="GR114" s="189"/>
      <c r="GS114" s="189"/>
      <c r="GT114" s="189"/>
      <c r="GU114" s="189"/>
      <c r="GV114" s="189"/>
      <c r="GW114" s="189"/>
      <c r="GX114" s="189"/>
      <c r="GY114" s="189"/>
      <c r="GZ114" s="189"/>
      <c r="HA114" s="189"/>
      <c r="HB114" s="189"/>
      <c r="HC114" s="189"/>
      <c r="HD114" s="189"/>
      <c r="HE114" s="189"/>
      <c r="HF114" s="189"/>
      <c r="HG114" s="189"/>
      <c r="HH114" s="189"/>
      <c r="HI114" s="189"/>
      <c r="HJ114" s="189"/>
      <c r="HK114" s="189"/>
      <c r="HL114" s="189"/>
      <c r="HM114" s="189"/>
      <c r="HN114" s="189"/>
      <c r="HO114" s="189"/>
      <c r="HP114" s="189"/>
      <c r="HQ114" s="189"/>
      <c r="HR114" s="189"/>
      <c r="HS114" s="189"/>
      <c r="HT114" s="189"/>
      <c r="HU114" s="189"/>
      <c r="HV114" s="189"/>
      <c r="HW114" s="189"/>
      <c r="HX114" s="189"/>
      <c r="HY114" s="189"/>
      <c r="HZ114" s="189"/>
      <c r="IA114" s="189"/>
      <c r="IB114" s="189"/>
      <c r="IC114" s="189"/>
      <c r="ID114" s="189"/>
      <c r="IE114" s="189"/>
      <c r="IF114" s="189"/>
      <c r="IG114" s="189"/>
      <c r="IH114" s="189"/>
      <c r="II114" s="189"/>
      <c r="IJ114" s="189"/>
      <c r="IK114" s="189"/>
      <c r="IL114" s="189"/>
      <c r="IM114" s="189"/>
      <c r="IN114" s="189"/>
      <c r="IO114" s="189"/>
      <c r="IP114" s="189"/>
      <c r="IQ114" s="189"/>
      <c r="IR114" s="189"/>
      <c r="IS114" s="189"/>
      <c r="IT114" s="189"/>
      <c r="IU114" s="189"/>
      <c r="IV114" s="189"/>
      <c r="IW114" s="189"/>
      <c r="IX114" s="189"/>
      <c r="IY114" s="189"/>
      <c r="IZ114" s="189"/>
      <c r="JA114" s="189"/>
      <c r="JB114" s="189"/>
      <c r="JC114" s="189"/>
      <c r="JD114" s="189"/>
      <c r="JE114" s="189"/>
      <c r="JF114" s="189"/>
      <c r="JG114" s="189"/>
      <c r="JH114" s="189"/>
      <c r="JI114" s="189"/>
      <c r="JJ114" s="189"/>
      <c r="JK114" s="189"/>
      <c r="JL114" s="189"/>
      <c r="JM114" s="189"/>
      <c r="JN114" s="189"/>
      <c r="JO114" s="189"/>
      <c r="JP114" s="189"/>
      <c r="JQ114" s="189"/>
      <c r="JR114" s="189"/>
      <c r="JS114" s="189"/>
      <c r="JT114" s="189"/>
      <c r="JU114" s="189"/>
      <c r="JV114" s="189"/>
      <c r="JW114" s="189"/>
      <c r="JX114" s="189"/>
      <c r="JY114" s="189"/>
      <c r="JZ114" s="189"/>
      <c r="KA114" s="189"/>
      <c r="KB114" s="189"/>
      <c r="KC114" s="189"/>
      <c r="KD114" s="189"/>
      <c r="KE114" s="189"/>
      <c r="KF114" s="189"/>
      <c r="KG114" s="189"/>
      <c r="KH114" s="189"/>
      <c r="KI114" s="189"/>
      <c r="KJ114" s="189"/>
      <c r="KK114" s="189"/>
      <c r="KL114" s="189"/>
      <c r="KM114" s="189"/>
      <c r="KN114" s="189"/>
      <c r="KO114" s="189"/>
      <c r="KP114" s="189"/>
      <c r="KQ114" s="189"/>
      <c r="KR114" s="189"/>
      <c r="KS114" s="189"/>
      <c r="KT114" s="189"/>
      <c r="KU114" s="189"/>
      <c r="KV114" s="189"/>
      <c r="KW114" s="189"/>
      <c r="KX114" s="189"/>
      <c r="KY114" s="189"/>
      <c r="KZ114" s="189"/>
      <c r="LA114" s="189"/>
      <c r="LB114" s="189"/>
      <c r="LC114" s="189"/>
      <c r="LD114" s="189"/>
      <c r="LE114" s="189"/>
      <c r="LF114" s="189"/>
      <c r="LG114" s="189"/>
      <c r="LH114" s="189"/>
      <c r="LI114" s="189"/>
      <c r="LJ114" s="189"/>
      <c r="LK114" s="189"/>
      <c r="LL114" s="189"/>
      <c r="LM114" s="189"/>
      <c r="LN114" s="189"/>
      <c r="LO114" s="189"/>
      <c r="LP114" s="189"/>
      <c r="LQ114" s="189"/>
      <c r="LR114" s="189"/>
      <c r="LS114" s="189"/>
      <c r="LT114" s="189"/>
      <c r="LU114" s="189"/>
      <c r="LV114" s="189"/>
      <c r="LW114" s="189"/>
      <c r="LX114" s="189"/>
      <c r="LY114" s="189"/>
      <c r="LZ114" s="189"/>
      <c r="MA114" s="189"/>
      <c r="MB114" s="189"/>
      <c r="MC114" s="189"/>
      <c r="MD114" s="189"/>
    </row>
    <row r="115" spans="1:342" ht="7.4" customHeight="1" x14ac:dyDescent="0.5">
      <c r="A115" s="42"/>
      <c r="B115" s="32"/>
      <c r="C115" s="408"/>
      <c r="D115" s="408"/>
      <c r="E115" s="424"/>
      <c r="F115" s="32"/>
      <c r="G115" s="408"/>
      <c r="H115" s="408"/>
      <c r="I115" s="408"/>
      <c r="J115" s="408"/>
      <c r="K115" s="408"/>
      <c r="L115" s="408"/>
      <c r="M115" s="408"/>
      <c r="N115" s="408"/>
      <c r="O115" s="408"/>
      <c r="P115" s="408"/>
      <c r="Q115" s="408"/>
      <c r="R115" s="424"/>
      <c r="S115" s="32"/>
      <c r="T115" s="366"/>
      <c r="U115" s="366"/>
      <c r="V115" s="366"/>
      <c r="W115" s="366"/>
      <c r="X115" s="366"/>
      <c r="Y115" s="366"/>
      <c r="Z115" s="366"/>
      <c r="AA115" s="366"/>
      <c r="AB115" s="366"/>
      <c r="AC115" s="366"/>
      <c r="AD115" s="366"/>
      <c r="AE115" s="366"/>
      <c r="AF115" s="366"/>
      <c r="AG115" s="366"/>
      <c r="AH115" s="366"/>
      <c r="AI115" s="366"/>
      <c r="AJ115" s="367"/>
      <c r="AK115" s="32"/>
      <c r="AL115" s="408"/>
      <c r="AM115" s="408"/>
      <c r="AN115" s="408"/>
      <c r="AO115" s="408"/>
      <c r="AP115" s="424"/>
      <c r="AQ115" s="365"/>
      <c r="AR115" s="366"/>
      <c r="AS115" s="366"/>
      <c r="AT115" s="366"/>
      <c r="AU115" s="366"/>
      <c r="AV115" s="366"/>
      <c r="AW115" s="366"/>
      <c r="AX115" s="366"/>
      <c r="AY115" s="366"/>
      <c r="AZ115" s="366"/>
      <c r="BA115" s="366"/>
      <c r="BB115" s="366"/>
      <c r="BC115" s="366"/>
      <c r="BD115" s="366"/>
      <c r="BE115" s="366"/>
      <c r="BF115" s="366"/>
      <c r="BG115" s="366"/>
      <c r="BH115" s="367"/>
      <c r="BI115" s="41"/>
      <c r="BK115" s="310">
        <v>1</v>
      </c>
      <c r="BL115" s="311"/>
      <c r="BM115" s="312"/>
      <c r="BN115" s="310">
        <v>2</v>
      </c>
      <c r="BO115" s="311"/>
      <c r="BP115" s="312"/>
      <c r="BQ115" s="310">
        <v>3</v>
      </c>
      <c r="BR115" s="311"/>
      <c r="BS115" s="312"/>
      <c r="BT115" s="310">
        <v>4</v>
      </c>
      <c r="BU115" s="311"/>
      <c r="BV115" s="312"/>
      <c r="BW115" s="310">
        <v>5</v>
      </c>
      <c r="BX115" s="311"/>
      <c r="BY115" s="312"/>
      <c r="BZ115" s="310">
        <v>6</v>
      </c>
      <c r="CA115" s="311"/>
      <c r="CB115" s="312"/>
      <c r="CC115" s="310">
        <v>7</v>
      </c>
      <c r="CD115" s="311"/>
      <c r="CE115" s="312"/>
      <c r="CF115" s="310">
        <v>8</v>
      </c>
      <c r="CG115" s="311"/>
      <c r="CH115" s="312"/>
      <c r="CI115" s="310">
        <v>9</v>
      </c>
      <c r="CJ115" s="311"/>
      <c r="CK115" s="312"/>
      <c r="CL115" s="310">
        <v>10</v>
      </c>
      <c r="CM115" s="311"/>
      <c r="CN115" s="312"/>
      <c r="CO115" s="310">
        <v>11</v>
      </c>
      <c r="CP115" s="311"/>
      <c r="CQ115" s="312"/>
      <c r="CR115" s="310">
        <v>12</v>
      </c>
      <c r="CS115" s="311"/>
      <c r="CT115" s="312"/>
      <c r="CU115" s="310">
        <v>13</v>
      </c>
      <c r="CV115" s="311"/>
      <c r="CW115" s="312"/>
      <c r="CX115" s="310">
        <v>14</v>
      </c>
      <c r="CY115" s="311"/>
      <c r="CZ115" s="312"/>
      <c r="DA115" s="310">
        <v>15</v>
      </c>
      <c r="DB115" s="311"/>
      <c r="DC115" s="312"/>
      <c r="DD115" s="310">
        <v>16</v>
      </c>
      <c r="DE115" s="311"/>
      <c r="DF115" s="312"/>
      <c r="DH115" s="331"/>
      <c r="DI115" s="331"/>
      <c r="DJ115" s="331"/>
      <c r="DK115" s="331"/>
      <c r="DL115" s="311"/>
      <c r="DM115" s="311"/>
      <c r="DN115" s="311"/>
      <c r="DO115" s="311"/>
      <c r="DP115" s="311"/>
      <c r="DQ115" s="311"/>
      <c r="DR115" s="311"/>
      <c r="DS115" s="311"/>
      <c r="DT115" s="311"/>
      <c r="DY115" s="190">
        <f t="shared" ref="DY115:GJ115" si="4">DZ110-DY110</f>
        <v>2.35</v>
      </c>
      <c r="DZ115" s="190">
        <f t="shared" si="4"/>
        <v>0.57499999999999973</v>
      </c>
      <c r="EA115" s="190">
        <f t="shared" si="4"/>
        <v>1.7750000000000004</v>
      </c>
      <c r="EB115" s="190">
        <f t="shared" si="4"/>
        <v>0.57500000000000018</v>
      </c>
      <c r="EC115" s="190">
        <f t="shared" si="4"/>
        <v>0.57499999999999929</v>
      </c>
      <c r="ED115" s="190">
        <f t="shared" si="4"/>
        <v>1.2000000000000011</v>
      </c>
      <c r="EE115" s="190">
        <f t="shared" si="4"/>
        <v>0.57499999999999929</v>
      </c>
      <c r="EF115" s="190">
        <f t="shared" si="4"/>
        <v>0.57499999999999929</v>
      </c>
      <c r="EG115" s="190">
        <f t="shared" si="4"/>
        <v>0.57499999999999929</v>
      </c>
      <c r="EH115" s="190">
        <f t="shared" si="4"/>
        <v>0.62500000000000178</v>
      </c>
      <c r="EI115" s="190">
        <f t="shared" si="4"/>
        <v>0.57500000000000107</v>
      </c>
      <c r="EJ115" s="190">
        <f t="shared" si="4"/>
        <v>0.57499999999999929</v>
      </c>
      <c r="EK115" s="190">
        <f t="shared" si="4"/>
        <v>0.57499999999999751</v>
      </c>
      <c r="EL115" s="190">
        <f t="shared" si="4"/>
        <v>0.57500000000000107</v>
      </c>
      <c r="EM115" s="190">
        <f t="shared" si="4"/>
        <v>5.0000000000000711E-2</v>
      </c>
      <c r="EN115" s="190">
        <f t="shared" si="4"/>
        <v>0.57499999999999929</v>
      </c>
      <c r="EO115" s="190">
        <f t="shared" si="4"/>
        <v>0.57500000000000107</v>
      </c>
      <c r="EP115" s="190">
        <f t="shared" si="4"/>
        <v>0.57499999999999751</v>
      </c>
      <c r="EQ115" s="190">
        <f t="shared" si="4"/>
        <v>0.57500000000000107</v>
      </c>
      <c r="ER115" s="190">
        <f t="shared" si="4"/>
        <v>0</v>
      </c>
      <c r="ES115" s="190">
        <f t="shared" si="4"/>
        <v>0.57500000000000107</v>
      </c>
      <c r="ET115" s="190">
        <f t="shared" si="4"/>
        <v>5.0000000000000711E-2</v>
      </c>
      <c r="EU115" s="190">
        <f t="shared" si="4"/>
        <v>0.57499999999999929</v>
      </c>
      <c r="EV115" s="190">
        <f t="shared" si="4"/>
        <v>0.57499999999999929</v>
      </c>
      <c r="EW115" s="190">
        <f t="shared" si="4"/>
        <v>0.57499999999999929</v>
      </c>
      <c r="EX115" s="190">
        <f t="shared" si="4"/>
        <v>5.0000000000000711E-2</v>
      </c>
      <c r="EY115" s="190">
        <f t="shared" si="4"/>
        <v>0.52500000000000213</v>
      </c>
      <c r="EZ115" s="190">
        <f t="shared" si="4"/>
        <v>0</v>
      </c>
      <c r="FA115" s="190">
        <f t="shared" si="4"/>
        <v>0.57499999999999574</v>
      </c>
      <c r="FB115" s="190">
        <f t="shared" si="4"/>
        <v>0</v>
      </c>
      <c r="FC115" s="190">
        <f t="shared" si="4"/>
        <v>0.625</v>
      </c>
      <c r="FD115" s="190">
        <f t="shared" si="4"/>
        <v>0.57500000000000284</v>
      </c>
      <c r="FE115" s="190">
        <f t="shared" si="4"/>
        <v>0</v>
      </c>
      <c r="FF115" s="190">
        <f t="shared" si="4"/>
        <v>0.57499999999999929</v>
      </c>
      <c r="FG115" s="190">
        <f t="shared" si="4"/>
        <v>5.0000000000000711E-2</v>
      </c>
      <c r="FH115" s="190">
        <f t="shared" si="4"/>
        <v>0.52499999999999858</v>
      </c>
      <c r="FI115" s="190">
        <f t="shared" si="4"/>
        <v>5.0000000000004263E-2</v>
      </c>
      <c r="FJ115" s="190">
        <f t="shared" si="4"/>
        <v>0.52499999999999503</v>
      </c>
      <c r="FK115" s="190">
        <f t="shared" si="4"/>
        <v>0</v>
      </c>
      <c r="FL115" s="190">
        <f t="shared" si="4"/>
        <v>0.62500000000000355</v>
      </c>
      <c r="FM115" s="190">
        <f t="shared" si="4"/>
        <v>5.0000000000000711E-2</v>
      </c>
      <c r="FN115" s="190">
        <f t="shared" si="4"/>
        <v>0.52499999999999858</v>
      </c>
      <c r="FO115" s="190">
        <f t="shared" si="4"/>
        <v>0</v>
      </c>
      <c r="FP115" s="190">
        <f t="shared" si="4"/>
        <v>0.57499999999999574</v>
      </c>
      <c r="FQ115" s="190">
        <f t="shared" si="4"/>
        <v>0</v>
      </c>
      <c r="FR115" s="190">
        <f t="shared" si="4"/>
        <v>0.57500000000000284</v>
      </c>
      <c r="FS115" s="190">
        <f t="shared" si="4"/>
        <v>5.0000000000000711E-2</v>
      </c>
      <c r="FT115" s="190">
        <f t="shared" si="4"/>
        <v>0.52499999999999858</v>
      </c>
      <c r="FU115" s="190">
        <f t="shared" si="4"/>
        <v>5.0000000000000711E-2</v>
      </c>
      <c r="FV115" s="190">
        <f t="shared" si="4"/>
        <v>0</v>
      </c>
      <c r="FW115" s="190">
        <f t="shared" si="4"/>
        <v>0.57499999999999929</v>
      </c>
      <c r="FX115" s="190">
        <f t="shared" si="4"/>
        <v>5.0000000000004263E-2</v>
      </c>
      <c r="FY115" s="190">
        <f t="shared" si="4"/>
        <v>0.52499999999999503</v>
      </c>
      <c r="FZ115" s="190">
        <f t="shared" si="4"/>
        <v>5.0000000000000711E-2</v>
      </c>
      <c r="GA115" s="190">
        <f t="shared" si="4"/>
        <v>0.52499999999999858</v>
      </c>
      <c r="GB115" s="190">
        <f t="shared" si="4"/>
        <v>0</v>
      </c>
      <c r="GC115" s="190">
        <f t="shared" si="4"/>
        <v>0.57500000000000284</v>
      </c>
      <c r="GD115" s="190">
        <f t="shared" si="4"/>
        <v>0</v>
      </c>
      <c r="GE115" s="190">
        <f t="shared" si="4"/>
        <v>0.10000000000000142</v>
      </c>
      <c r="GF115" s="190">
        <f t="shared" si="4"/>
        <v>0.47499999999999787</v>
      </c>
      <c r="GG115" s="190">
        <f t="shared" si="4"/>
        <v>5.0000000000000711E-2</v>
      </c>
      <c r="GH115" s="190">
        <f t="shared" si="4"/>
        <v>0</v>
      </c>
      <c r="GI115" s="190">
        <f t="shared" si="4"/>
        <v>0.57499999999999574</v>
      </c>
      <c r="GJ115" s="190">
        <f t="shared" si="4"/>
        <v>0</v>
      </c>
      <c r="GK115" s="190">
        <f t="shared" ref="GK115:IV115" si="5">GL110-GK110</f>
        <v>0.57500000000000284</v>
      </c>
      <c r="GL115" s="190">
        <f t="shared" si="5"/>
        <v>5.0000000000000711E-2</v>
      </c>
      <c r="GM115" s="190">
        <f t="shared" si="5"/>
        <v>0.52499999999999858</v>
      </c>
      <c r="GN115" s="190">
        <f t="shared" si="5"/>
        <v>5.0000000000000711E-2</v>
      </c>
      <c r="GO115" s="190">
        <f t="shared" si="5"/>
        <v>0</v>
      </c>
      <c r="GP115" s="190">
        <f t="shared" si="5"/>
        <v>0.52500000000000213</v>
      </c>
      <c r="GQ115" s="190">
        <f t="shared" si="5"/>
        <v>0</v>
      </c>
      <c r="GR115" s="190">
        <f t="shared" si="5"/>
        <v>0.10000000000000142</v>
      </c>
      <c r="GS115" s="190">
        <f t="shared" si="5"/>
        <v>0.47499999999999787</v>
      </c>
      <c r="GT115" s="190">
        <f t="shared" si="5"/>
        <v>0</v>
      </c>
      <c r="GU115" s="190">
        <f t="shared" si="5"/>
        <v>0.10000000000000142</v>
      </c>
      <c r="GV115" s="190">
        <f t="shared" si="5"/>
        <v>0.52499999999999858</v>
      </c>
      <c r="GW115" s="190">
        <f t="shared" si="5"/>
        <v>0</v>
      </c>
      <c r="GX115" s="190">
        <f t="shared" si="5"/>
        <v>0.57499999999999929</v>
      </c>
      <c r="GY115" s="190">
        <f t="shared" si="5"/>
        <v>0</v>
      </c>
      <c r="GZ115" s="190">
        <f t="shared" si="5"/>
        <v>0.10000000000000142</v>
      </c>
      <c r="HA115" s="190">
        <f t="shared" si="5"/>
        <v>0.47499999999999787</v>
      </c>
      <c r="HB115" s="190">
        <f t="shared" si="5"/>
        <v>5.0000000000000711E-2</v>
      </c>
      <c r="HC115" s="190">
        <f t="shared" si="5"/>
        <v>0</v>
      </c>
      <c r="HD115" s="190">
        <f t="shared" si="5"/>
        <v>0.52500000000000213</v>
      </c>
      <c r="HE115" s="190">
        <f t="shared" si="5"/>
        <v>4.9999999999997158E-2</v>
      </c>
      <c r="HF115" s="190">
        <f t="shared" si="5"/>
        <v>0</v>
      </c>
      <c r="HG115" s="190">
        <f t="shared" si="5"/>
        <v>0.52499999999999858</v>
      </c>
      <c r="HH115" s="190">
        <f t="shared" si="5"/>
        <v>0</v>
      </c>
      <c r="HI115" s="190">
        <f t="shared" si="5"/>
        <v>0.10000000000000142</v>
      </c>
      <c r="HJ115" s="190">
        <f t="shared" si="5"/>
        <v>0.52499999999999858</v>
      </c>
      <c r="HK115" s="190">
        <f t="shared" si="5"/>
        <v>5.0000000000004263E-2</v>
      </c>
      <c r="HL115" s="190">
        <f t="shared" si="5"/>
        <v>0</v>
      </c>
      <c r="HM115" s="190">
        <f t="shared" si="5"/>
        <v>0.52499999999999858</v>
      </c>
      <c r="HN115" s="190">
        <f t="shared" si="5"/>
        <v>0</v>
      </c>
      <c r="HO115" s="190">
        <f t="shared" si="5"/>
        <v>0.10000000000000142</v>
      </c>
      <c r="HP115" s="190">
        <f t="shared" si="5"/>
        <v>0.47500000000000142</v>
      </c>
      <c r="HQ115" s="190">
        <f t="shared" si="5"/>
        <v>0</v>
      </c>
      <c r="HR115" s="190">
        <f t="shared" si="5"/>
        <v>0.10000000000000142</v>
      </c>
      <c r="HS115" s="190">
        <f t="shared" si="5"/>
        <v>0.47499999999999432</v>
      </c>
      <c r="HT115" s="190">
        <f t="shared" si="5"/>
        <v>5.0000000000004263E-2</v>
      </c>
      <c r="HU115" s="190">
        <f t="shared" si="5"/>
        <v>0</v>
      </c>
      <c r="HV115" s="190">
        <f t="shared" si="5"/>
        <v>0.52499999999999147</v>
      </c>
      <c r="HW115" s="190">
        <f t="shared" si="5"/>
        <v>5.0000000000004263E-2</v>
      </c>
      <c r="HX115" s="190">
        <f t="shared" si="5"/>
        <v>0</v>
      </c>
      <c r="HY115" s="190">
        <f t="shared" si="5"/>
        <v>0.10000000000000142</v>
      </c>
      <c r="HZ115" s="190">
        <f t="shared" si="5"/>
        <v>0.47500000000000142</v>
      </c>
      <c r="IA115" s="190">
        <f t="shared" si="5"/>
        <v>5.0000000000004263E-2</v>
      </c>
      <c r="IB115" s="190">
        <f t="shared" si="5"/>
        <v>0</v>
      </c>
      <c r="IC115" s="190">
        <f t="shared" si="5"/>
        <v>0.52499999999999147</v>
      </c>
      <c r="ID115" s="190">
        <f t="shared" si="5"/>
        <v>4.9999999999997158E-2</v>
      </c>
      <c r="IE115" s="190">
        <f t="shared" si="5"/>
        <v>0</v>
      </c>
      <c r="IF115" s="190">
        <f t="shared" si="5"/>
        <v>0.52500000000000568</v>
      </c>
      <c r="IG115" s="190">
        <f t="shared" si="5"/>
        <v>0</v>
      </c>
      <c r="IH115" s="190">
        <f t="shared" si="5"/>
        <v>0.10000000000000142</v>
      </c>
      <c r="II115" s="190">
        <f t="shared" si="5"/>
        <v>0.47499999999999432</v>
      </c>
      <c r="IJ115" s="190">
        <f t="shared" si="5"/>
        <v>0</v>
      </c>
      <c r="IK115" s="190">
        <f t="shared" si="5"/>
        <v>0.10000000000000142</v>
      </c>
      <c r="IL115" s="190">
        <f t="shared" si="5"/>
        <v>0</v>
      </c>
      <c r="IM115" s="190">
        <f t="shared" si="5"/>
        <v>0.47500000000000142</v>
      </c>
      <c r="IN115" s="190">
        <f t="shared" si="5"/>
        <v>5.0000000000004263E-2</v>
      </c>
      <c r="IO115" s="190">
        <f t="shared" si="5"/>
        <v>0</v>
      </c>
      <c r="IP115" s="190">
        <f t="shared" si="5"/>
        <v>9.9999999999994316E-2</v>
      </c>
      <c r="IQ115" s="190">
        <f t="shared" si="5"/>
        <v>0.47500000000000142</v>
      </c>
      <c r="IR115" s="190">
        <f t="shared" si="5"/>
        <v>0</v>
      </c>
      <c r="IS115" s="190">
        <f t="shared" si="5"/>
        <v>0.10000000000000142</v>
      </c>
      <c r="IT115" s="190">
        <f t="shared" si="5"/>
        <v>0.47499999999999432</v>
      </c>
      <c r="IU115" s="190">
        <f t="shared" si="5"/>
        <v>5.0000000000004263E-2</v>
      </c>
      <c r="IV115" s="190">
        <f t="shared" si="5"/>
        <v>0</v>
      </c>
      <c r="IW115" s="190">
        <f t="shared" ref="IW115:LH115" si="6">IX110-IW110</f>
        <v>0.52499999999999858</v>
      </c>
      <c r="IX115" s="190">
        <f t="shared" si="6"/>
        <v>4.9999999999997158E-2</v>
      </c>
      <c r="IY115" s="190">
        <f t="shared" si="6"/>
        <v>0</v>
      </c>
      <c r="IZ115" s="190">
        <f t="shared" si="6"/>
        <v>0.10000000000000853</v>
      </c>
      <c r="JA115" s="190">
        <f t="shared" si="6"/>
        <v>0.42499999999999716</v>
      </c>
      <c r="JB115" s="190">
        <f t="shared" si="6"/>
        <v>0</v>
      </c>
      <c r="JC115" s="190">
        <f t="shared" si="6"/>
        <v>0.10000000000000142</v>
      </c>
      <c r="JD115" s="190">
        <f t="shared" si="6"/>
        <v>0</v>
      </c>
      <c r="JE115" s="190">
        <f t="shared" si="6"/>
        <v>0.47499999999999432</v>
      </c>
      <c r="JF115" s="190">
        <f t="shared" si="6"/>
        <v>0</v>
      </c>
      <c r="JG115" s="190">
        <f t="shared" si="6"/>
        <v>0.10000000000000142</v>
      </c>
      <c r="JH115" s="190">
        <f t="shared" si="6"/>
        <v>0</v>
      </c>
      <c r="JI115" s="190">
        <f t="shared" si="6"/>
        <v>0.52499999999999858</v>
      </c>
      <c r="JJ115" s="190">
        <f t="shared" si="6"/>
        <v>0</v>
      </c>
      <c r="JK115" s="190">
        <f t="shared" si="6"/>
        <v>0.10000000000000142</v>
      </c>
      <c r="JL115" s="190">
        <f t="shared" si="6"/>
        <v>0.47499999999999432</v>
      </c>
      <c r="JM115" s="190">
        <f t="shared" si="6"/>
        <v>0</v>
      </c>
      <c r="JN115" s="190">
        <f t="shared" si="6"/>
        <v>0.10000000000000853</v>
      </c>
      <c r="JO115" s="190">
        <f t="shared" si="6"/>
        <v>0</v>
      </c>
      <c r="JP115" s="190">
        <f t="shared" si="6"/>
        <v>0.47500000000000142</v>
      </c>
      <c r="JQ115" s="190">
        <f t="shared" si="6"/>
        <v>4.9999999999997158E-2</v>
      </c>
      <c r="JR115" s="190">
        <f t="shared" si="6"/>
        <v>0</v>
      </c>
      <c r="JS115" s="190">
        <f t="shared" si="6"/>
        <v>0.10000000000000142</v>
      </c>
      <c r="JT115" s="190">
        <f t="shared" si="6"/>
        <v>0.42499999999999716</v>
      </c>
      <c r="JU115" s="190">
        <f t="shared" si="6"/>
        <v>5.0000000000004263E-2</v>
      </c>
      <c r="JV115" s="190">
        <f t="shared" si="6"/>
        <v>0</v>
      </c>
      <c r="JW115" s="190">
        <f t="shared" si="6"/>
        <v>0.10000000000000142</v>
      </c>
      <c r="JX115" s="190">
        <f t="shared" si="6"/>
        <v>0.42499999999999716</v>
      </c>
      <c r="JY115" s="190">
        <f t="shared" si="6"/>
        <v>0</v>
      </c>
      <c r="JZ115" s="190">
        <f t="shared" si="6"/>
        <v>9.9999999999994316E-2</v>
      </c>
      <c r="KA115" s="190">
        <f t="shared" si="6"/>
        <v>0</v>
      </c>
      <c r="KB115" s="190">
        <f t="shared" si="6"/>
        <v>0.52499999999999858</v>
      </c>
      <c r="KC115" s="190">
        <f t="shared" si="6"/>
        <v>5.0000000000004263E-2</v>
      </c>
      <c r="KD115" s="190">
        <f t="shared" si="6"/>
        <v>0</v>
      </c>
      <c r="KE115" s="190">
        <f t="shared" si="6"/>
        <v>0.10000000000000142</v>
      </c>
      <c r="KF115" s="190">
        <f t="shared" si="6"/>
        <v>0.42500000000000426</v>
      </c>
      <c r="KG115" s="190">
        <f t="shared" si="6"/>
        <v>0</v>
      </c>
      <c r="KH115" s="190">
        <f t="shared" si="6"/>
        <v>9.9999999999994316E-2</v>
      </c>
      <c r="KI115" s="190">
        <f t="shared" si="6"/>
        <v>0</v>
      </c>
      <c r="KJ115" s="190">
        <f t="shared" si="6"/>
        <v>0.47500000000000142</v>
      </c>
      <c r="KK115" s="190">
        <f t="shared" si="6"/>
        <v>0</v>
      </c>
      <c r="KL115" s="190">
        <f t="shared" si="6"/>
        <v>0.10000000000000142</v>
      </c>
      <c r="KM115" s="190">
        <f t="shared" si="6"/>
        <v>0</v>
      </c>
      <c r="KN115" s="190">
        <f t="shared" si="6"/>
        <v>0.47500000000000142</v>
      </c>
      <c r="KO115" s="190">
        <f t="shared" si="6"/>
        <v>4.9999999999997158E-2</v>
      </c>
      <c r="KP115" s="190">
        <f t="shared" si="6"/>
        <v>0</v>
      </c>
      <c r="KQ115" s="190">
        <f t="shared" si="6"/>
        <v>0.10000000000000142</v>
      </c>
      <c r="KR115" s="190">
        <f t="shared" si="6"/>
        <v>0.42499999999999716</v>
      </c>
      <c r="KS115" s="190">
        <f t="shared" si="6"/>
        <v>4.9999999999997158E-2</v>
      </c>
      <c r="KT115" s="190">
        <f t="shared" si="6"/>
        <v>0</v>
      </c>
      <c r="KU115" s="190">
        <f t="shared" si="6"/>
        <v>0.10000000000000853</v>
      </c>
      <c r="KV115" s="190">
        <f t="shared" si="6"/>
        <v>0.47499999999999432</v>
      </c>
      <c r="KW115" s="190">
        <f t="shared" si="6"/>
        <v>5.0000000000004263E-2</v>
      </c>
      <c r="KX115" s="190">
        <f t="shared" si="6"/>
        <v>0</v>
      </c>
      <c r="KY115" s="190">
        <f t="shared" si="6"/>
        <v>0.52499999999999858</v>
      </c>
      <c r="KZ115" s="190">
        <f t="shared" si="6"/>
        <v>4.9999999999997158E-2</v>
      </c>
      <c r="LA115" s="190">
        <f t="shared" si="6"/>
        <v>0</v>
      </c>
      <c r="LB115" s="190">
        <f t="shared" si="6"/>
        <v>0.10000000000000853</v>
      </c>
      <c r="LC115" s="190">
        <f t="shared" si="6"/>
        <v>0.42499999999999716</v>
      </c>
      <c r="LD115" s="190">
        <f t="shared" si="6"/>
        <v>0</v>
      </c>
      <c r="LE115" s="190">
        <f t="shared" si="6"/>
        <v>9.9999999999994316E-2</v>
      </c>
      <c r="LF115" s="190">
        <f t="shared" si="6"/>
        <v>0</v>
      </c>
      <c r="LG115" s="190">
        <f t="shared" si="6"/>
        <v>0.47500000000000142</v>
      </c>
      <c r="LH115" s="190">
        <f t="shared" si="6"/>
        <v>0</v>
      </c>
      <c r="LI115" s="190">
        <f t="shared" ref="LI115:MD115" si="7">LJ110-LI110</f>
        <v>0.10000000000000142</v>
      </c>
      <c r="LJ115" s="190">
        <f t="shared" si="7"/>
        <v>0</v>
      </c>
      <c r="LK115" s="190">
        <f t="shared" si="7"/>
        <v>0.10000000000000142</v>
      </c>
      <c r="LL115" s="190">
        <f t="shared" si="7"/>
        <v>0.37499999999999289</v>
      </c>
      <c r="LM115" s="190">
        <f t="shared" si="7"/>
        <v>5.0000000000004263E-2</v>
      </c>
      <c r="LN115" s="190">
        <f t="shared" si="7"/>
        <v>0</v>
      </c>
      <c r="LO115" s="190">
        <f t="shared" si="7"/>
        <v>0.10000000000000142</v>
      </c>
      <c r="LP115" s="190">
        <f t="shared" si="7"/>
        <v>0</v>
      </c>
      <c r="LQ115" s="190">
        <f t="shared" si="7"/>
        <v>0.47499999999999432</v>
      </c>
      <c r="LR115" s="190">
        <f t="shared" si="7"/>
        <v>0</v>
      </c>
      <c r="LS115" s="190">
        <f t="shared" si="7"/>
        <v>0.10000000000000142</v>
      </c>
      <c r="LT115" s="190">
        <f t="shared" si="7"/>
        <v>0.47500000000000142</v>
      </c>
      <c r="LU115" s="190">
        <f t="shared" si="7"/>
        <v>4.9999999999997158E-2</v>
      </c>
      <c r="LV115" s="190">
        <f t="shared" si="7"/>
        <v>0</v>
      </c>
      <c r="LW115" s="190">
        <f t="shared" si="7"/>
        <v>0.10000000000000853</v>
      </c>
      <c r="LX115" s="190">
        <f t="shared" si="7"/>
        <v>0.42499999999999716</v>
      </c>
      <c r="LY115" s="190">
        <f t="shared" si="7"/>
        <v>4.9999999999997158E-2</v>
      </c>
      <c r="LZ115" s="190">
        <f t="shared" si="7"/>
        <v>0</v>
      </c>
      <c r="MA115" s="190">
        <f t="shared" si="7"/>
        <v>0.10000000000000853</v>
      </c>
      <c r="MB115" s="190">
        <f t="shared" si="7"/>
        <v>0</v>
      </c>
      <c r="MC115" s="190">
        <f t="shared" si="7"/>
        <v>0.42499999999999005</v>
      </c>
      <c r="MD115" s="190">
        <f t="shared" si="7"/>
        <v>0</v>
      </c>
    </row>
    <row r="116" spans="1:342" ht="7.4" customHeight="1" x14ac:dyDescent="0.5">
      <c r="A116" s="42"/>
      <c r="B116" s="32"/>
      <c r="C116" s="408"/>
      <c r="D116" s="408"/>
      <c r="E116" s="424"/>
      <c r="F116" s="32"/>
      <c r="G116" s="408"/>
      <c r="H116" s="408"/>
      <c r="I116" s="408"/>
      <c r="J116" s="408"/>
      <c r="K116" s="408"/>
      <c r="L116" s="408"/>
      <c r="M116" s="408"/>
      <c r="N116" s="408"/>
      <c r="O116" s="408"/>
      <c r="P116" s="408"/>
      <c r="Q116" s="408"/>
      <c r="R116" s="424"/>
      <c r="S116" s="32"/>
      <c r="T116" s="366"/>
      <c r="U116" s="366"/>
      <c r="V116" s="366"/>
      <c r="W116" s="366"/>
      <c r="X116" s="366"/>
      <c r="Y116" s="366"/>
      <c r="Z116" s="366"/>
      <c r="AA116" s="366"/>
      <c r="AB116" s="366"/>
      <c r="AC116" s="366"/>
      <c r="AD116" s="366"/>
      <c r="AE116" s="366"/>
      <c r="AF116" s="366"/>
      <c r="AG116" s="366"/>
      <c r="AH116" s="366"/>
      <c r="AI116" s="366"/>
      <c r="AJ116" s="367"/>
      <c r="AK116" s="32"/>
      <c r="AL116" s="408"/>
      <c r="AM116" s="408"/>
      <c r="AN116" s="408"/>
      <c r="AO116" s="408"/>
      <c r="AP116" s="424"/>
      <c r="AQ116" s="365"/>
      <c r="AR116" s="366"/>
      <c r="AS116" s="366"/>
      <c r="AT116" s="366"/>
      <c r="AU116" s="366"/>
      <c r="AV116" s="366"/>
      <c r="AW116" s="366"/>
      <c r="AX116" s="366"/>
      <c r="AY116" s="366"/>
      <c r="AZ116" s="366"/>
      <c r="BA116" s="366"/>
      <c r="BB116" s="366"/>
      <c r="BC116" s="366"/>
      <c r="BD116" s="366"/>
      <c r="BE116" s="366"/>
      <c r="BF116" s="366"/>
      <c r="BG116" s="366"/>
      <c r="BH116" s="367"/>
      <c r="BI116" s="41"/>
      <c r="BK116" s="310"/>
      <c r="BL116" s="311"/>
      <c r="BM116" s="312"/>
      <c r="BN116" s="310"/>
      <c r="BO116" s="311"/>
      <c r="BP116" s="312"/>
      <c r="BQ116" s="310"/>
      <c r="BR116" s="311"/>
      <c r="BS116" s="312"/>
      <c r="BT116" s="310"/>
      <c r="BU116" s="311"/>
      <c r="BV116" s="312"/>
      <c r="BW116" s="310"/>
      <c r="BX116" s="311"/>
      <c r="BY116" s="312"/>
      <c r="BZ116" s="310"/>
      <c r="CA116" s="311"/>
      <c r="CB116" s="312"/>
      <c r="CC116" s="310"/>
      <c r="CD116" s="311"/>
      <c r="CE116" s="312"/>
      <c r="CF116" s="310"/>
      <c r="CG116" s="311"/>
      <c r="CH116" s="312"/>
      <c r="CI116" s="310"/>
      <c r="CJ116" s="311"/>
      <c r="CK116" s="312"/>
      <c r="CL116" s="310"/>
      <c r="CM116" s="311"/>
      <c r="CN116" s="312"/>
      <c r="CO116" s="310"/>
      <c r="CP116" s="311"/>
      <c r="CQ116" s="312"/>
      <c r="CR116" s="310"/>
      <c r="CS116" s="311"/>
      <c r="CT116" s="312"/>
      <c r="CU116" s="310"/>
      <c r="CV116" s="311"/>
      <c r="CW116" s="312"/>
      <c r="CX116" s="310"/>
      <c r="CY116" s="311"/>
      <c r="CZ116" s="312"/>
      <c r="DA116" s="310"/>
      <c r="DB116" s="311"/>
      <c r="DC116" s="312"/>
      <c r="DD116" s="310"/>
      <c r="DE116" s="311"/>
      <c r="DF116" s="312"/>
      <c r="DH116" s="331"/>
      <c r="DI116" s="331"/>
      <c r="DJ116" s="331"/>
      <c r="DK116" s="331"/>
      <c r="DL116" s="311"/>
      <c r="DM116" s="311"/>
      <c r="DN116" s="311"/>
      <c r="DO116" s="311"/>
      <c r="DP116" s="311"/>
      <c r="DQ116" s="311"/>
      <c r="DR116" s="311"/>
      <c r="DS116" s="311"/>
      <c r="DT116" s="311"/>
      <c r="DY116" s="181"/>
      <c r="DZ116" s="181"/>
      <c r="EA116" s="181"/>
      <c r="EB116" s="181"/>
      <c r="EC116" s="181"/>
      <c r="ED116" s="181"/>
      <c r="EE116" s="181"/>
      <c r="EF116" s="181"/>
      <c r="EG116" s="181"/>
      <c r="EH116" s="181"/>
      <c r="EI116" s="181"/>
      <c r="EJ116" s="181"/>
      <c r="EK116" s="181"/>
      <c r="EL116" s="181"/>
      <c r="EM116" s="181"/>
      <c r="EN116" s="181"/>
      <c r="EO116" s="181"/>
      <c r="EP116" s="181"/>
      <c r="EQ116" s="181"/>
      <c r="ER116" s="181"/>
      <c r="ES116" s="181"/>
      <c r="ET116" s="181"/>
      <c r="EU116" s="181"/>
      <c r="EV116" s="181"/>
      <c r="EW116" s="181"/>
      <c r="EX116" s="181"/>
      <c r="EY116" s="181"/>
      <c r="EZ116" s="181"/>
      <c r="FA116" s="181"/>
      <c r="FB116" s="181"/>
      <c r="FC116" s="181"/>
      <c r="FD116" s="181"/>
      <c r="FE116" s="181"/>
      <c r="FF116" s="181"/>
      <c r="FG116" s="181"/>
      <c r="FH116" s="181"/>
      <c r="FI116" s="181"/>
      <c r="FJ116" s="181"/>
      <c r="FK116" s="181"/>
      <c r="FL116" s="181"/>
      <c r="FM116" s="181"/>
      <c r="FN116" s="181"/>
      <c r="FO116" s="181"/>
      <c r="FP116" s="181"/>
      <c r="FQ116" s="181"/>
      <c r="FR116" s="181"/>
      <c r="FS116" s="181"/>
      <c r="FT116" s="181"/>
      <c r="FU116" s="181"/>
      <c r="FV116" s="181"/>
      <c r="FW116" s="181"/>
      <c r="FX116" s="181"/>
      <c r="FY116" s="181"/>
      <c r="FZ116" s="181"/>
      <c r="GA116" s="181"/>
      <c r="GB116" s="181"/>
      <c r="GC116" s="181"/>
      <c r="GD116" s="181"/>
      <c r="GE116" s="181"/>
      <c r="GF116" s="181"/>
      <c r="GG116" s="181"/>
      <c r="GH116" s="181"/>
      <c r="GI116" s="181"/>
      <c r="GJ116" s="181"/>
      <c r="GK116" s="181"/>
      <c r="GL116" s="181"/>
      <c r="GM116" s="181"/>
      <c r="GN116" s="181"/>
      <c r="GO116" s="181"/>
      <c r="GP116" s="181"/>
      <c r="GQ116" s="181"/>
      <c r="GR116" s="181"/>
      <c r="GS116" s="181"/>
      <c r="GT116" s="181"/>
      <c r="GU116" s="181"/>
      <c r="GV116" s="181"/>
      <c r="GW116" s="181"/>
      <c r="GX116" s="181"/>
      <c r="GY116" s="181"/>
      <c r="GZ116" s="181"/>
      <c r="HA116" s="181"/>
      <c r="HB116" s="181"/>
      <c r="HC116" s="181"/>
      <c r="HD116" s="181"/>
      <c r="HE116" s="181"/>
      <c r="HF116" s="181"/>
      <c r="HG116" s="181"/>
      <c r="HH116" s="181"/>
      <c r="HI116" s="181"/>
      <c r="HJ116" s="181"/>
      <c r="HK116" s="181"/>
      <c r="HL116" s="181"/>
      <c r="HM116" s="181"/>
      <c r="HN116" s="181"/>
      <c r="HO116" s="181"/>
      <c r="HP116" s="181"/>
      <c r="HQ116" s="181"/>
      <c r="HR116" s="181"/>
      <c r="HS116" s="181"/>
      <c r="HT116" s="181"/>
      <c r="HU116" s="181"/>
      <c r="HV116" s="181"/>
      <c r="HW116" s="181"/>
      <c r="HX116" s="181"/>
      <c r="HY116" s="181"/>
      <c r="HZ116" s="181"/>
      <c r="IA116" s="181"/>
      <c r="IB116" s="181"/>
      <c r="IC116" s="181"/>
      <c r="ID116" s="181"/>
      <c r="IE116" s="181"/>
      <c r="IF116" s="181"/>
      <c r="IG116" s="181"/>
      <c r="IH116" s="181"/>
      <c r="II116" s="181"/>
      <c r="IJ116" s="181"/>
      <c r="IK116" s="181"/>
      <c r="IL116" s="181"/>
      <c r="IM116" s="181"/>
      <c r="IN116" s="181"/>
      <c r="IO116" s="181"/>
      <c r="IP116" s="181"/>
      <c r="IQ116" s="181"/>
      <c r="IR116" s="181"/>
      <c r="IS116" s="181"/>
      <c r="IT116" s="181"/>
      <c r="IU116" s="181"/>
      <c r="IV116" s="181"/>
      <c r="IW116" s="181"/>
      <c r="IX116" s="181"/>
      <c r="IY116" s="181"/>
      <c r="IZ116" s="181"/>
      <c r="JA116" s="181"/>
      <c r="JB116" s="181"/>
      <c r="JC116" s="181"/>
      <c r="JD116" s="181"/>
      <c r="JE116" s="181"/>
      <c r="JF116" s="181"/>
      <c r="JG116" s="181"/>
      <c r="JH116" s="181"/>
      <c r="JI116" s="181"/>
      <c r="JJ116" s="181"/>
      <c r="JK116" s="181"/>
      <c r="JL116" s="181"/>
      <c r="JM116" s="181"/>
      <c r="JN116" s="181"/>
      <c r="JO116" s="181"/>
      <c r="JP116" s="181"/>
      <c r="JQ116" s="181"/>
      <c r="JR116" s="181"/>
      <c r="JS116" s="181"/>
      <c r="JT116" s="181"/>
      <c r="JU116" s="181"/>
      <c r="JV116" s="181"/>
      <c r="JW116" s="181"/>
      <c r="JX116" s="181"/>
      <c r="JY116" s="181"/>
      <c r="JZ116" s="181"/>
      <c r="KA116" s="181"/>
      <c r="KB116" s="181"/>
      <c r="KC116" s="181"/>
      <c r="KD116" s="181"/>
      <c r="KE116" s="181"/>
      <c r="KF116" s="181"/>
      <c r="KG116" s="181"/>
      <c r="KH116" s="181"/>
      <c r="KI116" s="181"/>
      <c r="KJ116" s="181"/>
      <c r="KK116" s="181"/>
      <c r="KL116" s="181"/>
      <c r="KM116" s="181"/>
      <c r="KN116" s="181"/>
      <c r="KO116" s="181"/>
      <c r="KP116" s="181"/>
      <c r="KQ116" s="181"/>
      <c r="KR116" s="181"/>
      <c r="KS116" s="181"/>
      <c r="KT116" s="181"/>
      <c r="KU116" s="181"/>
      <c r="KV116" s="181"/>
      <c r="KW116" s="181"/>
      <c r="KX116" s="181"/>
      <c r="KY116" s="181"/>
      <c r="KZ116" s="181"/>
      <c r="LA116" s="181"/>
      <c r="LB116" s="181"/>
      <c r="LC116" s="181"/>
      <c r="LD116" s="181"/>
      <c r="LE116" s="181"/>
      <c r="LF116" s="181"/>
      <c r="LG116" s="181"/>
      <c r="LH116" s="181"/>
      <c r="LI116" s="181"/>
      <c r="LJ116" s="181"/>
      <c r="LK116" s="181"/>
      <c r="LL116" s="181"/>
      <c r="LM116" s="181"/>
      <c r="LN116" s="181"/>
      <c r="LO116" s="181"/>
      <c r="LP116" s="181"/>
      <c r="LQ116" s="181"/>
      <c r="LR116" s="181"/>
      <c r="LS116" s="181"/>
      <c r="LT116" s="181"/>
      <c r="LU116" s="181"/>
      <c r="LV116" s="181"/>
      <c r="LW116" s="181"/>
      <c r="LX116" s="181"/>
      <c r="LY116" s="181"/>
      <c r="LZ116" s="181"/>
      <c r="MA116" s="181"/>
      <c r="MB116" s="181"/>
      <c r="MC116" s="181"/>
      <c r="MD116" s="181"/>
    </row>
    <row r="117" spans="1:342" ht="7.4" customHeight="1" x14ac:dyDescent="0.5">
      <c r="A117" s="42"/>
      <c r="B117" s="35"/>
      <c r="C117" s="425"/>
      <c r="D117" s="425"/>
      <c r="E117" s="426"/>
      <c r="F117" s="35"/>
      <c r="G117" s="425"/>
      <c r="H117" s="425"/>
      <c r="I117" s="425"/>
      <c r="J117" s="425"/>
      <c r="K117" s="425"/>
      <c r="L117" s="425"/>
      <c r="M117" s="425"/>
      <c r="N117" s="425"/>
      <c r="O117" s="425"/>
      <c r="P117" s="425"/>
      <c r="Q117" s="425"/>
      <c r="R117" s="426"/>
      <c r="S117" s="35"/>
      <c r="T117" s="369"/>
      <c r="U117" s="369"/>
      <c r="V117" s="369"/>
      <c r="W117" s="369"/>
      <c r="X117" s="369"/>
      <c r="Y117" s="369"/>
      <c r="Z117" s="369"/>
      <c r="AA117" s="369"/>
      <c r="AB117" s="369"/>
      <c r="AC117" s="369"/>
      <c r="AD117" s="369"/>
      <c r="AE117" s="369"/>
      <c r="AF117" s="369"/>
      <c r="AG117" s="369"/>
      <c r="AH117" s="369"/>
      <c r="AI117" s="369"/>
      <c r="AJ117" s="370"/>
      <c r="AK117" s="35"/>
      <c r="AL117" s="425"/>
      <c r="AM117" s="425"/>
      <c r="AN117" s="425"/>
      <c r="AO117" s="425"/>
      <c r="AP117" s="426"/>
      <c r="AQ117" s="368"/>
      <c r="AR117" s="369"/>
      <c r="AS117" s="369"/>
      <c r="AT117" s="369"/>
      <c r="AU117" s="369"/>
      <c r="AV117" s="369"/>
      <c r="AW117" s="369"/>
      <c r="AX117" s="369"/>
      <c r="AY117" s="369"/>
      <c r="AZ117" s="369"/>
      <c r="BA117" s="369"/>
      <c r="BB117" s="369"/>
      <c r="BC117" s="369"/>
      <c r="BD117" s="369"/>
      <c r="BE117" s="369"/>
      <c r="BF117" s="369"/>
      <c r="BG117" s="369"/>
      <c r="BH117" s="370"/>
      <c r="BI117" s="41"/>
      <c r="BK117" s="220"/>
      <c r="BL117" s="134"/>
      <c r="BM117" s="85"/>
      <c r="BN117" s="134"/>
      <c r="BO117" s="134"/>
      <c r="BP117" s="85"/>
      <c r="BQ117" s="220"/>
      <c r="BR117" s="134"/>
      <c r="BS117" s="85"/>
      <c r="BT117" s="220"/>
      <c r="BU117" s="134"/>
      <c r="BV117" s="85"/>
      <c r="BW117" s="220"/>
      <c r="BX117" s="134"/>
      <c r="BY117" s="85"/>
      <c r="BZ117" s="220"/>
      <c r="CA117" s="134"/>
      <c r="CB117" s="85"/>
      <c r="CC117" s="220"/>
      <c r="CD117" s="134"/>
      <c r="CE117" s="85"/>
      <c r="CF117" s="220"/>
      <c r="CG117" s="134"/>
      <c r="CH117" s="85"/>
      <c r="CI117" s="220"/>
      <c r="CJ117" s="134"/>
      <c r="CK117" s="85"/>
      <c r="CL117" s="220"/>
      <c r="CM117" s="134"/>
      <c r="CN117" s="85"/>
      <c r="CO117" s="220"/>
      <c r="CP117" s="134"/>
      <c r="CQ117" s="85"/>
      <c r="CR117" s="220"/>
      <c r="CS117" s="134"/>
      <c r="CT117" s="85"/>
      <c r="CU117" s="220"/>
      <c r="CV117" s="134"/>
      <c r="CW117" s="85"/>
      <c r="CX117" s="220"/>
      <c r="CY117" s="134"/>
      <c r="CZ117" s="85"/>
      <c r="DA117" s="220"/>
      <c r="DB117" s="134"/>
      <c r="DC117" s="85"/>
      <c r="DD117" s="220"/>
      <c r="DE117" s="134"/>
      <c r="DF117" s="85"/>
      <c r="DY117" s="191"/>
      <c r="DZ117" s="191"/>
      <c r="EA117" s="191"/>
      <c r="EB117" s="191"/>
      <c r="EC117" s="191"/>
      <c r="ED117" s="191"/>
      <c r="EE117" s="191"/>
      <c r="EF117" s="191"/>
      <c r="EG117" s="191"/>
      <c r="EH117" s="191"/>
      <c r="EI117" s="191"/>
      <c r="EJ117" s="192"/>
      <c r="EK117" s="192"/>
      <c r="EL117" s="192"/>
      <c r="EM117" s="192"/>
      <c r="EN117" s="191"/>
      <c r="EO117" s="192"/>
      <c r="EP117" s="192"/>
      <c r="EQ117" s="192"/>
      <c r="ER117" s="192"/>
      <c r="ES117" s="192"/>
      <c r="ET117" s="192"/>
      <c r="EU117" s="192"/>
      <c r="EV117" s="192"/>
      <c r="EW117" s="192"/>
      <c r="EX117" s="192"/>
      <c r="EY117" s="192"/>
      <c r="EZ117" s="192"/>
      <c r="FA117" s="191"/>
      <c r="FB117" s="191"/>
      <c r="FC117" s="191"/>
      <c r="FD117" s="192"/>
      <c r="FE117" s="192"/>
      <c r="FF117" s="192"/>
      <c r="FG117" s="192"/>
      <c r="FH117" s="191"/>
      <c r="FI117" s="191"/>
      <c r="FJ117" s="191"/>
      <c r="FK117" s="191"/>
      <c r="FL117" s="191"/>
      <c r="FM117" s="191"/>
      <c r="FN117" s="191"/>
      <c r="FO117" s="191"/>
      <c r="FP117" s="191"/>
      <c r="FQ117" s="191"/>
      <c r="FR117" s="191"/>
    </row>
    <row r="118" spans="1:342" ht="7.4" customHeight="1" x14ac:dyDescent="0.5">
      <c r="A118" s="42"/>
      <c r="B118" s="38"/>
      <c r="C118" s="39"/>
      <c r="D118" s="39"/>
      <c r="E118" s="40"/>
      <c r="F118" s="38"/>
      <c r="G118" s="140"/>
      <c r="H118" s="140"/>
      <c r="I118" s="140"/>
      <c r="J118" s="140"/>
      <c r="K118" s="140"/>
      <c r="L118" s="140"/>
      <c r="M118" s="140"/>
      <c r="N118" s="140"/>
      <c r="O118" s="140"/>
      <c r="P118" s="140"/>
      <c r="Q118" s="140"/>
      <c r="R118" s="193"/>
      <c r="S118" s="38"/>
      <c r="T118" s="39"/>
      <c r="U118" s="39"/>
      <c r="V118" s="39"/>
      <c r="W118" s="39"/>
      <c r="X118" s="39"/>
      <c r="Y118" s="39"/>
      <c r="Z118" s="39"/>
      <c r="AA118" s="39"/>
      <c r="AB118" s="39"/>
      <c r="AC118" s="39"/>
      <c r="AD118" s="39"/>
      <c r="AE118" s="39"/>
      <c r="AF118" s="39"/>
      <c r="AG118" s="39"/>
      <c r="AH118" s="39"/>
      <c r="AI118" s="39"/>
      <c r="AJ118" s="40"/>
      <c r="AK118" s="38"/>
      <c r="AL118" s="39"/>
      <c r="AM118" s="39"/>
      <c r="AN118" s="39"/>
      <c r="AO118" s="39"/>
      <c r="AP118" s="39"/>
      <c r="AQ118" s="38"/>
      <c r="AR118" s="39"/>
      <c r="AS118" s="39"/>
      <c r="AT118" s="39"/>
      <c r="AU118" s="39"/>
      <c r="AV118" s="39"/>
      <c r="AW118" s="39"/>
      <c r="AX118" s="39"/>
      <c r="AY118" s="39"/>
      <c r="AZ118" s="39"/>
      <c r="BA118" s="39"/>
      <c r="BB118" s="39"/>
      <c r="BC118" s="39"/>
      <c r="BD118" s="39"/>
      <c r="BE118" s="39"/>
      <c r="BF118" s="39"/>
      <c r="BG118" s="39"/>
      <c r="BH118" s="40"/>
      <c r="BI118" s="41"/>
      <c r="BK118" s="415">
        <f>IF($N$74="Combination",0,($AE$45*M58+20*(M58-1)+$N$78*2)*2*M54/$N$74)</f>
        <v>0</v>
      </c>
      <c r="BL118" s="416"/>
      <c r="BM118" s="417"/>
      <c r="BN118" s="415">
        <f>IF($N$74="Combination",0,($AE$45*P58+20*(P58-1)+$N$78*2)*2*P54/$N$74)</f>
        <v>0</v>
      </c>
      <c r="BO118" s="416"/>
      <c r="BP118" s="417"/>
      <c r="BQ118" s="415">
        <f>IF($N$74="Combination",0,($AE$45*S58+20*(S58-1)+$N$78*2)*2*S54/$N$74)</f>
        <v>0</v>
      </c>
      <c r="BR118" s="416"/>
      <c r="BS118" s="417"/>
      <c r="BT118" s="415">
        <f>IF($N$74="Combination",0,($AE$45*V58+20*(V58-1)+$N$78*2)*2*V54/$N$74)</f>
        <v>0</v>
      </c>
      <c r="BU118" s="416"/>
      <c r="BV118" s="417"/>
      <c r="BW118" s="415">
        <f>IF($N$74="Combination",0,($AE$45*Y58+20*(Y58-1)+$N$78*2)*2*Y54/$N$74)</f>
        <v>0</v>
      </c>
      <c r="BX118" s="416"/>
      <c r="BY118" s="417"/>
      <c r="BZ118" s="415">
        <f>IF($N$74="Combination",0,($AE$45*AB58+20*(AB58-1)+$N$78*2)*2*AB54/$N$74)</f>
        <v>0</v>
      </c>
      <c r="CA118" s="416"/>
      <c r="CB118" s="417"/>
      <c r="CC118" s="415">
        <f>IF($N$74="Combination",0,($AE$45*AE58+20*(AE58-1)+$N$78*2)*2*AE54/$N$74)</f>
        <v>0</v>
      </c>
      <c r="CD118" s="416"/>
      <c r="CE118" s="417"/>
      <c r="CF118" s="415">
        <f>IF($N$74="Combination",0,($AE$45*AH58+20*(AH58-1)+$N$78*2)*2*AH54/$N$74)</f>
        <v>0</v>
      </c>
      <c r="CG118" s="416"/>
      <c r="CH118" s="417"/>
      <c r="CI118" s="415">
        <f>IF($N$74="Combination",0,($AE$45*AK58+20*(AK58-1)+$N$78*2)*2*AK54/$N$74)</f>
        <v>0</v>
      </c>
      <c r="CJ118" s="416"/>
      <c r="CK118" s="417"/>
      <c r="CL118" s="415">
        <f>IF($N$74="Combination",0,($AE$45*AN58+20*(AN58-1)+$N$78*2)*2*AN54/$N$74)</f>
        <v>0</v>
      </c>
      <c r="CM118" s="416"/>
      <c r="CN118" s="417"/>
      <c r="CO118" s="415">
        <f>IF($N$74="Combination",0,($AE$45*AQ58+20*(AQ58-1)+$N$78*2)*2*AQ54/$N$74)</f>
        <v>0</v>
      </c>
      <c r="CP118" s="416"/>
      <c r="CQ118" s="417"/>
      <c r="CR118" s="415">
        <f>IF($N$74="Combination",0,($AE$45*AT58+20*(AT58-1)+$N$78*2)*2*AT54/$N$74)</f>
        <v>0</v>
      </c>
      <c r="CS118" s="416"/>
      <c r="CT118" s="417"/>
      <c r="CU118" s="415">
        <f>IF($N$74="Combination",0,($AE$45*AW58+20*(AW58-1)+$N$78*2)*2*AW54/$N$74)</f>
        <v>0</v>
      </c>
      <c r="CV118" s="416"/>
      <c r="CW118" s="417"/>
      <c r="CX118" s="415">
        <f>IF($N$74="Combination",0,($AE$45*AZ58+20*(AZ58-1)+$N$78*2)*2*AZ54/$N$74)</f>
        <v>0</v>
      </c>
      <c r="CY118" s="416"/>
      <c r="CZ118" s="417"/>
      <c r="DA118" s="415">
        <f>IF($N$74="Combination",0,($AE$45*BC58+20*(BC58-1)+$N$78*2)*2*BC54/$N$74)</f>
        <v>0</v>
      </c>
      <c r="DB118" s="416"/>
      <c r="DC118" s="417"/>
      <c r="DD118" s="415">
        <f>IF($N$74="Combination",0,($AE$45*BF58+20*(BF58-1)+$N$78*2)*2*BF54/$N$74)</f>
        <v>0</v>
      </c>
      <c r="DE118" s="416"/>
      <c r="DF118" s="417"/>
      <c r="DY118" s="191"/>
      <c r="DZ118" s="191"/>
      <c r="EA118" s="191"/>
      <c r="EB118" s="191"/>
      <c r="EC118" s="191"/>
      <c r="ED118" s="191"/>
      <c r="EE118" s="191"/>
      <c r="EF118" s="191"/>
      <c r="EG118" s="191"/>
      <c r="EH118" s="191"/>
      <c r="EI118" s="191"/>
      <c r="EJ118" s="192"/>
      <c r="EK118" s="192"/>
      <c r="EL118" s="192"/>
      <c r="EM118" s="192"/>
      <c r="EN118" s="191"/>
      <c r="EO118" s="192"/>
      <c r="EP118" s="192"/>
      <c r="EQ118" s="192"/>
      <c r="ER118" s="192"/>
      <c r="ES118" s="192"/>
      <c r="ET118" s="192"/>
      <c r="EU118" s="192"/>
      <c r="EV118" s="192"/>
      <c r="EW118" s="192"/>
      <c r="EX118" s="192"/>
      <c r="EY118" s="192"/>
      <c r="EZ118" s="192"/>
      <c r="FA118" s="191"/>
      <c r="FB118" s="191"/>
      <c r="FC118" s="191"/>
      <c r="FD118" s="192"/>
      <c r="FE118" s="192"/>
      <c r="FF118" s="192"/>
      <c r="FG118" s="192"/>
      <c r="FH118" s="191"/>
      <c r="FI118" s="191"/>
      <c r="FJ118" s="191"/>
      <c r="FK118" s="191"/>
      <c r="FL118" s="191"/>
      <c r="FM118" s="191"/>
      <c r="FN118" s="191"/>
      <c r="FO118" s="191"/>
      <c r="FP118" s="191"/>
      <c r="FQ118" s="191"/>
      <c r="FR118" s="191"/>
    </row>
    <row r="119" spans="1:342" ht="7.4" customHeight="1" x14ac:dyDescent="0.5">
      <c r="A119" s="42"/>
      <c r="B119" s="42"/>
      <c r="C119" s="419">
        <v>1</v>
      </c>
      <c r="D119" s="419"/>
      <c r="E119" s="41"/>
      <c r="F119" s="42"/>
      <c r="G119" s="319" t="str">
        <f>IF(AL119=0,"N/A","AXE_L_R_40_30"&amp;"_AL")</f>
        <v>N/A</v>
      </c>
      <c r="H119" s="319"/>
      <c r="I119" s="319"/>
      <c r="J119" s="319"/>
      <c r="K119" s="319"/>
      <c r="L119" s="319"/>
      <c r="M119" s="319"/>
      <c r="N119" s="319"/>
      <c r="O119" s="319"/>
      <c r="P119" s="319"/>
      <c r="Q119" s="319"/>
      <c r="R119" s="320"/>
      <c r="S119" s="42"/>
      <c r="T119" s="405" t="str">
        <f>VLOOKUP(G119,PL!$B$9:$BH$1265,14,FALSE)</f>
        <v>No Item</v>
      </c>
      <c r="U119" s="405"/>
      <c r="V119" s="405"/>
      <c r="W119" s="405"/>
      <c r="X119" s="405"/>
      <c r="Y119" s="405"/>
      <c r="Z119" s="405"/>
      <c r="AA119" s="405"/>
      <c r="AB119" s="405"/>
      <c r="AC119" s="405"/>
      <c r="AE119" s="49"/>
      <c r="AF119" s="316" t="str">
        <f>IF(AL119=0,"","("&amp;IF(N74="Combination",DW111,N74)/1000&amp;"m)")</f>
        <v/>
      </c>
      <c r="AG119" s="418"/>
      <c r="AH119" s="418"/>
      <c r="AI119" s="418"/>
      <c r="AJ119" s="110"/>
      <c r="AK119" s="42"/>
      <c r="AL119" s="311">
        <f>IF(N74="Combination",ROUND(SUM(BK121:DF121)*(1+$BF$74),0),ROUNDUP(SUM(BK119:DF119)*(1+$BF$74),0))</f>
        <v>0</v>
      </c>
      <c r="AM119" s="311"/>
      <c r="AN119" s="311"/>
      <c r="AO119" s="311"/>
      <c r="AP119" s="43"/>
      <c r="AQ119" s="111"/>
      <c r="AR119" s="308" t="str">
        <f>VLOOKUP(G119,PL!$B$9:$BH$818,52,FALSE)</f>
        <v>-</v>
      </c>
      <c r="AS119" s="309"/>
      <c r="AT119" s="309"/>
      <c r="AU119" s="309"/>
      <c r="AV119" s="309"/>
      <c r="AW119" s="309"/>
      <c r="AX119" s="309"/>
      <c r="AY119" s="309"/>
      <c r="AZ119" s="309"/>
      <c r="BA119" s="309"/>
      <c r="BB119" s="309"/>
      <c r="BC119" s="309"/>
      <c r="BD119" s="309"/>
      <c r="BE119" s="309"/>
      <c r="BF119" s="309"/>
      <c r="BG119" s="309"/>
      <c r="BH119" s="124"/>
      <c r="BI119" s="124"/>
      <c r="BK119" s="415">
        <f>IF($N$74="Combination",0,($AE$45*M58+20*(M58-1)+$N$78*2+IF(OR(BK89&lt;$BW$74,BK91&lt;$BW$74),MIN(BK89,BK91),0))*2*M54/$N$74)</f>
        <v>0</v>
      </c>
      <c r="BL119" s="416"/>
      <c r="BM119" s="417"/>
      <c r="BN119" s="415">
        <f>IF($N$74="Combination",0,($AE$45*P58+20*(P58-1)+$N$78*2+IF(OR(BN89&lt;$BW$74,BN91&lt;$BW$74),MIN(BN89,BN91),0))*2*P54/$N$74)</f>
        <v>0</v>
      </c>
      <c r="BO119" s="416"/>
      <c r="BP119" s="417"/>
      <c r="BQ119" s="415">
        <f>IF($N$74="Combination",0,($AE$45*S58+20*(S58-1)+$N$78*2+IF(OR(BQ89&lt;$BW$74,BQ91&lt;$BW$74),MIN(BQ89,BQ91),0))*2*S54/$N$74)</f>
        <v>0</v>
      </c>
      <c r="BR119" s="416"/>
      <c r="BS119" s="417"/>
      <c r="BT119" s="415">
        <f>IF($N$74="Combination",0,($AE$45*V58+20*(V58-1)+$N$78*2+IF(OR(BT89&lt;$BW$74,BT91&lt;$BW$74),MIN(BT89,BT91),0))*2*V54/$N$74)</f>
        <v>0</v>
      </c>
      <c r="BU119" s="416"/>
      <c r="BV119" s="417"/>
      <c r="BW119" s="415">
        <f>IF($N$74="Combination",0,($AE$45*Y58+20*(Y58-1)+$N$78*2+IF(OR(BW89&lt;$BW$74,BW91&lt;$BW$74),MIN(BW89,BW91),0))*2*Y54/$N$74)</f>
        <v>0</v>
      </c>
      <c r="BX119" s="416"/>
      <c r="BY119" s="417"/>
      <c r="BZ119" s="415">
        <f>IF($N$74="Combination",0,($AE$45*AB58+20*(AB58-1)+$N$78*2+IF(OR(BZ89&lt;$BW$74,BZ91&lt;$BW$74),MIN(BZ89,BZ91),0))*2*AB54/$N$74)</f>
        <v>0</v>
      </c>
      <c r="CA119" s="416"/>
      <c r="CB119" s="417"/>
      <c r="CC119" s="415">
        <f>IF($N$74="Combination",0,($AE$45*AE58+20*(AE58-1)+$N$78*2+IF(OR(CC89&lt;$BW$74,CC91&lt;$BW$74),MIN(CC89,CC91),0))*2*AE54/$N$74)</f>
        <v>0</v>
      </c>
      <c r="CD119" s="416"/>
      <c r="CE119" s="417"/>
      <c r="CF119" s="415">
        <f>IF($N$74="Combination",0,($AE$45*AH58+20*(AH58-1)+$N$78*2+IF(OR(CF89&lt;$BW$74,CF91&lt;$BW$74),MIN(CF89,CF91),0))*2*AH54/$N$74)</f>
        <v>0</v>
      </c>
      <c r="CG119" s="416"/>
      <c r="CH119" s="417"/>
      <c r="CI119" s="415">
        <f>IF($N$74="Combination",0,($AE$45*AK58+20*(AK58-1)+$N$78*2+IF(OR(CI89&lt;$BW$74,CI91&lt;$BW$74),MIN(CI89,CI91),0))*2*AK54/$N$74)</f>
        <v>0</v>
      </c>
      <c r="CJ119" s="416"/>
      <c r="CK119" s="417"/>
      <c r="CL119" s="415">
        <f>IF($N$74="Combination",0,($AE$45*AN58+20*(AN58-1)+$N$78*2+IF(OR(CL89&lt;$BW$74,CL91&lt;$BW$74),MIN(CL89,CL91),0))*2*AN54/$N$74)</f>
        <v>0</v>
      </c>
      <c r="CM119" s="416"/>
      <c r="CN119" s="417"/>
      <c r="CO119" s="415">
        <f>IF($N$74="Combination",0,($AE$45*AQ58+20*(AQ58-1)+$N$78*2+IF(OR(CO89&lt;$BW$74,CO91&lt;$BW$74),MIN(CO89,CO91),0))*2*AQ54/$N$74)</f>
        <v>0</v>
      </c>
      <c r="CP119" s="416"/>
      <c r="CQ119" s="417"/>
      <c r="CR119" s="415">
        <f>IF($N$74="Combination",0,($AE$45*AT58+20*(AT58-1)+$N$78*2+IF(OR(CR89&lt;$BW$74,CR91&lt;$BW$74),MIN(CR89,CR91),0))*2*AT54/$N$74)</f>
        <v>0</v>
      </c>
      <c r="CS119" s="416"/>
      <c r="CT119" s="417"/>
      <c r="CU119" s="415">
        <f>IF($N$74="Combination",0,($AE$45*AW58+20*(AW58-1)+$N$78*2+IF(OR(CU89&lt;$BW$74,CU91&lt;$BW$74),MIN(CU89,CU91),0))*2*AW54/$N$74)</f>
        <v>0</v>
      </c>
      <c r="CV119" s="416"/>
      <c r="CW119" s="417"/>
      <c r="CX119" s="415">
        <f>IF($N$74="Combination",0,($AE$45*AZ58+20*(AZ58-1)+$N$78*2+IF(OR(CX89&lt;$BW$74,CX91&lt;$BW$74),MIN(CX89,CX91),0))*2*AZ54/$N$74)</f>
        <v>0</v>
      </c>
      <c r="CY119" s="416"/>
      <c r="CZ119" s="417"/>
      <c r="DA119" s="415">
        <f>IF($N$74="Combination",0,($AE$45*BC58+20*(BC58-1)+$N$78*2+IF(OR(DA89&lt;$BW$74,DA91&lt;$BW$74),MIN(DA89,DA91),0))*2*BC54/$N$74)</f>
        <v>0</v>
      </c>
      <c r="DB119" s="416"/>
      <c r="DC119" s="417"/>
      <c r="DD119" s="415">
        <f>IF($N$74="Combination",0,($AE$45*BF58+20*(BF58-1)+$N$78*2+IF(OR(DD89&lt;$BW$74,DD91&lt;$BW$74),MIN(DD89,DD91),0))*2*BF54/$N$74)</f>
        <v>0</v>
      </c>
      <c r="DE119" s="416"/>
      <c r="DF119" s="417"/>
      <c r="DH119" s="311"/>
      <c r="DI119" s="311"/>
      <c r="DJ119" s="311"/>
      <c r="DK119" s="311"/>
      <c r="DL119" s="321"/>
      <c r="DM119" s="321"/>
      <c r="DN119" s="321"/>
      <c r="DO119" s="321"/>
      <c r="DP119" s="321"/>
      <c r="DQ119" s="321"/>
      <c r="DR119" s="321"/>
      <c r="DS119" s="321"/>
    </row>
    <row r="120" spans="1:342" ht="7.4" customHeight="1" x14ac:dyDescent="0.5">
      <c r="A120" s="42"/>
      <c r="B120" s="42"/>
      <c r="C120" s="419"/>
      <c r="D120" s="419"/>
      <c r="E120" s="41"/>
      <c r="F120" s="42"/>
      <c r="G120" s="319"/>
      <c r="H120" s="319"/>
      <c r="I120" s="319"/>
      <c r="J120" s="319"/>
      <c r="K120" s="319"/>
      <c r="L120" s="319"/>
      <c r="M120" s="319"/>
      <c r="N120" s="319"/>
      <c r="O120" s="319"/>
      <c r="P120" s="319"/>
      <c r="Q120" s="319"/>
      <c r="R120" s="320"/>
      <c r="S120" s="42"/>
      <c r="T120" s="405"/>
      <c r="U120" s="405"/>
      <c r="V120" s="405"/>
      <c r="W120" s="405"/>
      <c r="X120" s="405"/>
      <c r="Y120" s="405"/>
      <c r="Z120" s="405"/>
      <c r="AA120" s="405"/>
      <c r="AB120" s="405"/>
      <c r="AC120" s="405"/>
      <c r="AD120" s="49"/>
      <c r="AE120" s="49"/>
      <c r="AF120" s="418"/>
      <c r="AG120" s="418"/>
      <c r="AH120" s="418"/>
      <c r="AI120" s="418"/>
      <c r="AJ120" s="110"/>
      <c r="AK120" s="42"/>
      <c r="AL120" s="311"/>
      <c r="AM120" s="311"/>
      <c r="AN120" s="311"/>
      <c r="AO120" s="311"/>
      <c r="AP120" s="43"/>
      <c r="AQ120" s="111"/>
      <c r="AR120" s="309"/>
      <c r="AS120" s="309"/>
      <c r="AT120" s="309"/>
      <c r="AU120" s="309"/>
      <c r="AV120" s="309"/>
      <c r="AW120" s="309"/>
      <c r="AX120" s="309"/>
      <c r="AY120" s="309"/>
      <c r="AZ120" s="309"/>
      <c r="BA120" s="309"/>
      <c r="BB120" s="309"/>
      <c r="BC120" s="309"/>
      <c r="BD120" s="309"/>
      <c r="BE120" s="309"/>
      <c r="BF120" s="309"/>
      <c r="BG120" s="309"/>
      <c r="BH120" s="124"/>
      <c r="BI120" s="124"/>
      <c r="BK120" s="415"/>
      <c r="BL120" s="416"/>
      <c r="BM120" s="417"/>
      <c r="BN120" s="415"/>
      <c r="BO120" s="416"/>
      <c r="BP120" s="417"/>
      <c r="BQ120" s="415"/>
      <c r="BR120" s="416"/>
      <c r="BS120" s="417"/>
      <c r="BT120" s="415"/>
      <c r="BU120" s="416"/>
      <c r="BV120" s="417"/>
      <c r="BW120" s="415"/>
      <c r="BX120" s="416"/>
      <c r="BY120" s="417"/>
      <c r="BZ120" s="415"/>
      <c r="CA120" s="416"/>
      <c r="CB120" s="417"/>
      <c r="CC120" s="415"/>
      <c r="CD120" s="416"/>
      <c r="CE120" s="417"/>
      <c r="CF120" s="415"/>
      <c r="CG120" s="416"/>
      <c r="CH120" s="417"/>
      <c r="CI120" s="415"/>
      <c r="CJ120" s="416"/>
      <c r="CK120" s="417"/>
      <c r="CL120" s="415"/>
      <c r="CM120" s="416"/>
      <c r="CN120" s="417"/>
      <c r="CO120" s="415"/>
      <c r="CP120" s="416"/>
      <c r="CQ120" s="417"/>
      <c r="CR120" s="415"/>
      <c r="CS120" s="416"/>
      <c r="CT120" s="417"/>
      <c r="CU120" s="415"/>
      <c r="CV120" s="416"/>
      <c r="CW120" s="417"/>
      <c r="CX120" s="415"/>
      <c r="CY120" s="416"/>
      <c r="CZ120" s="417"/>
      <c r="DA120" s="415"/>
      <c r="DB120" s="416"/>
      <c r="DC120" s="417"/>
      <c r="DD120" s="415"/>
      <c r="DE120" s="416"/>
      <c r="DF120" s="417"/>
      <c r="DH120" s="311"/>
      <c r="DI120" s="311"/>
      <c r="DJ120" s="311"/>
      <c r="DK120" s="311"/>
      <c r="DL120" s="321"/>
      <c r="DM120" s="321"/>
      <c r="DN120" s="321"/>
      <c r="DO120" s="321"/>
      <c r="DP120" s="321"/>
      <c r="DQ120" s="321"/>
      <c r="DR120" s="321"/>
      <c r="DS120" s="321"/>
    </row>
    <row r="121" spans="1:342" ht="7.4" customHeight="1" x14ac:dyDescent="0.5">
      <c r="A121" s="42"/>
      <c r="B121" s="42"/>
      <c r="C121" s="333"/>
      <c r="D121" s="333"/>
      <c r="E121" s="41"/>
      <c r="F121" s="42"/>
      <c r="G121" s="56"/>
      <c r="H121" s="56"/>
      <c r="I121" s="56"/>
      <c r="J121" s="56"/>
      <c r="K121" s="56"/>
      <c r="L121" s="56"/>
      <c r="M121" s="56"/>
      <c r="N121" s="56"/>
      <c r="O121" s="56"/>
      <c r="P121" s="56"/>
      <c r="Q121" s="56"/>
      <c r="R121" s="126"/>
      <c r="S121" s="42"/>
      <c r="T121" s="116" t="str">
        <f>VLOOKUP(G119,PL!$B$9:$BH$1265,33,FALSE)</f>
        <v>.</v>
      </c>
      <c r="AJ121" s="41"/>
      <c r="AK121" s="42"/>
      <c r="AL121" s="311"/>
      <c r="AM121" s="311"/>
      <c r="AN121" s="311"/>
      <c r="AO121" s="311"/>
      <c r="AP121" s="43"/>
      <c r="AQ121" s="42"/>
      <c r="AR121" s="119"/>
      <c r="AS121" s="119"/>
      <c r="AT121" s="119"/>
      <c r="AU121" s="119"/>
      <c r="AV121" s="119"/>
      <c r="AW121" s="119"/>
      <c r="AX121" s="105"/>
      <c r="AZ121" s="119"/>
      <c r="BA121" s="119"/>
      <c r="BB121" s="119"/>
      <c r="BC121" s="119"/>
      <c r="BD121" s="119"/>
      <c r="BE121" s="119"/>
      <c r="BF121" s="119"/>
      <c r="BG121" s="119"/>
      <c r="BH121" s="124"/>
      <c r="BI121" s="124"/>
      <c r="BK121" s="415">
        <f>IF(M54&gt;0,HLOOKUP(BK81,$DY$110:$ME$112,2)*M54*2,0)</f>
        <v>0</v>
      </c>
      <c r="BL121" s="416"/>
      <c r="BM121" s="417"/>
      <c r="BN121" s="415">
        <f>IF(P54&gt;0,HLOOKUP(BN81,$DY$110:$ME$112,2)*P54*2,0)</f>
        <v>0</v>
      </c>
      <c r="BO121" s="416"/>
      <c r="BP121" s="417"/>
      <c r="BQ121" s="415">
        <f>IF(S54&gt;0,HLOOKUP(BQ81,$DY$110:$ME$112,2)*S54*2,0)</f>
        <v>0</v>
      </c>
      <c r="BR121" s="416"/>
      <c r="BS121" s="417"/>
      <c r="BT121" s="415">
        <f>IF(V54&gt;0,HLOOKUP(BT81,$DY$110:$ME$112,2)*V54*2,0)</f>
        <v>0</v>
      </c>
      <c r="BU121" s="416"/>
      <c r="BV121" s="417"/>
      <c r="BW121" s="415">
        <f>IF(Y54&gt;0,HLOOKUP(BW81,$DY$110:$ME$112,2)*Y54*2,0)</f>
        <v>0</v>
      </c>
      <c r="BX121" s="416"/>
      <c r="BY121" s="417"/>
      <c r="BZ121" s="415">
        <f>IF(AB54&gt;0,HLOOKUP(BZ81,$DY$110:$ME$112,2)*AB54*2,0)</f>
        <v>0</v>
      </c>
      <c r="CA121" s="416"/>
      <c r="CB121" s="417"/>
      <c r="CC121" s="415">
        <f>IF(AE54&gt;0,HLOOKUP(CC81,$DY$110:$ME$112,2)*AE54*2,0)</f>
        <v>0</v>
      </c>
      <c r="CD121" s="416"/>
      <c r="CE121" s="417"/>
      <c r="CF121" s="415">
        <f>IF(AH54&gt;0,HLOOKUP(CF81,$DY$110:$ME$112,2)*AH54*2,0)</f>
        <v>0</v>
      </c>
      <c r="CG121" s="416"/>
      <c r="CH121" s="417"/>
      <c r="CI121" s="415">
        <f>IF(AK54&gt;0,HLOOKUP(CI81,$DY$110:$ME$112,2)*AK54*2,0)</f>
        <v>0</v>
      </c>
      <c r="CJ121" s="416"/>
      <c r="CK121" s="417"/>
      <c r="CL121" s="415">
        <f>IF(AN54&gt;0,HLOOKUP(CL81,$DY$110:$ME$112,2)*AN54*2,0)</f>
        <v>0</v>
      </c>
      <c r="CM121" s="416"/>
      <c r="CN121" s="417"/>
      <c r="CO121" s="415">
        <f>IF(AQ54&gt;0,HLOOKUP(CO81,$DY$110:$ME$112,2)*AQ54*2,0)</f>
        <v>0</v>
      </c>
      <c r="CP121" s="416"/>
      <c r="CQ121" s="417"/>
      <c r="CR121" s="415">
        <f>IF(AT54&gt;0,HLOOKUP(CR81,$DY$110:$ME$112,2)*AT54*2,0)</f>
        <v>0</v>
      </c>
      <c r="CS121" s="416"/>
      <c r="CT121" s="417"/>
      <c r="CU121" s="415">
        <f>IF(AW54&gt;0,HLOOKUP(CU81,$DY$110:$ME$112,2)*AW54*2,0)</f>
        <v>0</v>
      </c>
      <c r="CV121" s="416"/>
      <c r="CW121" s="417"/>
      <c r="CX121" s="415">
        <f>IF(AZ54&gt;0,HLOOKUP(CX81,$DY$110:$ME$112,2)*AZ54*2,0)</f>
        <v>0</v>
      </c>
      <c r="CY121" s="416"/>
      <c r="CZ121" s="417"/>
      <c r="DA121" s="415">
        <f>IF(BC54&gt;0,HLOOKUP(DA81,$DY$110:$ME$112,2)*BC54*2,0)</f>
        <v>0</v>
      </c>
      <c r="DB121" s="416"/>
      <c r="DC121" s="417"/>
      <c r="DD121" s="415">
        <f>IF(BF54&gt;0,HLOOKUP(DD81,$DY$110:$ME$112,2)*BF54*2,0)</f>
        <v>0</v>
      </c>
      <c r="DE121" s="416"/>
      <c r="DF121" s="417"/>
      <c r="DH121" s="311"/>
      <c r="DI121" s="311"/>
      <c r="DJ121" s="311"/>
      <c r="DK121" s="311"/>
      <c r="DL121" s="321"/>
      <c r="DM121" s="321"/>
      <c r="DN121" s="321"/>
      <c r="DO121" s="321"/>
      <c r="DP121" s="321"/>
      <c r="DQ121" s="321"/>
      <c r="DR121" s="321"/>
      <c r="DS121" s="321"/>
    </row>
    <row r="122" spans="1:342" ht="7.4" customHeight="1" x14ac:dyDescent="0.5">
      <c r="A122" s="42"/>
      <c r="B122" s="42"/>
      <c r="C122" s="55"/>
      <c r="D122" s="55"/>
      <c r="E122" s="41"/>
      <c r="F122" s="42"/>
      <c r="G122" s="56"/>
      <c r="H122" s="56"/>
      <c r="I122" s="56"/>
      <c r="J122" s="56"/>
      <c r="K122" s="56"/>
      <c r="L122" s="56"/>
      <c r="M122" s="56"/>
      <c r="N122" s="56"/>
      <c r="O122" s="56"/>
      <c r="P122" s="56"/>
      <c r="Q122" s="56"/>
      <c r="R122" s="126"/>
      <c r="S122" s="42"/>
      <c r="AJ122" s="41"/>
      <c r="AK122" s="42"/>
      <c r="AL122" s="311"/>
      <c r="AM122" s="311"/>
      <c r="AN122" s="311"/>
      <c r="AO122" s="311"/>
      <c r="AP122" s="43"/>
      <c r="AQ122" s="42"/>
      <c r="AR122" s="119"/>
      <c r="AS122" s="119"/>
      <c r="AT122" s="119"/>
      <c r="AU122" s="119"/>
      <c r="AV122" s="119"/>
      <c r="AW122" s="119"/>
      <c r="AX122" s="105"/>
      <c r="AZ122" s="119"/>
      <c r="BA122" s="119"/>
      <c r="BB122" s="119"/>
      <c r="BC122" s="119"/>
      <c r="BD122" s="119"/>
      <c r="BE122" s="119"/>
      <c r="BF122" s="119"/>
      <c r="BG122" s="119"/>
      <c r="BH122" s="124"/>
      <c r="BI122" s="124"/>
      <c r="BK122" s="415"/>
      <c r="BL122" s="416"/>
      <c r="BM122" s="417"/>
      <c r="BN122" s="415"/>
      <c r="BO122" s="416"/>
      <c r="BP122" s="417"/>
      <c r="BQ122" s="415"/>
      <c r="BR122" s="416"/>
      <c r="BS122" s="417"/>
      <c r="BT122" s="415"/>
      <c r="BU122" s="416"/>
      <c r="BV122" s="417"/>
      <c r="BW122" s="415"/>
      <c r="BX122" s="416"/>
      <c r="BY122" s="417"/>
      <c r="BZ122" s="415"/>
      <c r="CA122" s="416"/>
      <c r="CB122" s="417"/>
      <c r="CC122" s="415"/>
      <c r="CD122" s="416"/>
      <c r="CE122" s="417"/>
      <c r="CF122" s="415"/>
      <c r="CG122" s="416"/>
      <c r="CH122" s="417"/>
      <c r="CI122" s="415"/>
      <c r="CJ122" s="416"/>
      <c r="CK122" s="417"/>
      <c r="CL122" s="415"/>
      <c r="CM122" s="416"/>
      <c r="CN122" s="417"/>
      <c r="CO122" s="415"/>
      <c r="CP122" s="416"/>
      <c r="CQ122" s="417"/>
      <c r="CR122" s="415"/>
      <c r="CS122" s="416"/>
      <c r="CT122" s="417"/>
      <c r="CU122" s="415"/>
      <c r="CV122" s="416"/>
      <c r="CW122" s="417"/>
      <c r="CX122" s="415"/>
      <c r="CY122" s="416"/>
      <c r="CZ122" s="417"/>
      <c r="DA122" s="415"/>
      <c r="DB122" s="416"/>
      <c r="DC122" s="417"/>
      <c r="DD122" s="415"/>
      <c r="DE122" s="416"/>
      <c r="DF122" s="417"/>
      <c r="DL122" s="105"/>
      <c r="DM122" s="105"/>
      <c r="DN122" s="105"/>
      <c r="DO122" s="105"/>
      <c r="DP122" s="105"/>
      <c r="DQ122" s="105"/>
      <c r="DR122" s="105"/>
      <c r="DS122" s="105"/>
    </row>
    <row r="123" spans="1:342" ht="7.4" customHeight="1" x14ac:dyDescent="0.5">
      <c r="A123" s="42"/>
      <c r="B123" s="42"/>
      <c r="C123" s="311">
        <f>C119+1</f>
        <v>2</v>
      </c>
      <c r="D123" s="311"/>
      <c r="E123" s="41"/>
      <c r="F123" s="42"/>
      <c r="G123" s="319" t="str">
        <f>IF(AL123=0,"N/A","AXE_L_R_40_30"&amp;"_AL")</f>
        <v>AXE_L_R_40_30_AL</v>
      </c>
      <c r="H123" s="319"/>
      <c r="I123" s="319"/>
      <c r="J123" s="319"/>
      <c r="K123" s="319"/>
      <c r="L123" s="319"/>
      <c r="M123" s="319"/>
      <c r="N123" s="319"/>
      <c r="O123" s="319"/>
      <c r="P123" s="319"/>
      <c r="Q123" s="319"/>
      <c r="R123" s="320"/>
      <c r="S123" s="42"/>
      <c r="T123" s="405" t="str">
        <f>VLOOKUP(G123,PL!$B$9:$BH$1265,14,FALSE)</f>
        <v xml:space="preserve">Rail Profile </v>
      </c>
      <c r="U123" s="405"/>
      <c r="V123" s="405"/>
      <c r="W123" s="405"/>
      <c r="X123" s="405"/>
      <c r="Y123" s="405"/>
      <c r="Z123" s="405"/>
      <c r="AA123" s="405"/>
      <c r="AB123" s="405"/>
      <c r="AC123" s="405"/>
      <c r="AE123" s="130"/>
      <c r="AF123" s="339" t="str">
        <f>IF(AL123=0,"","("&amp;IF(N74="Combination",DW112/1000,0)&amp;"m)")</f>
        <v>(5.85m)</v>
      </c>
      <c r="AG123" s="507"/>
      <c r="AH123" s="507"/>
      <c r="AI123" s="507"/>
      <c r="AJ123" s="221"/>
      <c r="AK123" s="42"/>
      <c r="AL123" s="311">
        <f>IF(N74="Combination",ROUND(SUM(BK123:DF123)*(1+$BF$74),0),0)</f>
        <v>102</v>
      </c>
      <c r="AM123" s="311"/>
      <c r="AN123" s="311"/>
      <c r="AO123" s="311"/>
      <c r="AP123" s="43"/>
      <c r="AQ123" s="111"/>
      <c r="AR123" s="308" t="str">
        <f>VLOOKUP(G123,PL!$B$9:$BH$818,52,FALSE)</f>
        <v>SOL-580404</v>
      </c>
      <c r="AS123" s="309"/>
      <c r="AT123" s="309"/>
      <c r="AU123" s="309"/>
      <c r="AV123" s="309"/>
      <c r="AW123" s="309"/>
      <c r="AX123" s="309"/>
      <c r="AY123" s="309"/>
      <c r="AZ123" s="309"/>
      <c r="BA123" s="309"/>
      <c r="BB123" s="309"/>
      <c r="BC123" s="309"/>
      <c r="BD123" s="309"/>
      <c r="BE123" s="309"/>
      <c r="BF123" s="309"/>
      <c r="BG123" s="309"/>
      <c r="BH123" s="124"/>
      <c r="BI123" s="124"/>
      <c r="BK123" s="415">
        <f>IF(M54&gt;0,HLOOKUP(BK81,$DY$110:$ME$112,3)*M54*2,0)</f>
        <v>100</v>
      </c>
      <c r="BL123" s="416"/>
      <c r="BM123" s="417"/>
      <c r="BN123" s="415">
        <f>IF(P54&gt;0,HLOOKUP(BN81,$DY$110:$ME$112,3)*P54*2,0)</f>
        <v>0</v>
      </c>
      <c r="BO123" s="416"/>
      <c r="BP123" s="417"/>
      <c r="BQ123" s="415">
        <f>IF(S54&gt;0,HLOOKUP(BQ81,$DY$110:$ME$112,3)*S54*2,0)</f>
        <v>0</v>
      </c>
      <c r="BR123" s="416"/>
      <c r="BS123" s="417"/>
      <c r="BT123" s="415">
        <f>IF(V54&gt;0,HLOOKUP(BT81,$DY$110:$ME$112,3)*V54*2,0)</f>
        <v>0</v>
      </c>
      <c r="BU123" s="416"/>
      <c r="BV123" s="417"/>
      <c r="BW123" s="415">
        <f>IF(Y54&gt;0,HLOOKUP(BW81,$DY$110:$ME$112,3)*Y54*2,0)</f>
        <v>0</v>
      </c>
      <c r="BX123" s="416"/>
      <c r="BY123" s="417"/>
      <c r="BZ123" s="415">
        <f>IF(AB54&gt;0,HLOOKUP(BZ81,$DY$110:$ME$112,3)*AB54*2,0)</f>
        <v>0</v>
      </c>
      <c r="CA123" s="416"/>
      <c r="CB123" s="417"/>
      <c r="CC123" s="415">
        <f>IF(AE54&gt;0,HLOOKUP(CC81,$DY$110:$ME$112,3)*AE54*2,0)</f>
        <v>0</v>
      </c>
      <c r="CD123" s="416"/>
      <c r="CE123" s="417"/>
      <c r="CF123" s="415">
        <f>IF(AH54&gt;0,HLOOKUP(CF81,$DY$110:$ME$112,3)*AH54*2,0)</f>
        <v>0</v>
      </c>
      <c r="CG123" s="416"/>
      <c r="CH123" s="417"/>
      <c r="CI123" s="415">
        <f>IF(AK54&gt;0,HLOOKUP(CI81,$DY$110:$ME$112,3)*AK54*2,0)</f>
        <v>0</v>
      </c>
      <c r="CJ123" s="416"/>
      <c r="CK123" s="417"/>
      <c r="CL123" s="415">
        <f>IF(AN54&gt;0,HLOOKUP(CL81,$DY$110:$ME$112,3)*AN54*2,0)</f>
        <v>0</v>
      </c>
      <c r="CM123" s="416"/>
      <c r="CN123" s="417"/>
      <c r="CO123" s="415">
        <f>IF(AQ54&gt;0,HLOOKUP(CO81,$DY$110:$ME$112,3)*AQ54*2,0)</f>
        <v>0</v>
      </c>
      <c r="CP123" s="416"/>
      <c r="CQ123" s="417"/>
      <c r="CR123" s="415">
        <f>IF(AT54&gt;0,HLOOKUP(CR81,$DY$110:$ME$112,3)*AT54*2,0)</f>
        <v>0</v>
      </c>
      <c r="CS123" s="416"/>
      <c r="CT123" s="417"/>
      <c r="CU123" s="415">
        <f>IF(AW54&gt;0,HLOOKUP(CU81,$DY$110:$ME$112,3)*AW54*2,0)</f>
        <v>0</v>
      </c>
      <c r="CV123" s="416"/>
      <c r="CW123" s="417"/>
      <c r="CX123" s="415">
        <f>IF(AZ54&gt;0,HLOOKUP(CX81,$DY$110:$ME$112,3)*AZ54*2,0)</f>
        <v>0</v>
      </c>
      <c r="CY123" s="416"/>
      <c r="CZ123" s="417"/>
      <c r="DA123" s="415">
        <f>IF(BC54&gt;0,HLOOKUP(DA81,$DY$110:$ME$112,3)*BC54*2,0)</f>
        <v>0</v>
      </c>
      <c r="DB123" s="416"/>
      <c r="DC123" s="417"/>
      <c r="DD123" s="415">
        <f>IF(BF54&gt;0,HLOOKUP(DD81,$DY$110:$ME$112,3)*BF54*2,0)</f>
        <v>0</v>
      </c>
      <c r="DE123" s="416"/>
      <c r="DF123" s="417"/>
      <c r="DH123" s="311"/>
      <c r="DI123" s="311"/>
      <c r="DJ123" s="311"/>
      <c r="DK123" s="311"/>
      <c r="DL123" s="321"/>
      <c r="DM123" s="321"/>
      <c r="DN123" s="321"/>
      <c r="DO123" s="321"/>
      <c r="DP123" s="321"/>
      <c r="DQ123" s="321"/>
      <c r="DR123" s="321"/>
      <c r="DS123" s="321"/>
    </row>
    <row r="124" spans="1:342" ht="7.4" customHeight="1" x14ac:dyDescent="0.5">
      <c r="A124" s="42"/>
      <c r="B124" s="42"/>
      <c r="C124" s="311"/>
      <c r="D124" s="311"/>
      <c r="E124" s="41"/>
      <c r="F124" s="42"/>
      <c r="G124" s="319"/>
      <c r="H124" s="319"/>
      <c r="I124" s="319"/>
      <c r="J124" s="319"/>
      <c r="K124" s="319"/>
      <c r="L124" s="319"/>
      <c r="M124" s="319"/>
      <c r="N124" s="319"/>
      <c r="O124" s="319"/>
      <c r="P124" s="319"/>
      <c r="Q124" s="319"/>
      <c r="R124" s="320"/>
      <c r="S124" s="42"/>
      <c r="T124" s="405"/>
      <c r="U124" s="405"/>
      <c r="V124" s="405"/>
      <c r="W124" s="405"/>
      <c r="X124" s="405"/>
      <c r="Y124" s="405"/>
      <c r="Z124" s="405"/>
      <c r="AA124" s="405"/>
      <c r="AB124" s="405"/>
      <c r="AC124" s="405"/>
      <c r="AD124" s="130"/>
      <c r="AE124" s="130"/>
      <c r="AF124" s="507"/>
      <c r="AG124" s="507"/>
      <c r="AH124" s="507"/>
      <c r="AI124" s="507"/>
      <c r="AJ124" s="221"/>
      <c r="AK124" s="42"/>
      <c r="AL124" s="311"/>
      <c r="AM124" s="311"/>
      <c r="AN124" s="311"/>
      <c r="AO124" s="311"/>
      <c r="AP124" s="43"/>
      <c r="AQ124" s="111"/>
      <c r="AR124" s="309"/>
      <c r="AS124" s="309"/>
      <c r="AT124" s="309"/>
      <c r="AU124" s="309"/>
      <c r="AV124" s="309"/>
      <c r="AW124" s="309"/>
      <c r="AX124" s="309"/>
      <c r="AY124" s="309"/>
      <c r="AZ124" s="309"/>
      <c r="BA124" s="309"/>
      <c r="BB124" s="309"/>
      <c r="BC124" s="309"/>
      <c r="BD124" s="309"/>
      <c r="BE124" s="309"/>
      <c r="BF124" s="309"/>
      <c r="BG124" s="309"/>
      <c r="BH124" s="124"/>
      <c r="BI124" s="124"/>
      <c r="BK124" s="415"/>
      <c r="BL124" s="416"/>
      <c r="BM124" s="417"/>
      <c r="BN124" s="415"/>
      <c r="BO124" s="416"/>
      <c r="BP124" s="417"/>
      <c r="BQ124" s="415"/>
      <c r="BR124" s="416"/>
      <c r="BS124" s="417"/>
      <c r="BT124" s="415"/>
      <c r="BU124" s="416"/>
      <c r="BV124" s="417"/>
      <c r="BW124" s="415"/>
      <c r="BX124" s="416"/>
      <c r="BY124" s="417"/>
      <c r="BZ124" s="415"/>
      <c r="CA124" s="416"/>
      <c r="CB124" s="417"/>
      <c r="CC124" s="415"/>
      <c r="CD124" s="416"/>
      <c r="CE124" s="417"/>
      <c r="CF124" s="415"/>
      <c r="CG124" s="416"/>
      <c r="CH124" s="417"/>
      <c r="CI124" s="415"/>
      <c r="CJ124" s="416"/>
      <c r="CK124" s="417"/>
      <c r="CL124" s="415"/>
      <c r="CM124" s="416"/>
      <c r="CN124" s="417"/>
      <c r="CO124" s="415"/>
      <c r="CP124" s="416"/>
      <c r="CQ124" s="417"/>
      <c r="CR124" s="415"/>
      <c r="CS124" s="416"/>
      <c r="CT124" s="417"/>
      <c r="CU124" s="415"/>
      <c r="CV124" s="416"/>
      <c r="CW124" s="417"/>
      <c r="CX124" s="415"/>
      <c r="CY124" s="416"/>
      <c r="CZ124" s="417"/>
      <c r="DA124" s="415"/>
      <c r="DB124" s="416"/>
      <c r="DC124" s="417"/>
      <c r="DD124" s="415"/>
      <c r="DE124" s="416"/>
      <c r="DF124" s="417"/>
      <c r="DH124" s="311"/>
      <c r="DI124" s="311"/>
      <c r="DJ124" s="311"/>
      <c r="DK124" s="311"/>
      <c r="DL124" s="321"/>
      <c r="DM124" s="321"/>
      <c r="DN124" s="321"/>
      <c r="DO124" s="321"/>
      <c r="DP124" s="321"/>
      <c r="DQ124" s="321"/>
      <c r="DR124" s="321"/>
      <c r="DS124" s="321"/>
    </row>
    <row r="125" spans="1:342" ht="7.4" customHeight="1" x14ac:dyDescent="0.5">
      <c r="A125" s="42"/>
      <c r="B125" s="42"/>
      <c r="C125" s="333"/>
      <c r="D125" s="333"/>
      <c r="E125" s="41"/>
      <c r="F125" s="42"/>
      <c r="G125" s="56"/>
      <c r="H125" s="56"/>
      <c r="I125" s="56"/>
      <c r="J125" s="56"/>
      <c r="K125" s="56"/>
      <c r="L125" s="56"/>
      <c r="M125" s="56"/>
      <c r="N125" s="56"/>
      <c r="O125" s="56"/>
      <c r="P125" s="56"/>
      <c r="Q125" s="56"/>
      <c r="R125" s="126"/>
      <c r="S125" s="42"/>
      <c r="T125" s="116" t="str">
        <f>VLOOKUP(G123,PL!$B$9:$BH$1265,33,FALSE)</f>
        <v xml:space="preserve"> Aluminium, 40x30</v>
      </c>
      <c r="AJ125" s="41"/>
      <c r="AK125" s="42"/>
      <c r="AL125" s="311"/>
      <c r="AM125" s="311"/>
      <c r="AN125" s="311"/>
      <c r="AO125" s="311"/>
      <c r="AP125" s="43"/>
      <c r="AQ125" s="42"/>
      <c r="AR125" s="119"/>
      <c r="AS125" s="119"/>
      <c r="AT125" s="119"/>
      <c r="AU125" s="119"/>
      <c r="AV125" s="119"/>
      <c r="AW125" s="119"/>
      <c r="AX125" s="105"/>
      <c r="AZ125" s="119"/>
      <c r="BA125" s="119"/>
      <c r="BB125" s="119"/>
      <c r="BC125" s="119"/>
      <c r="BD125" s="119"/>
      <c r="BE125" s="119"/>
      <c r="BF125" s="119"/>
      <c r="BG125" s="119"/>
      <c r="BH125" s="124"/>
      <c r="BI125" s="124"/>
      <c r="BK125" s="194"/>
      <c r="BL125" s="123"/>
      <c r="BM125" s="195"/>
      <c r="BN125" s="196"/>
      <c r="BO125" s="153"/>
      <c r="BP125" s="197"/>
      <c r="BQ125" s="196"/>
      <c r="BR125" s="153"/>
      <c r="BS125" s="197"/>
      <c r="BT125" s="196"/>
      <c r="BU125" s="153"/>
      <c r="BV125" s="197"/>
      <c r="BW125" s="196"/>
      <c r="BX125" s="153"/>
      <c r="BY125" s="197"/>
      <c r="BZ125" s="196"/>
      <c r="CA125" s="153"/>
      <c r="CB125" s="197"/>
      <c r="CC125" s="196"/>
      <c r="CD125" s="153"/>
      <c r="CE125" s="197"/>
      <c r="CF125" s="196"/>
      <c r="CG125" s="153"/>
      <c r="CH125" s="197"/>
      <c r="CI125" s="196"/>
      <c r="CJ125" s="153"/>
      <c r="CK125" s="197"/>
      <c r="CL125" s="196"/>
      <c r="CM125" s="153"/>
      <c r="CN125" s="197"/>
      <c r="CO125" s="196"/>
      <c r="CP125" s="153"/>
      <c r="CQ125" s="197"/>
      <c r="CR125" s="196"/>
      <c r="CS125" s="153"/>
      <c r="CT125" s="197"/>
      <c r="CU125" s="196"/>
      <c r="CV125" s="153"/>
      <c r="CW125" s="197"/>
      <c r="CX125" s="196"/>
      <c r="CY125" s="153"/>
      <c r="CZ125" s="197"/>
      <c r="DA125" s="196"/>
      <c r="DB125" s="153"/>
      <c r="DC125" s="197"/>
      <c r="DD125" s="196"/>
      <c r="DE125" s="153"/>
      <c r="DF125" s="197"/>
      <c r="DH125" s="311"/>
      <c r="DI125" s="311"/>
      <c r="DJ125" s="311"/>
      <c r="DK125" s="311"/>
      <c r="DL125" s="321"/>
      <c r="DM125" s="321"/>
      <c r="DN125" s="321"/>
      <c r="DO125" s="321"/>
      <c r="DP125" s="321"/>
      <c r="DQ125" s="321"/>
      <c r="DR125" s="321"/>
      <c r="DS125" s="321"/>
    </row>
    <row r="126" spans="1:342" ht="7.4" customHeight="1" x14ac:dyDescent="0.5">
      <c r="A126" s="42"/>
      <c r="B126" s="42"/>
      <c r="C126" s="55"/>
      <c r="D126" s="55"/>
      <c r="E126" s="41"/>
      <c r="F126" s="42"/>
      <c r="G126" s="56"/>
      <c r="H126" s="56"/>
      <c r="I126" s="56"/>
      <c r="J126" s="56"/>
      <c r="K126" s="56"/>
      <c r="L126" s="56"/>
      <c r="M126" s="56"/>
      <c r="N126" s="56"/>
      <c r="O126" s="56"/>
      <c r="P126" s="56"/>
      <c r="Q126" s="56"/>
      <c r="R126" s="126"/>
      <c r="S126" s="42"/>
      <c r="AJ126" s="41"/>
      <c r="AK126" s="42"/>
      <c r="AL126" s="311"/>
      <c r="AM126" s="311"/>
      <c r="AN126" s="311"/>
      <c r="AO126" s="311"/>
      <c r="AP126" s="43"/>
      <c r="AQ126" s="42"/>
      <c r="AR126" s="119"/>
      <c r="AS126" s="119"/>
      <c r="AT126" s="119"/>
      <c r="AU126" s="119"/>
      <c r="AV126" s="119"/>
      <c r="AW126" s="119"/>
      <c r="AX126" s="105"/>
      <c r="AZ126" s="119"/>
      <c r="BA126" s="119"/>
      <c r="BB126" s="119"/>
      <c r="BC126" s="119"/>
      <c r="BD126" s="119"/>
      <c r="BE126" s="119"/>
      <c r="BF126" s="119"/>
      <c r="BG126" s="119"/>
      <c r="BH126" s="124"/>
      <c r="BI126" s="41"/>
      <c r="BK126" s="194"/>
      <c r="BL126" s="123"/>
      <c r="BM126" s="195"/>
      <c r="BN126" s="196"/>
      <c r="BO126" s="153"/>
      <c r="BP126" s="197"/>
      <c r="BQ126" s="196"/>
      <c r="BR126" s="153"/>
      <c r="BS126" s="197"/>
      <c r="BT126" s="196"/>
      <c r="BU126" s="153"/>
      <c r="BV126" s="197"/>
      <c r="BW126" s="196"/>
      <c r="BX126" s="153"/>
      <c r="BY126" s="197"/>
      <c r="BZ126" s="196"/>
      <c r="CA126" s="153"/>
      <c r="CB126" s="197"/>
      <c r="CC126" s="196"/>
      <c r="CD126" s="153"/>
      <c r="CE126" s="197"/>
      <c r="CF126" s="196"/>
      <c r="CG126" s="153"/>
      <c r="CH126" s="197"/>
      <c r="CI126" s="196"/>
      <c r="CJ126" s="153"/>
      <c r="CK126" s="197"/>
      <c r="CL126" s="196"/>
      <c r="CM126" s="153"/>
      <c r="CN126" s="197"/>
      <c r="CO126" s="196"/>
      <c r="CP126" s="153"/>
      <c r="CQ126" s="197"/>
      <c r="CR126" s="196"/>
      <c r="CS126" s="153"/>
      <c r="CT126" s="197"/>
      <c r="CU126" s="196"/>
      <c r="CV126" s="153"/>
      <c r="CW126" s="197"/>
      <c r="CX126" s="196"/>
      <c r="CY126" s="153"/>
      <c r="CZ126" s="197"/>
      <c r="DA126" s="196"/>
      <c r="DB126" s="153"/>
      <c r="DC126" s="197"/>
      <c r="DD126" s="196"/>
      <c r="DE126" s="153"/>
      <c r="DF126" s="197"/>
      <c r="DL126" s="105"/>
      <c r="DM126" s="105"/>
      <c r="DN126" s="105"/>
      <c r="DO126" s="105"/>
      <c r="DP126" s="105"/>
      <c r="DQ126" s="105"/>
      <c r="DR126" s="105"/>
      <c r="DS126" s="105"/>
    </row>
    <row r="127" spans="1:342" ht="7.4" customHeight="1" x14ac:dyDescent="0.5">
      <c r="A127" s="42"/>
      <c r="B127" s="42"/>
      <c r="C127" s="311">
        <f>C123+1</f>
        <v>3</v>
      </c>
      <c r="D127" s="311"/>
      <c r="E127" s="41"/>
      <c r="F127" s="42"/>
      <c r="G127" s="319" t="str">
        <f>IF(AL127=0,"N/A","AXE_EX_40_30_AL")</f>
        <v>AXE_EX_40_30_AL</v>
      </c>
      <c r="H127" s="319"/>
      <c r="I127" s="319"/>
      <c r="J127" s="319"/>
      <c r="K127" s="319"/>
      <c r="L127" s="319"/>
      <c r="M127" s="319"/>
      <c r="N127" s="319"/>
      <c r="O127" s="319"/>
      <c r="P127" s="319"/>
      <c r="Q127" s="319"/>
      <c r="R127" s="320"/>
      <c r="S127" s="42"/>
      <c r="T127" s="405" t="str">
        <f>VLOOKUP(G127,PL!$B$9:$BH$1265,14,FALSE)</f>
        <v xml:space="preserve">Extension </v>
      </c>
      <c r="U127" s="405"/>
      <c r="V127" s="405"/>
      <c r="W127" s="405"/>
      <c r="X127" s="405"/>
      <c r="Y127" s="405"/>
      <c r="Z127" s="405"/>
      <c r="AA127" s="405"/>
      <c r="AB127" s="405"/>
      <c r="AC127" s="405"/>
      <c r="AD127" s="405"/>
      <c r="AE127" s="405"/>
      <c r="AF127" s="405"/>
      <c r="AG127" s="405"/>
      <c r="AH127" s="405"/>
      <c r="AI127" s="405"/>
      <c r="AJ127" s="411"/>
      <c r="AK127" s="42"/>
      <c r="AL127" s="311">
        <f>ROUND(SUM(BK127:DF127)*(1+$BF$80),0)</f>
        <v>83</v>
      </c>
      <c r="AM127" s="311"/>
      <c r="AN127" s="311"/>
      <c r="AO127" s="311"/>
      <c r="AP127" s="43"/>
      <c r="AQ127" s="111"/>
      <c r="AR127" s="308" t="str">
        <f>VLOOKUP(G127,PL!$B$9:$BH$818,52,FALSE)</f>
        <v>SOL-5805</v>
      </c>
      <c r="AS127" s="309"/>
      <c r="AT127" s="309"/>
      <c r="AU127" s="309"/>
      <c r="AV127" s="309"/>
      <c r="AW127" s="309"/>
      <c r="AX127" s="309"/>
      <c r="AY127" s="309"/>
      <c r="AZ127" s="309"/>
      <c r="BA127" s="309"/>
      <c r="BB127" s="309"/>
      <c r="BC127" s="309"/>
      <c r="BD127" s="309"/>
      <c r="BE127" s="309"/>
      <c r="BF127" s="309"/>
      <c r="BG127" s="309"/>
      <c r="BH127" s="124"/>
      <c r="BI127" s="41"/>
      <c r="BK127" s="412">
        <f>IF($N$74="Combination",IF(M54&gt;0,ROUND(HLOOKUP(BK81,$DY$110:$ME$112,2),0)+ROUND(HLOOKUP(BK81,$DY$110:$ME$112,3),0)-IF(M54&gt;0,1,0),0),(ROUNDUP(($AE$45*M58+20*(M58-1)+$N$78*2)/$N$74,0)-1))*2*M54</f>
        <v>80</v>
      </c>
      <c r="BL127" s="413"/>
      <c r="BM127" s="414"/>
      <c r="BN127" s="412">
        <f>IF($N$74="Combination",IF(P54&gt;0,ROUND(HLOOKUP(BN81,$DY$110:$ME$112,2),0)+ROUND(HLOOKUP(BN81,$DY$110:$ME$112,3),0)-IF(P54&gt;0,1,0),0),(ROUNDUP(($AE$45*P58+20*(P58-1)+$N$78*2)/$N$74,0)-1))*2*P54</f>
        <v>0</v>
      </c>
      <c r="BO127" s="413"/>
      <c r="BP127" s="414"/>
      <c r="BQ127" s="412">
        <f>IF($N$74="Combination",IF(S54&gt;0,ROUND(HLOOKUP(BQ81,$DY$110:$ME$112,2),0)+ROUND(HLOOKUP(BQ81,$DY$110:$ME$112,3),0)-IF(S54&gt;0,1,0),0),(ROUNDUP(($AE$45*S58+20*(S58-1)+$N$78*2)/$N$74,0)-1))*2*S54</f>
        <v>0</v>
      </c>
      <c r="BR127" s="413"/>
      <c r="BS127" s="414"/>
      <c r="BT127" s="412">
        <f>IF($N$74="Combination",IF(V54&gt;0,ROUND(HLOOKUP(BT81,$DY$110:$ME$112,2),0)+ROUND(HLOOKUP(BT81,$DY$110:$ME$112,3),0)-IF(V54&gt;0,1,0),0),(ROUNDUP(($AE$45*V58+20*(V58-1)+$N$78*2)/$N$74,0)-1))*2*V54</f>
        <v>0</v>
      </c>
      <c r="BU127" s="413"/>
      <c r="BV127" s="414"/>
      <c r="BW127" s="412">
        <f>IF($N$74="Combination",IF(Y54&gt;0,ROUND(HLOOKUP(BW81,$DY$110:$ME$112,2),0)+ROUND(HLOOKUP(BW81,$DY$110:$ME$112,3),0)-IF(Y54&gt;0,1,0),0),(ROUNDUP(($AE$45*Y58+20*(Y58-1)+$N$78*2)/$N$74,0)-1))*2*Y54</f>
        <v>0</v>
      </c>
      <c r="BX127" s="413"/>
      <c r="BY127" s="414"/>
      <c r="BZ127" s="412">
        <f>IF($N$74="Combination",IF(AB54&gt;0,ROUND(HLOOKUP(BZ81,$DY$110:$ME$112,2),0)+ROUND(HLOOKUP(BZ81,$DY$110:$ME$112,3),0)-IF(AB54&gt;0,1,0),0),(ROUNDUP(($AE$45*AB58+20*(AB58-1)+$N$78*2)/$N$74,0)-1))*2*AB54</f>
        <v>0</v>
      </c>
      <c r="CA127" s="413"/>
      <c r="CB127" s="414"/>
      <c r="CC127" s="412">
        <f>IF($N$74="Combination",IF(AE54&gt;0,ROUND(HLOOKUP(CC81,$DY$110:$ME$112,2),0)+ROUND(HLOOKUP(CC81,$DY$110:$ME$112,3),0)-IF(AE54&gt;0,1,0),0),(ROUNDUP(($AE$45*AE58+20*(AE58-1)+$N$78*2)/$N$74,0)-1))*2*AE54</f>
        <v>0</v>
      </c>
      <c r="CD127" s="413"/>
      <c r="CE127" s="414"/>
      <c r="CF127" s="412">
        <f>IF($N$74="Combination",IF(AH54&gt;0,ROUND(HLOOKUP(CF81,$DY$110:$ME$112,2),0)+ROUND(HLOOKUP(CF81,$DY$110:$ME$112,3),0)-IF(AH54&gt;0,1,0),0),(ROUNDUP(($AE$45*AH58+20*(AH58-1)+$N$78*2)/$N$74,0)-1))*2*AH54</f>
        <v>0</v>
      </c>
      <c r="CG127" s="413"/>
      <c r="CH127" s="414"/>
      <c r="CI127" s="412">
        <f>IF($N$74="Combination",IF(AK54&gt;0,ROUND(HLOOKUP(CI81,$DY$110:$ME$112,2),0)+ROUND(HLOOKUP(CI81,$DY$110:$ME$112,3),0)-IF(AK54&gt;0,1,0),0),(ROUNDUP(($AE$45*AK58+20*(AK58-1)+$N$78*2)/$N$74,0)-1))*2*AK54</f>
        <v>0</v>
      </c>
      <c r="CJ127" s="413"/>
      <c r="CK127" s="414"/>
      <c r="CL127" s="412">
        <f>IF($N$74="Combination",IF(AN54&gt;0,ROUND(HLOOKUP(CL81,$DY$110:$ME$112,2),0)+ROUND(HLOOKUP(CL81,$DY$110:$ME$112,3),0)-IF(AN54&gt;0,1,0),0),(ROUNDUP(($AE$45*AN58+20*(AN58-1)+$N$78*2)/$N$74,0)-1))*2*AN54</f>
        <v>0</v>
      </c>
      <c r="CM127" s="413"/>
      <c r="CN127" s="414"/>
      <c r="CO127" s="412">
        <f>IF($N$74="Combination",IF(AQ54&gt;0,ROUND(HLOOKUP(CO81,$DY$110:$ME$112,2),0)+ROUND(HLOOKUP(CO81,$DY$110:$ME$112,3),0)-IF(AQ54&gt;0,1,0),0),(ROUNDUP(($AE$45*AQ58+20*(AQ58-1)+$N$78*2)/$N$74,0)-1))*2*AQ54</f>
        <v>0</v>
      </c>
      <c r="CP127" s="413"/>
      <c r="CQ127" s="414"/>
      <c r="CR127" s="412">
        <f>IF($N$74="Combination",IF(AT54&gt;0,ROUND(HLOOKUP(CR81,$DY$110:$ME$112,2),0)+ROUND(HLOOKUP(CR81,$DY$110:$ME$112,3),0)-IF(AT54&gt;0,1,0),0),(ROUNDUP(($AE$45*AT58+20*(AT58-1)+$N$78*2)/$N$74,0)-1))*2*AT54</f>
        <v>0</v>
      </c>
      <c r="CS127" s="413"/>
      <c r="CT127" s="414"/>
      <c r="CU127" s="412">
        <f>IF($N$74="Combination",IF(AW54&gt;0,ROUND(HLOOKUP(CU81,$DY$110:$ME$112,2),0)+ROUND(HLOOKUP(CU81,$DY$110:$ME$112,3),0)-IF(AW54&gt;0,1,0),0),(ROUNDUP(($AE$45*AW58+20*(AW58-1)+$N$78*2)/$N$74,0)-1))*2*AW54</f>
        <v>0</v>
      </c>
      <c r="CV127" s="413"/>
      <c r="CW127" s="414"/>
      <c r="CX127" s="412">
        <f>IF($N$74="Combination",IF(AZ54&gt;0,ROUND(HLOOKUP(CX81,$DY$110:$ME$112,2),0)+ROUND(HLOOKUP(CX81,$DY$110:$ME$112,3),0)-IF(AZ54&gt;0,1,0),0),(ROUNDUP(($AE$45*AZ58+20*(AZ58-1)+$N$78*2)/$N$74,0)-1))*2*AZ54</f>
        <v>0</v>
      </c>
      <c r="CY127" s="413"/>
      <c r="CZ127" s="414"/>
      <c r="DA127" s="412">
        <f>IF($N$74="Combination",IF(BC54&gt;0,ROUND(HLOOKUP(DA81,$DY$110:$ME$112,2),0)+ROUND(HLOOKUP(DA81,$DY$110:$ME$112,3),0)-IF(BC54&gt;0,1,0),0),(ROUNDUP(($AE$45*BC58+20*(BC58-1)+$N$78*2)/$N$74,0)-1))*2*BC54</f>
        <v>0</v>
      </c>
      <c r="DB127" s="413"/>
      <c r="DC127" s="414"/>
      <c r="DD127" s="412">
        <f>IF($N$74="Combination",IF(BF54&gt;0,ROUND(HLOOKUP(DD81,$DY$110:$ME$112,2),0)+ROUND(HLOOKUP(DD81,$DY$110:$ME$112,3),0)-IF(BF54&gt;0,1,0),0),(ROUNDUP(($AE$45*BF58+20*(BF58-1)+$N$78*2)/$N$74,0)-1))*2*BF54</f>
        <v>0</v>
      </c>
      <c r="DE127" s="413"/>
      <c r="DF127" s="414"/>
      <c r="DH127" s="311"/>
      <c r="DI127" s="311"/>
      <c r="DJ127" s="311"/>
      <c r="DK127" s="311"/>
      <c r="DL127" s="321"/>
      <c r="DM127" s="321"/>
      <c r="DN127" s="321"/>
      <c r="DO127" s="321"/>
      <c r="DP127" s="321"/>
      <c r="DQ127" s="321"/>
      <c r="DR127" s="321"/>
      <c r="DS127" s="321"/>
      <c r="EA127" s="201"/>
      <c r="EB127" s="201"/>
      <c r="EC127" s="201"/>
      <c r="ED127" s="201"/>
      <c r="EE127" s="201"/>
      <c r="EF127" s="201"/>
      <c r="EG127" s="201"/>
      <c r="EH127" s="201"/>
      <c r="EI127" s="201"/>
      <c r="EJ127" s="201"/>
      <c r="EK127" s="201"/>
      <c r="EL127" s="201"/>
      <c r="EM127" s="201"/>
      <c r="EN127" s="201"/>
      <c r="EO127" s="201"/>
      <c r="EP127" s="201"/>
      <c r="EQ127" s="201"/>
      <c r="ER127" s="201"/>
      <c r="ES127" s="201"/>
      <c r="ET127" s="201"/>
      <c r="EU127" s="201"/>
      <c r="EV127" s="201"/>
      <c r="EW127" s="201"/>
      <c r="EX127" s="201"/>
      <c r="EY127" s="201"/>
      <c r="EZ127" s="201"/>
      <c r="FA127" s="201"/>
      <c r="FB127" s="201"/>
      <c r="FC127" s="201"/>
      <c r="FD127" s="201"/>
      <c r="FE127" s="201"/>
      <c r="FF127" s="201"/>
      <c r="FG127" s="201"/>
      <c r="FH127" s="201"/>
      <c r="FI127" s="201"/>
      <c r="FJ127" s="201"/>
      <c r="FK127" s="201"/>
      <c r="FL127" s="201"/>
      <c r="FM127" s="201"/>
      <c r="FN127" s="201"/>
      <c r="FO127" s="201"/>
      <c r="FP127" s="201"/>
      <c r="FQ127" s="201"/>
      <c r="FR127" s="201"/>
      <c r="FS127" s="201"/>
      <c r="FT127" s="201"/>
      <c r="FU127" s="201"/>
      <c r="FV127" s="201"/>
      <c r="FW127" s="201"/>
      <c r="FX127" s="201"/>
      <c r="FY127" s="201"/>
      <c r="FZ127" s="201"/>
      <c r="GA127" s="201"/>
      <c r="GB127" s="201"/>
      <c r="GC127" s="201"/>
      <c r="GD127" s="201"/>
      <c r="GE127" s="201"/>
      <c r="GF127" s="201"/>
      <c r="GG127" s="201"/>
      <c r="GH127" s="201"/>
      <c r="GI127" s="201"/>
      <c r="GJ127" s="201"/>
      <c r="GK127" s="201"/>
      <c r="GL127" s="201"/>
      <c r="GM127" s="201"/>
      <c r="GN127" s="201"/>
      <c r="GO127" s="201"/>
      <c r="GP127" s="201"/>
      <c r="GQ127" s="201"/>
      <c r="GR127" s="201"/>
      <c r="GS127" s="201"/>
      <c r="GT127" s="201"/>
      <c r="GU127" s="201"/>
      <c r="GV127" s="201"/>
      <c r="GW127" s="201"/>
      <c r="GX127" s="201"/>
      <c r="GY127" s="201"/>
      <c r="GZ127" s="201"/>
      <c r="HA127" s="201"/>
      <c r="HB127" s="201"/>
      <c r="HC127" s="201"/>
      <c r="HD127" s="201"/>
      <c r="HE127" s="201"/>
      <c r="HF127" s="201"/>
      <c r="HG127" s="201"/>
      <c r="HH127" s="201"/>
      <c r="HI127" s="201"/>
      <c r="HJ127" s="201"/>
      <c r="HK127" s="201"/>
      <c r="HL127" s="201"/>
      <c r="HM127" s="201"/>
      <c r="HN127" s="201"/>
      <c r="HO127" s="201"/>
      <c r="HP127" s="201"/>
      <c r="HQ127" s="201"/>
      <c r="HR127" s="201"/>
      <c r="HS127" s="201"/>
      <c r="HT127" s="201"/>
      <c r="HU127" s="201"/>
      <c r="HV127" s="201"/>
      <c r="HW127" s="201"/>
      <c r="HX127" s="201"/>
      <c r="HY127" s="201"/>
      <c r="HZ127" s="201"/>
      <c r="IA127" s="201"/>
      <c r="IB127" s="201"/>
      <c r="IC127" s="201"/>
      <c r="ID127" s="201"/>
      <c r="IE127" s="201"/>
      <c r="IF127" s="201"/>
      <c r="IG127" s="201"/>
      <c r="IH127" s="201"/>
      <c r="II127" s="201"/>
      <c r="IJ127" s="201"/>
      <c r="IK127" s="201"/>
      <c r="IL127" s="201"/>
      <c r="IM127" s="201"/>
      <c r="IN127" s="201"/>
      <c r="IO127" s="201"/>
      <c r="IP127" s="201"/>
      <c r="IQ127" s="201"/>
      <c r="IR127" s="201"/>
      <c r="IS127" s="201"/>
      <c r="IT127" s="201"/>
      <c r="IU127" s="201"/>
      <c r="IV127" s="201"/>
      <c r="IW127" s="201"/>
      <c r="IX127" s="201"/>
      <c r="IY127" s="201"/>
      <c r="IZ127" s="201"/>
      <c r="JA127" s="201"/>
      <c r="JB127" s="201"/>
      <c r="JC127" s="201"/>
      <c r="JD127" s="201"/>
      <c r="JE127" s="201"/>
      <c r="JF127" s="201"/>
      <c r="JG127" s="201"/>
      <c r="JH127" s="201"/>
      <c r="JI127" s="201"/>
      <c r="JJ127" s="201"/>
      <c r="JK127" s="201"/>
      <c r="JL127" s="201"/>
      <c r="JM127" s="201"/>
      <c r="JN127" s="201"/>
      <c r="JO127" s="201"/>
      <c r="JP127" s="201"/>
      <c r="JQ127" s="201"/>
      <c r="JR127" s="201"/>
      <c r="JS127" s="201"/>
      <c r="JT127" s="201"/>
      <c r="JU127" s="201"/>
      <c r="JV127" s="201"/>
      <c r="JW127" s="201"/>
      <c r="JX127" s="201"/>
      <c r="JY127" s="201"/>
      <c r="JZ127" s="201"/>
      <c r="KA127" s="201"/>
      <c r="KB127" s="201"/>
      <c r="KC127" s="201"/>
      <c r="KD127" s="201"/>
      <c r="KE127" s="201"/>
      <c r="KF127" s="201"/>
      <c r="KG127" s="201"/>
      <c r="KH127" s="201"/>
      <c r="KI127" s="201"/>
      <c r="KJ127" s="201"/>
      <c r="KK127" s="201"/>
      <c r="KL127" s="201"/>
      <c r="KM127" s="201"/>
      <c r="KN127" s="201"/>
      <c r="KO127" s="201"/>
      <c r="KP127" s="201"/>
      <c r="KQ127" s="201"/>
      <c r="KR127" s="201"/>
      <c r="KS127" s="201"/>
      <c r="KT127" s="201"/>
      <c r="KU127" s="201"/>
      <c r="KV127" s="201"/>
      <c r="KW127" s="201"/>
      <c r="KX127" s="201"/>
      <c r="KY127" s="201"/>
      <c r="KZ127" s="201"/>
      <c r="LA127" s="201"/>
      <c r="LB127" s="201"/>
      <c r="LC127" s="201"/>
      <c r="LD127" s="201"/>
      <c r="LE127" s="201"/>
      <c r="LF127" s="201"/>
      <c r="LG127" s="201"/>
      <c r="LH127" s="201"/>
      <c r="LI127" s="201"/>
      <c r="LJ127" s="201"/>
      <c r="LK127" s="201"/>
      <c r="LL127" s="201"/>
      <c r="LM127" s="201"/>
      <c r="LN127" s="201"/>
      <c r="LO127" s="201"/>
      <c r="LP127" s="201"/>
      <c r="LQ127" s="201"/>
      <c r="LR127" s="201"/>
      <c r="LS127" s="201"/>
      <c r="LT127" s="201"/>
      <c r="LU127" s="201"/>
      <c r="LV127" s="201"/>
      <c r="LW127" s="201"/>
      <c r="LX127" s="201"/>
      <c r="LY127" s="201"/>
      <c r="LZ127" s="201"/>
      <c r="MA127" s="201"/>
      <c r="MB127" s="201"/>
    </row>
    <row r="128" spans="1:342" ht="7.4" customHeight="1" x14ac:dyDescent="0.5">
      <c r="A128" s="42"/>
      <c r="B128" s="42"/>
      <c r="C128" s="311"/>
      <c r="D128" s="311"/>
      <c r="E128" s="41"/>
      <c r="F128" s="42"/>
      <c r="G128" s="319"/>
      <c r="H128" s="319"/>
      <c r="I128" s="319"/>
      <c r="J128" s="319"/>
      <c r="K128" s="319"/>
      <c r="L128" s="319"/>
      <c r="M128" s="319"/>
      <c r="N128" s="319"/>
      <c r="O128" s="319"/>
      <c r="P128" s="319"/>
      <c r="Q128" s="319"/>
      <c r="R128" s="320"/>
      <c r="S128" s="42"/>
      <c r="T128" s="405"/>
      <c r="U128" s="405"/>
      <c r="V128" s="405"/>
      <c r="W128" s="405"/>
      <c r="X128" s="405"/>
      <c r="Y128" s="405"/>
      <c r="Z128" s="405"/>
      <c r="AA128" s="405"/>
      <c r="AB128" s="405"/>
      <c r="AC128" s="405"/>
      <c r="AD128" s="405"/>
      <c r="AE128" s="405"/>
      <c r="AF128" s="405"/>
      <c r="AG128" s="405"/>
      <c r="AH128" s="405"/>
      <c r="AI128" s="405"/>
      <c r="AJ128" s="411"/>
      <c r="AK128" s="42"/>
      <c r="AL128" s="311"/>
      <c r="AM128" s="311"/>
      <c r="AN128" s="311"/>
      <c r="AO128" s="311"/>
      <c r="AP128" s="43"/>
      <c r="AQ128" s="111"/>
      <c r="AR128" s="309"/>
      <c r="AS128" s="309"/>
      <c r="AT128" s="309"/>
      <c r="AU128" s="309"/>
      <c r="AV128" s="309"/>
      <c r="AW128" s="309"/>
      <c r="AX128" s="309"/>
      <c r="AY128" s="309"/>
      <c r="AZ128" s="309"/>
      <c r="BA128" s="309"/>
      <c r="BB128" s="309"/>
      <c r="BC128" s="309"/>
      <c r="BD128" s="309"/>
      <c r="BE128" s="309"/>
      <c r="BF128" s="309"/>
      <c r="BG128" s="309"/>
      <c r="BH128" s="124"/>
      <c r="BI128" s="41"/>
      <c r="BK128" s="412"/>
      <c r="BL128" s="413"/>
      <c r="BM128" s="414"/>
      <c r="BN128" s="412"/>
      <c r="BO128" s="413"/>
      <c r="BP128" s="414"/>
      <c r="BQ128" s="412"/>
      <c r="BR128" s="413"/>
      <c r="BS128" s="414"/>
      <c r="BT128" s="412"/>
      <c r="BU128" s="413"/>
      <c r="BV128" s="414"/>
      <c r="BW128" s="412"/>
      <c r="BX128" s="413"/>
      <c r="BY128" s="414"/>
      <c r="BZ128" s="412"/>
      <c r="CA128" s="413"/>
      <c r="CB128" s="414"/>
      <c r="CC128" s="412"/>
      <c r="CD128" s="413"/>
      <c r="CE128" s="414"/>
      <c r="CF128" s="412"/>
      <c r="CG128" s="413"/>
      <c r="CH128" s="414"/>
      <c r="CI128" s="412"/>
      <c r="CJ128" s="413"/>
      <c r="CK128" s="414"/>
      <c r="CL128" s="412"/>
      <c r="CM128" s="413"/>
      <c r="CN128" s="414"/>
      <c r="CO128" s="412"/>
      <c r="CP128" s="413"/>
      <c r="CQ128" s="414"/>
      <c r="CR128" s="412"/>
      <c r="CS128" s="413"/>
      <c r="CT128" s="414"/>
      <c r="CU128" s="412"/>
      <c r="CV128" s="413"/>
      <c r="CW128" s="414"/>
      <c r="CX128" s="412"/>
      <c r="CY128" s="413"/>
      <c r="CZ128" s="414"/>
      <c r="DA128" s="412"/>
      <c r="DB128" s="413"/>
      <c r="DC128" s="414"/>
      <c r="DD128" s="412"/>
      <c r="DE128" s="413"/>
      <c r="DF128" s="414"/>
      <c r="DH128" s="311"/>
      <c r="DI128" s="311"/>
      <c r="DJ128" s="311"/>
      <c r="DK128" s="311"/>
      <c r="DL128" s="321"/>
      <c r="DM128" s="321"/>
      <c r="DN128" s="321"/>
      <c r="DO128" s="321"/>
      <c r="DP128" s="321"/>
      <c r="DQ128" s="321"/>
      <c r="DR128" s="321"/>
      <c r="DS128" s="321"/>
      <c r="EA128" s="201"/>
      <c r="EB128" s="201"/>
      <c r="EC128" s="201"/>
      <c r="ED128" s="201"/>
      <c r="EE128" s="201"/>
      <c r="EF128" s="201"/>
      <c r="EG128" s="201"/>
      <c r="EH128" s="201"/>
      <c r="EI128" s="201"/>
      <c r="EJ128" s="201"/>
      <c r="EK128" s="201"/>
      <c r="EL128" s="201"/>
      <c r="EM128" s="201"/>
      <c r="EN128" s="201"/>
      <c r="EO128" s="201"/>
      <c r="EP128" s="201"/>
      <c r="EQ128" s="201"/>
      <c r="ER128" s="201"/>
      <c r="ES128" s="201"/>
      <c r="ET128" s="201"/>
      <c r="EU128" s="201"/>
      <c r="EV128" s="201"/>
      <c r="EW128" s="201"/>
      <c r="EX128" s="201"/>
      <c r="EY128" s="201"/>
      <c r="EZ128" s="201"/>
      <c r="FA128" s="201"/>
      <c r="FB128" s="201"/>
      <c r="FC128" s="201"/>
      <c r="FD128" s="201"/>
      <c r="FE128" s="201"/>
      <c r="FF128" s="201"/>
      <c r="FG128" s="201"/>
      <c r="FH128" s="201"/>
      <c r="FI128" s="201"/>
      <c r="FJ128" s="201"/>
      <c r="FK128" s="201"/>
      <c r="FL128" s="201"/>
      <c r="FM128" s="201"/>
      <c r="FN128" s="201"/>
      <c r="FO128" s="201"/>
      <c r="FP128" s="201"/>
      <c r="FQ128" s="201"/>
      <c r="FR128" s="201"/>
      <c r="FS128" s="201"/>
      <c r="FT128" s="201"/>
      <c r="FU128" s="201"/>
      <c r="FV128" s="201"/>
      <c r="FW128" s="201"/>
      <c r="FX128" s="201"/>
      <c r="FY128" s="201"/>
      <c r="FZ128" s="201"/>
      <c r="GA128" s="201"/>
      <c r="GB128" s="201"/>
      <c r="GC128" s="201"/>
      <c r="GD128" s="201"/>
      <c r="GE128" s="201"/>
      <c r="GF128" s="201"/>
      <c r="GG128" s="201"/>
      <c r="GH128" s="201"/>
      <c r="GI128" s="201"/>
      <c r="GJ128" s="201"/>
      <c r="GK128" s="201"/>
      <c r="GL128" s="201"/>
      <c r="GM128" s="201"/>
      <c r="GN128" s="201"/>
      <c r="GO128" s="201"/>
      <c r="GP128" s="201"/>
      <c r="GQ128" s="201"/>
      <c r="GR128" s="201"/>
      <c r="GS128" s="201"/>
      <c r="GT128" s="201"/>
      <c r="GU128" s="201"/>
      <c r="GV128" s="201"/>
      <c r="GW128" s="201"/>
      <c r="GX128" s="201"/>
      <c r="GY128" s="201"/>
      <c r="GZ128" s="201"/>
      <c r="HA128" s="201"/>
      <c r="HB128" s="201"/>
      <c r="HC128" s="201"/>
      <c r="HD128" s="201"/>
      <c r="HE128" s="201"/>
      <c r="HF128" s="201"/>
      <c r="HG128" s="201"/>
      <c r="HH128" s="201"/>
      <c r="HI128" s="201"/>
      <c r="HJ128" s="201"/>
      <c r="HK128" s="201"/>
      <c r="HL128" s="201"/>
      <c r="HM128" s="201"/>
      <c r="HN128" s="201"/>
      <c r="HO128" s="201"/>
      <c r="HP128" s="201"/>
      <c r="HQ128" s="201"/>
      <c r="HR128" s="201"/>
      <c r="HS128" s="201"/>
      <c r="HT128" s="201"/>
      <c r="HU128" s="201"/>
      <c r="HV128" s="201"/>
      <c r="HW128" s="201"/>
      <c r="HX128" s="201"/>
      <c r="HY128" s="201"/>
      <c r="HZ128" s="201"/>
      <c r="IA128" s="201"/>
      <c r="IB128" s="201"/>
      <c r="IC128" s="201"/>
      <c r="ID128" s="201"/>
      <c r="IE128" s="201"/>
      <c r="IF128" s="201"/>
      <c r="IG128" s="201"/>
      <c r="IH128" s="201"/>
      <c r="II128" s="201"/>
      <c r="IJ128" s="201"/>
      <c r="IK128" s="201"/>
      <c r="IL128" s="201"/>
      <c r="IM128" s="201"/>
      <c r="IN128" s="201"/>
      <c r="IO128" s="201"/>
      <c r="IP128" s="201"/>
      <c r="IQ128" s="201"/>
      <c r="IR128" s="201"/>
      <c r="IS128" s="201"/>
      <c r="IT128" s="201"/>
      <c r="IU128" s="201"/>
      <c r="IV128" s="201"/>
      <c r="IW128" s="201"/>
      <c r="IX128" s="201"/>
      <c r="IY128" s="201"/>
      <c r="IZ128" s="201"/>
      <c r="JA128" s="201"/>
      <c r="JB128" s="201"/>
      <c r="JC128" s="201"/>
      <c r="JD128" s="201"/>
      <c r="JE128" s="201"/>
      <c r="JF128" s="201"/>
      <c r="JG128" s="201"/>
      <c r="JH128" s="201"/>
      <c r="JI128" s="201"/>
      <c r="JJ128" s="201"/>
      <c r="JK128" s="201"/>
      <c r="JL128" s="201"/>
      <c r="JM128" s="201"/>
      <c r="JN128" s="201"/>
      <c r="JO128" s="201"/>
      <c r="JP128" s="201"/>
      <c r="JQ128" s="201"/>
      <c r="JR128" s="201"/>
      <c r="JS128" s="201"/>
      <c r="JT128" s="201"/>
      <c r="JU128" s="201"/>
      <c r="JV128" s="201"/>
      <c r="JW128" s="201"/>
      <c r="JX128" s="201"/>
      <c r="JY128" s="201"/>
      <c r="JZ128" s="201"/>
      <c r="KA128" s="201"/>
      <c r="KB128" s="201"/>
      <c r="KC128" s="201"/>
      <c r="KD128" s="201"/>
      <c r="KE128" s="201"/>
      <c r="KF128" s="201"/>
      <c r="KG128" s="201"/>
      <c r="KH128" s="201"/>
      <c r="KI128" s="201"/>
      <c r="KJ128" s="201"/>
      <c r="KK128" s="201"/>
      <c r="KL128" s="201"/>
      <c r="KM128" s="201"/>
      <c r="KN128" s="201"/>
      <c r="KO128" s="201"/>
      <c r="KP128" s="201"/>
      <c r="KQ128" s="201"/>
      <c r="KR128" s="201"/>
      <c r="KS128" s="201"/>
      <c r="KT128" s="201"/>
      <c r="KU128" s="201"/>
      <c r="KV128" s="201"/>
      <c r="KW128" s="201"/>
      <c r="KX128" s="201"/>
      <c r="KY128" s="201"/>
      <c r="KZ128" s="201"/>
      <c r="LA128" s="201"/>
      <c r="LB128" s="201"/>
      <c r="LC128" s="201"/>
      <c r="LD128" s="201"/>
      <c r="LE128" s="201"/>
      <c r="LF128" s="201"/>
      <c r="LG128" s="201"/>
      <c r="LH128" s="201"/>
      <c r="LI128" s="201"/>
      <c r="LJ128" s="201"/>
      <c r="LK128" s="201"/>
      <c r="LL128" s="201"/>
      <c r="LM128" s="201"/>
      <c r="LN128" s="201"/>
      <c r="LO128" s="201"/>
      <c r="LP128" s="201"/>
      <c r="LQ128" s="201"/>
      <c r="LR128" s="201"/>
      <c r="LS128" s="201"/>
      <c r="LT128" s="201"/>
      <c r="LU128" s="201"/>
      <c r="LV128" s="201"/>
      <c r="LW128" s="201"/>
      <c r="LX128" s="201"/>
      <c r="LY128" s="201"/>
      <c r="LZ128" s="201"/>
      <c r="MA128" s="201"/>
      <c r="MB128" s="201"/>
    </row>
    <row r="129" spans="1:123" ht="7.4" customHeight="1" x14ac:dyDescent="0.5">
      <c r="A129" s="42"/>
      <c r="B129" s="42"/>
      <c r="C129" s="333"/>
      <c r="D129" s="333"/>
      <c r="E129" s="41"/>
      <c r="F129" s="42"/>
      <c r="G129" s="56"/>
      <c r="H129" s="56"/>
      <c r="I129" s="56"/>
      <c r="J129" s="56"/>
      <c r="K129" s="56"/>
      <c r="L129" s="56"/>
      <c r="M129" s="56"/>
      <c r="N129" s="56"/>
      <c r="O129" s="56"/>
      <c r="P129" s="56"/>
      <c r="Q129" s="56"/>
      <c r="R129" s="126"/>
      <c r="S129" s="42"/>
      <c r="T129" s="116" t="str">
        <f>VLOOKUP(G127,PL!$B$9:$BH$1265,33,FALSE)</f>
        <v>Aluminium, Rail Profile 40x30</v>
      </c>
      <c r="AJ129" s="41"/>
      <c r="AK129" s="42"/>
      <c r="AL129" s="311"/>
      <c r="AM129" s="311"/>
      <c r="AN129" s="311"/>
      <c r="AO129" s="311"/>
      <c r="AP129" s="43"/>
      <c r="AQ129" s="42"/>
      <c r="AR129" s="119"/>
      <c r="AS129" s="119"/>
      <c r="AT129" s="119"/>
      <c r="AU129" s="119"/>
      <c r="AV129" s="119"/>
      <c r="AW129" s="119"/>
      <c r="AX129" s="105"/>
      <c r="AZ129" s="119"/>
      <c r="BA129" s="119"/>
      <c r="BB129" s="119"/>
      <c r="BC129" s="119"/>
      <c r="BD129" s="119"/>
      <c r="BE129" s="119"/>
      <c r="BF129" s="119"/>
      <c r="BG129" s="119"/>
      <c r="BH129" s="124"/>
      <c r="BI129" s="41"/>
      <c r="BK129" s="194"/>
      <c r="BL129" s="123"/>
      <c r="BM129" s="195"/>
      <c r="BN129" s="196"/>
      <c r="BO129" s="153"/>
      <c r="BP129" s="197"/>
      <c r="BQ129" s="196"/>
      <c r="BR129" s="153"/>
      <c r="BS129" s="197"/>
      <c r="BT129" s="196"/>
      <c r="BU129" s="153"/>
      <c r="BV129" s="197"/>
      <c r="BW129" s="196"/>
      <c r="BX129" s="153"/>
      <c r="BY129" s="197"/>
      <c r="BZ129" s="196"/>
      <c r="CA129" s="153"/>
      <c r="CB129" s="197"/>
      <c r="CC129" s="196"/>
      <c r="CD129" s="153"/>
      <c r="CE129" s="197"/>
      <c r="CF129" s="196"/>
      <c r="CG129" s="153"/>
      <c r="CH129" s="197"/>
      <c r="CI129" s="196"/>
      <c r="CJ129" s="153"/>
      <c r="CK129" s="197"/>
      <c r="CL129" s="196"/>
      <c r="CM129" s="153"/>
      <c r="CN129" s="197"/>
      <c r="CO129" s="196"/>
      <c r="CP129" s="153"/>
      <c r="CQ129" s="197"/>
      <c r="CR129" s="196"/>
      <c r="CS129" s="153"/>
      <c r="CT129" s="197"/>
      <c r="CU129" s="196"/>
      <c r="CV129" s="153"/>
      <c r="CW129" s="197"/>
      <c r="CX129" s="196"/>
      <c r="CY129" s="153"/>
      <c r="CZ129" s="197"/>
      <c r="DA129" s="196"/>
      <c r="DB129" s="153"/>
      <c r="DC129" s="197"/>
      <c r="DD129" s="196"/>
      <c r="DE129" s="153"/>
      <c r="DF129" s="197"/>
      <c r="DH129" s="311"/>
      <c r="DI129" s="311"/>
      <c r="DJ129" s="311"/>
      <c r="DK129" s="311"/>
      <c r="DL129" s="321"/>
      <c r="DM129" s="321"/>
      <c r="DN129" s="321"/>
      <c r="DO129" s="321"/>
      <c r="DP129" s="321"/>
      <c r="DQ129" s="321"/>
      <c r="DR129" s="321"/>
      <c r="DS129" s="321"/>
    </row>
    <row r="130" spans="1:123" ht="7.4" customHeight="1" x14ac:dyDescent="0.5">
      <c r="A130" s="42"/>
      <c r="B130" s="42"/>
      <c r="C130" s="55"/>
      <c r="D130" s="55"/>
      <c r="E130" s="41"/>
      <c r="F130" s="42"/>
      <c r="G130" s="56"/>
      <c r="H130" s="56"/>
      <c r="I130" s="56"/>
      <c r="J130" s="56"/>
      <c r="K130" s="56"/>
      <c r="L130" s="56"/>
      <c r="M130" s="56"/>
      <c r="N130" s="56"/>
      <c r="O130" s="56"/>
      <c r="P130" s="56"/>
      <c r="Q130" s="56"/>
      <c r="R130" s="126"/>
      <c r="S130" s="42"/>
      <c r="AJ130" s="41"/>
      <c r="AK130" s="42"/>
      <c r="AL130" s="311"/>
      <c r="AM130" s="311"/>
      <c r="AN130" s="311"/>
      <c r="AO130" s="311"/>
      <c r="AP130" s="43"/>
      <c r="AQ130" s="42"/>
      <c r="AR130" s="119"/>
      <c r="AS130" s="119"/>
      <c r="AT130" s="119"/>
      <c r="AU130" s="119"/>
      <c r="AV130" s="119"/>
      <c r="AW130" s="119"/>
      <c r="AX130" s="105"/>
      <c r="AZ130" s="119"/>
      <c r="BA130" s="119"/>
      <c r="BB130" s="119"/>
      <c r="BC130" s="119"/>
      <c r="BD130" s="119"/>
      <c r="BE130" s="119"/>
      <c r="BF130" s="119"/>
      <c r="BG130" s="119"/>
      <c r="BH130" s="124"/>
      <c r="BI130" s="41"/>
      <c r="BK130" s="194"/>
      <c r="BL130" s="123"/>
      <c r="BM130" s="195"/>
      <c r="BN130" s="196"/>
      <c r="BO130" s="153"/>
      <c r="BP130" s="197"/>
      <c r="BQ130" s="196"/>
      <c r="BR130" s="153"/>
      <c r="BS130" s="197"/>
      <c r="BT130" s="196"/>
      <c r="BU130" s="153"/>
      <c r="BV130" s="197"/>
      <c r="BW130" s="196"/>
      <c r="BX130" s="153"/>
      <c r="BY130" s="197"/>
      <c r="BZ130" s="196"/>
      <c r="CA130" s="153"/>
      <c r="CB130" s="197"/>
      <c r="CC130" s="196"/>
      <c r="CD130" s="153"/>
      <c r="CE130" s="197"/>
      <c r="CF130" s="196"/>
      <c r="CG130" s="153"/>
      <c r="CH130" s="197"/>
      <c r="CI130" s="196"/>
      <c r="CJ130" s="153"/>
      <c r="CK130" s="197"/>
      <c r="CL130" s="196"/>
      <c r="CM130" s="153"/>
      <c r="CN130" s="197"/>
      <c r="CO130" s="196"/>
      <c r="CP130" s="153"/>
      <c r="CQ130" s="197"/>
      <c r="CR130" s="196"/>
      <c r="CS130" s="153"/>
      <c r="CT130" s="197"/>
      <c r="CU130" s="196"/>
      <c r="CV130" s="153"/>
      <c r="CW130" s="197"/>
      <c r="CX130" s="196"/>
      <c r="CY130" s="153"/>
      <c r="CZ130" s="197"/>
      <c r="DA130" s="196"/>
      <c r="DB130" s="153"/>
      <c r="DC130" s="197"/>
      <c r="DD130" s="196"/>
      <c r="DE130" s="153"/>
      <c r="DF130" s="197"/>
      <c r="DL130" s="105"/>
      <c r="DM130" s="105"/>
      <c r="DN130" s="105"/>
      <c r="DO130" s="105"/>
      <c r="DP130" s="105"/>
      <c r="DQ130" s="105"/>
      <c r="DR130" s="105"/>
      <c r="DS130" s="105"/>
    </row>
    <row r="131" spans="1:123" ht="7.4" customHeight="1" x14ac:dyDescent="0.5">
      <c r="A131" s="42"/>
      <c r="B131" s="42"/>
      <c r="C131" s="311">
        <f>C127+1</f>
        <v>4</v>
      </c>
      <c r="D131" s="311"/>
      <c r="E131" s="41"/>
      <c r="F131" s="42"/>
      <c r="G131" s="319" t="str">
        <f>"AXE_F_AN_RD_"&amp;IF($W$45&lt;2200,"S","L")&amp;"_"&amp;$AO$31&amp;"_AL"</f>
        <v>AXE_F_AN_RD_L_10_AL</v>
      </c>
      <c r="H131" s="319"/>
      <c r="I131" s="319"/>
      <c r="J131" s="319"/>
      <c r="K131" s="319"/>
      <c r="L131" s="319"/>
      <c r="M131" s="319"/>
      <c r="N131" s="319"/>
      <c r="O131" s="319"/>
      <c r="P131" s="319"/>
      <c r="Q131" s="319"/>
      <c r="R131" s="320"/>
      <c r="S131" s="42"/>
      <c r="T131" s="405" t="str">
        <f>VLOOKUP(G131,PL!$B$9:$BH$1265,14,FALSE)</f>
        <v>Angled Frame</v>
      </c>
      <c r="U131" s="405"/>
      <c r="V131" s="405"/>
      <c r="W131" s="405"/>
      <c r="X131" s="405"/>
      <c r="Y131" s="405"/>
      <c r="Z131" s="405"/>
      <c r="AA131" s="405"/>
      <c r="AB131" s="405"/>
      <c r="AC131" s="405"/>
      <c r="AD131" s="405"/>
      <c r="AE131" s="405"/>
      <c r="AF131" s="405"/>
      <c r="AG131" s="405"/>
      <c r="AH131" s="405"/>
      <c r="AI131" s="405"/>
      <c r="AJ131" s="411"/>
      <c r="AK131" s="42"/>
      <c r="AL131" s="311">
        <f>SUM(BK131:DF132)</f>
        <v>200</v>
      </c>
      <c r="AM131" s="311"/>
      <c r="AN131" s="311"/>
      <c r="AO131" s="311"/>
      <c r="AP131" s="43"/>
      <c r="AQ131" s="111"/>
      <c r="AR131" s="308" t="str">
        <f>VLOOKUP(G131,PL!$B$9:$BH$818,52,FALSE)</f>
        <v>SOL-6052</v>
      </c>
      <c r="AS131" s="309"/>
      <c r="AT131" s="309"/>
      <c r="AU131" s="309"/>
      <c r="AV131" s="309"/>
      <c r="AW131" s="309"/>
      <c r="AX131" s="309"/>
      <c r="AY131" s="309"/>
      <c r="AZ131" s="309"/>
      <c r="BA131" s="309"/>
      <c r="BB131" s="309"/>
      <c r="BC131" s="309"/>
      <c r="BD131" s="309"/>
      <c r="BE131" s="309"/>
      <c r="BF131" s="309"/>
      <c r="BG131" s="309"/>
      <c r="BH131" s="124"/>
      <c r="BI131" s="41"/>
      <c r="BK131" s="412">
        <f>(ROUNDUP(($AE$45*M58+20*(M58-1)+$N$78*2-2*$N$82)/$AX$35,0)+1)*M54</f>
        <v>200</v>
      </c>
      <c r="BL131" s="413"/>
      <c r="BM131" s="414"/>
      <c r="BN131" s="412">
        <f>(ROUNDUP(($AE$45*P58+20*(P58-1)+$N$78*2-2*$N$82)/$AX$35,0)+1)*P54</f>
        <v>0</v>
      </c>
      <c r="BO131" s="413"/>
      <c r="BP131" s="414"/>
      <c r="BQ131" s="412">
        <f>(ROUNDUP(($AE$45*S58+20*(S58-1)+$N$78*2-2*$N$82)/$AX$35,0)+1)*S54</f>
        <v>0</v>
      </c>
      <c r="BR131" s="413"/>
      <c r="BS131" s="414"/>
      <c r="BT131" s="412">
        <f>(ROUNDUP(($AE$45*V58+20*(V58-1)+$N$78*2-2*$N$82)/$AX$35,0)+1)*V54</f>
        <v>0</v>
      </c>
      <c r="BU131" s="413"/>
      <c r="BV131" s="414"/>
      <c r="BW131" s="412">
        <f>(ROUNDUP(($AE$45*Y58+20*(Y58-1)+$N$78*2-2*$N$82)/$AX$35,0)+1)*Y54</f>
        <v>0</v>
      </c>
      <c r="BX131" s="413"/>
      <c r="BY131" s="414"/>
      <c r="BZ131" s="412">
        <f>(ROUNDUP(($AE$45*AB58+20*(AB58-1)+$N$78*2-2*$N$82)/$AX$35,0)+1)*AB54</f>
        <v>0</v>
      </c>
      <c r="CA131" s="413"/>
      <c r="CB131" s="414"/>
      <c r="CC131" s="412">
        <f>(ROUNDUP(($AE$45*AE58+20*(AE58-1)+$N$78*2-2*$N$82)/$AX$35,0)+1)*AE54</f>
        <v>0</v>
      </c>
      <c r="CD131" s="413"/>
      <c r="CE131" s="414"/>
      <c r="CF131" s="412">
        <f>(ROUNDUP(($AE$45*AH58+20*(AH58-1)+$N$78*2-2*$N$82)/$AX$35,0)+1)*AH54</f>
        <v>0</v>
      </c>
      <c r="CG131" s="413"/>
      <c r="CH131" s="414"/>
      <c r="CI131" s="412">
        <f>(ROUNDUP(($AE$45*AK58+20*(AK58-1)+$N$78*2-2*$N$82)/$AX$35,0)+1)*AK54</f>
        <v>0</v>
      </c>
      <c r="CJ131" s="413"/>
      <c r="CK131" s="414"/>
      <c r="CL131" s="412">
        <f>(ROUNDUP(($AE$45*AN58+20*(AN58-1)+$N$78*2-2*$N$82)/$AX$35,0)+1)*AN54</f>
        <v>0</v>
      </c>
      <c r="CM131" s="413"/>
      <c r="CN131" s="414"/>
      <c r="CO131" s="412">
        <f>(ROUNDUP(($AE$45*AQ58+20*(AQ58-1)+$N$78*2-2*$N$82)/$AX$35,0)+1)*AQ54</f>
        <v>0</v>
      </c>
      <c r="CP131" s="413"/>
      <c r="CQ131" s="414"/>
      <c r="CR131" s="412">
        <f>(ROUNDUP(($AE$45*AT58+20*(AT58-1)+$N$78*2-2*$N$82)/$AX$35,0)+1)*AT54</f>
        <v>0</v>
      </c>
      <c r="CS131" s="413"/>
      <c r="CT131" s="414"/>
      <c r="CU131" s="412">
        <f>(ROUNDUP(($AE$45*AW58+20*(AW58-1)+$N$78*2-2*$N$82)/$AX$35,0)+1)*AW54</f>
        <v>0</v>
      </c>
      <c r="CV131" s="413"/>
      <c r="CW131" s="414"/>
      <c r="CX131" s="412">
        <f>(ROUNDUP(($AE$45*AZ58+20*(AZ58-1)+$N$78*2-2*$N$82)/$AX$35,0)+1)*AZ54</f>
        <v>0</v>
      </c>
      <c r="CY131" s="413"/>
      <c r="CZ131" s="414"/>
      <c r="DA131" s="412">
        <f>(ROUNDUP(($AE$45*BC58+20*(BC58-1)+$N$78*2-2*$N$82)/$AX$35,0)+1)*BC54</f>
        <v>0</v>
      </c>
      <c r="DB131" s="413"/>
      <c r="DC131" s="414"/>
      <c r="DD131" s="412">
        <f>(ROUNDUP(($AE$45*BF58+20*(BF58-1)+$N$78*2-2*$N$82)/$AX$35,0)+1)*BF54</f>
        <v>0</v>
      </c>
      <c r="DE131" s="413"/>
      <c r="DF131" s="414"/>
      <c r="DH131" s="311"/>
      <c r="DI131" s="311"/>
      <c r="DJ131" s="311"/>
      <c r="DK131" s="311"/>
      <c r="DL131" s="321"/>
      <c r="DM131" s="321"/>
      <c r="DN131" s="321"/>
      <c r="DO131" s="321"/>
      <c r="DP131" s="321"/>
      <c r="DQ131" s="321"/>
      <c r="DR131" s="321"/>
      <c r="DS131" s="321"/>
    </row>
    <row r="132" spans="1:123" ht="7.4" customHeight="1" x14ac:dyDescent="0.5">
      <c r="A132" s="42"/>
      <c r="B132" s="42"/>
      <c r="C132" s="311"/>
      <c r="D132" s="311"/>
      <c r="E132" s="41"/>
      <c r="F132" s="42"/>
      <c r="G132" s="319"/>
      <c r="H132" s="319"/>
      <c r="I132" s="319"/>
      <c r="J132" s="319"/>
      <c r="K132" s="319"/>
      <c r="L132" s="319"/>
      <c r="M132" s="319"/>
      <c r="N132" s="319"/>
      <c r="O132" s="319"/>
      <c r="P132" s="319"/>
      <c r="Q132" s="319"/>
      <c r="R132" s="320"/>
      <c r="S132" s="42"/>
      <c r="T132" s="405"/>
      <c r="U132" s="405"/>
      <c r="V132" s="405"/>
      <c r="W132" s="405"/>
      <c r="X132" s="405"/>
      <c r="Y132" s="405"/>
      <c r="Z132" s="405"/>
      <c r="AA132" s="405"/>
      <c r="AB132" s="405"/>
      <c r="AC132" s="405"/>
      <c r="AD132" s="405"/>
      <c r="AE132" s="405"/>
      <c r="AF132" s="405"/>
      <c r="AG132" s="405"/>
      <c r="AH132" s="405"/>
      <c r="AI132" s="405"/>
      <c r="AJ132" s="411"/>
      <c r="AK132" s="42"/>
      <c r="AL132" s="311"/>
      <c r="AM132" s="311"/>
      <c r="AN132" s="311"/>
      <c r="AO132" s="311"/>
      <c r="AP132" s="43"/>
      <c r="AQ132" s="111"/>
      <c r="AR132" s="309"/>
      <c r="AS132" s="309"/>
      <c r="AT132" s="309"/>
      <c r="AU132" s="309"/>
      <c r="AV132" s="309"/>
      <c r="AW132" s="309"/>
      <c r="AX132" s="309"/>
      <c r="AY132" s="309"/>
      <c r="AZ132" s="309"/>
      <c r="BA132" s="309"/>
      <c r="BB132" s="309"/>
      <c r="BC132" s="309"/>
      <c r="BD132" s="309"/>
      <c r="BE132" s="309"/>
      <c r="BF132" s="309"/>
      <c r="BG132" s="309"/>
      <c r="BH132" s="124"/>
      <c r="BI132" s="41"/>
      <c r="BK132" s="412"/>
      <c r="BL132" s="413"/>
      <c r="BM132" s="414"/>
      <c r="BN132" s="412"/>
      <c r="BO132" s="413"/>
      <c r="BP132" s="414"/>
      <c r="BQ132" s="412"/>
      <c r="BR132" s="413"/>
      <c r="BS132" s="414"/>
      <c r="BT132" s="412"/>
      <c r="BU132" s="413"/>
      <c r="BV132" s="414"/>
      <c r="BW132" s="412"/>
      <c r="BX132" s="413"/>
      <c r="BY132" s="414"/>
      <c r="BZ132" s="412"/>
      <c r="CA132" s="413"/>
      <c r="CB132" s="414"/>
      <c r="CC132" s="412"/>
      <c r="CD132" s="413"/>
      <c r="CE132" s="414"/>
      <c r="CF132" s="412"/>
      <c r="CG132" s="413"/>
      <c r="CH132" s="414"/>
      <c r="CI132" s="412"/>
      <c r="CJ132" s="413"/>
      <c r="CK132" s="414"/>
      <c r="CL132" s="412"/>
      <c r="CM132" s="413"/>
      <c r="CN132" s="414"/>
      <c r="CO132" s="412"/>
      <c r="CP132" s="413"/>
      <c r="CQ132" s="414"/>
      <c r="CR132" s="412"/>
      <c r="CS132" s="413"/>
      <c r="CT132" s="414"/>
      <c r="CU132" s="412"/>
      <c r="CV132" s="413"/>
      <c r="CW132" s="414"/>
      <c r="CX132" s="412"/>
      <c r="CY132" s="413"/>
      <c r="CZ132" s="414"/>
      <c r="DA132" s="412"/>
      <c r="DB132" s="413"/>
      <c r="DC132" s="414"/>
      <c r="DD132" s="412"/>
      <c r="DE132" s="413"/>
      <c r="DF132" s="414"/>
      <c r="DH132" s="311"/>
      <c r="DI132" s="311"/>
      <c r="DJ132" s="311"/>
      <c r="DK132" s="311"/>
      <c r="DL132" s="321"/>
      <c r="DM132" s="321"/>
      <c r="DN132" s="321"/>
      <c r="DO132" s="321"/>
      <c r="DP132" s="321"/>
      <c r="DQ132" s="321"/>
      <c r="DR132" s="321"/>
      <c r="DS132" s="321"/>
    </row>
    <row r="133" spans="1:123" ht="7.4" customHeight="1" x14ac:dyDescent="0.5">
      <c r="A133" s="42"/>
      <c r="B133" s="42"/>
      <c r="C133" s="333"/>
      <c r="D133" s="333"/>
      <c r="E133" s="41"/>
      <c r="F133" s="42"/>
      <c r="G133" s="56"/>
      <c r="H133" s="56"/>
      <c r="I133" s="56"/>
      <c r="J133" s="56"/>
      <c r="K133" s="56"/>
      <c r="L133" s="56"/>
      <c r="M133" s="56"/>
      <c r="N133" s="56"/>
      <c r="O133" s="56"/>
      <c r="P133" s="56"/>
      <c r="Q133" s="56"/>
      <c r="R133" s="126"/>
      <c r="S133" s="42"/>
      <c r="T133" s="116" t="str">
        <f>VLOOKUP(G131,PL!$B$9:$BH$1265,33,FALSE)</f>
        <v>Aluminium, Railed, Long, 10deg</v>
      </c>
      <c r="AJ133" s="41"/>
      <c r="AK133" s="42"/>
      <c r="AL133" s="311"/>
      <c r="AM133" s="311"/>
      <c r="AN133" s="311"/>
      <c r="AO133" s="311"/>
      <c r="AP133" s="43"/>
      <c r="AQ133" s="42"/>
      <c r="AR133" s="119"/>
      <c r="AS133" s="119"/>
      <c r="AT133" s="119"/>
      <c r="AU133" s="119"/>
      <c r="AV133" s="119"/>
      <c r="AW133" s="119"/>
      <c r="AX133" s="105"/>
      <c r="AZ133" s="119"/>
      <c r="BA133" s="119"/>
      <c r="BB133" s="119"/>
      <c r="BC133" s="119"/>
      <c r="BD133" s="119"/>
      <c r="BE133" s="119"/>
      <c r="BF133" s="119"/>
      <c r="BG133" s="119"/>
      <c r="BH133" s="124"/>
      <c r="BI133" s="41"/>
      <c r="BK133" s="194"/>
      <c r="BL133" s="123"/>
      <c r="BM133" s="195"/>
      <c r="BN133" s="194"/>
      <c r="BO133" s="123"/>
      <c r="BP133" s="195"/>
      <c r="BQ133" s="194"/>
      <c r="BR133" s="123"/>
      <c r="BS133" s="195"/>
      <c r="BT133" s="194"/>
      <c r="BU133" s="123"/>
      <c r="BV133" s="195"/>
      <c r="BW133" s="194"/>
      <c r="BX133" s="123"/>
      <c r="BY133" s="195"/>
      <c r="BZ133" s="194"/>
      <c r="CA133" s="123"/>
      <c r="CB133" s="195"/>
      <c r="CC133" s="194"/>
      <c r="CD133" s="123"/>
      <c r="CE133" s="195"/>
      <c r="CF133" s="194"/>
      <c r="CG133" s="123"/>
      <c r="CH133" s="195"/>
      <c r="CI133" s="194"/>
      <c r="CJ133" s="123"/>
      <c r="CK133" s="195"/>
      <c r="CL133" s="194"/>
      <c r="CM133" s="123"/>
      <c r="CN133" s="195"/>
      <c r="CO133" s="194"/>
      <c r="CP133" s="123"/>
      <c r="CQ133" s="195"/>
      <c r="CR133" s="194"/>
      <c r="CS133" s="123"/>
      <c r="CT133" s="195"/>
      <c r="CU133" s="194"/>
      <c r="CV133" s="123"/>
      <c r="CW133" s="195"/>
      <c r="CX133" s="194"/>
      <c r="CY133" s="123"/>
      <c r="CZ133" s="195"/>
      <c r="DA133" s="194"/>
      <c r="DB133" s="123"/>
      <c r="DC133" s="195"/>
      <c r="DD133" s="194"/>
      <c r="DE133" s="123"/>
      <c r="DF133" s="195"/>
      <c r="DH133" s="311"/>
      <c r="DI133" s="311"/>
      <c r="DJ133" s="311"/>
      <c r="DK133" s="311"/>
      <c r="DL133" s="321"/>
      <c r="DM133" s="321"/>
      <c r="DN133" s="321"/>
      <c r="DO133" s="321"/>
      <c r="DP133" s="321"/>
      <c r="DQ133" s="321"/>
      <c r="DR133" s="321"/>
      <c r="DS133" s="321"/>
    </row>
    <row r="134" spans="1:123" ht="7.4" customHeight="1" x14ac:dyDescent="0.5">
      <c r="A134" s="42"/>
      <c r="B134" s="42"/>
      <c r="C134" s="55"/>
      <c r="D134" s="55"/>
      <c r="E134" s="41"/>
      <c r="F134" s="42"/>
      <c r="G134" s="56"/>
      <c r="H134" s="56"/>
      <c r="I134" s="56"/>
      <c r="J134" s="56"/>
      <c r="K134" s="56"/>
      <c r="L134" s="56"/>
      <c r="M134" s="56"/>
      <c r="N134" s="56"/>
      <c r="O134" s="56"/>
      <c r="P134" s="56"/>
      <c r="Q134" s="56"/>
      <c r="R134" s="126"/>
      <c r="S134" s="42"/>
      <c r="AJ134" s="41"/>
      <c r="AK134" s="42"/>
      <c r="AL134" s="311"/>
      <c r="AM134" s="311"/>
      <c r="AN134" s="311"/>
      <c r="AO134" s="311"/>
      <c r="AP134" s="43"/>
      <c r="AQ134" s="42"/>
      <c r="AR134" s="119"/>
      <c r="AS134" s="119"/>
      <c r="AT134" s="119"/>
      <c r="AU134" s="119"/>
      <c r="AV134" s="119"/>
      <c r="AW134" s="119"/>
      <c r="AX134" s="105"/>
      <c r="AZ134" s="119"/>
      <c r="BA134" s="119"/>
      <c r="BB134" s="119"/>
      <c r="BC134" s="119"/>
      <c r="BD134" s="119"/>
      <c r="BE134" s="119"/>
      <c r="BF134" s="119"/>
      <c r="BG134" s="119"/>
      <c r="BH134" s="124"/>
      <c r="BI134" s="41"/>
      <c r="BK134" s="194"/>
      <c r="BL134" s="123"/>
      <c r="BM134" s="195"/>
      <c r="BN134" s="194"/>
      <c r="BO134" s="123"/>
      <c r="BP134" s="195"/>
      <c r="BQ134" s="194"/>
      <c r="BR134" s="123"/>
      <c r="BS134" s="195"/>
      <c r="BT134" s="194"/>
      <c r="BU134" s="123"/>
      <c r="BV134" s="195"/>
      <c r="BW134" s="194"/>
      <c r="BX134" s="123"/>
      <c r="BY134" s="195"/>
      <c r="BZ134" s="194"/>
      <c r="CA134" s="123"/>
      <c r="CB134" s="195"/>
      <c r="CC134" s="194"/>
      <c r="CD134" s="123"/>
      <c r="CE134" s="195"/>
      <c r="CF134" s="194"/>
      <c r="CG134" s="123"/>
      <c r="CH134" s="195"/>
      <c r="CI134" s="194"/>
      <c r="CJ134" s="123"/>
      <c r="CK134" s="195"/>
      <c r="CL134" s="194"/>
      <c r="CM134" s="123"/>
      <c r="CN134" s="195"/>
      <c r="CO134" s="194"/>
      <c r="CP134" s="123"/>
      <c r="CQ134" s="195"/>
      <c r="CR134" s="194"/>
      <c r="CS134" s="123"/>
      <c r="CT134" s="195"/>
      <c r="CU134" s="194"/>
      <c r="CV134" s="123"/>
      <c r="CW134" s="195"/>
      <c r="CX134" s="194"/>
      <c r="CY134" s="123"/>
      <c r="CZ134" s="195"/>
      <c r="DA134" s="194"/>
      <c r="DB134" s="123"/>
      <c r="DC134" s="195"/>
      <c r="DD134" s="194"/>
      <c r="DE134" s="123"/>
      <c r="DF134" s="195"/>
      <c r="DL134" s="105"/>
      <c r="DM134" s="105"/>
      <c r="DN134" s="105"/>
      <c r="DO134" s="105"/>
      <c r="DP134" s="105"/>
      <c r="DQ134" s="105"/>
      <c r="DR134" s="105"/>
      <c r="DS134" s="105"/>
    </row>
    <row r="135" spans="1:123" ht="7.4" customHeight="1" x14ac:dyDescent="0.5">
      <c r="A135" s="42"/>
      <c r="B135" s="42"/>
      <c r="C135" s="311">
        <f>C131+1</f>
        <v>5</v>
      </c>
      <c r="D135" s="311"/>
      <c r="E135" s="41"/>
      <c r="F135" s="42"/>
      <c r="G135" s="319" t="str">
        <f>IF($AI$78="Included","AXE_CM_CF_"&amp;$AM$45,"AXE_CM_AP")&amp;"_AL"</f>
        <v>AXE_CM_CF_30_AL</v>
      </c>
      <c r="H135" s="319"/>
      <c r="I135" s="319"/>
      <c r="J135" s="319"/>
      <c r="K135" s="319"/>
      <c r="L135" s="319"/>
      <c r="M135" s="319"/>
      <c r="N135" s="319"/>
      <c r="O135" s="319"/>
      <c r="P135" s="319"/>
      <c r="Q135" s="319"/>
      <c r="R135" s="320"/>
      <c r="S135" s="42"/>
      <c r="T135" s="405" t="str">
        <f>VLOOKUP(G135,PL!$B$9:$BH$1265,14,FALSE)</f>
        <v>Mid Clamp</v>
      </c>
      <c r="U135" s="405"/>
      <c r="V135" s="405"/>
      <c r="W135" s="405"/>
      <c r="X135" s="405"/>
      <c r="Y135" s="405"/>
      <c r="Z135" s="405"/>
      <c r="AA135" s="405"/>
      <c r="AB135" s="405"/>
      <c r="AC135" s="405"/>
      <c r="AD135" s="405"/>
      <c r="AE135" s="405"/>
      <c r="AF135" s="405"/>
      <c r="AG135" s="405"/>
      <c r="AH135" s="405"/>
      <c r="AI135" s="405"/>
      <c r="AJ135" s="411"/>
      <c r="AK135" s="42"/>
      <c r="AL135" s="311">
        <f>ROUND(SUM(BK135:DF135)*(1+$BF$74),0)</f>
        <v>490</v>
      </c>
      <c r="AM135" s="311"/>
      <c r="AN135" s="311"/>
      <c r="AO135" s="311"/>
      <c r="AP135" s="43"/>
      <c r="AQ135" s="111"/>
      <c r="AR135" s="308" t="str">
        <f>VLOOKUP(G135,PL!$B$9:$BH$818,52,FALSE)</f>
        <v>SOL-580101</v>
      </c>
      <c r="AS135" s="309"/>
      <c r="AT135" s="309"/>
      <c r="AU135" s="309"/>
      <c r="AV135" s="309"/>
      <c r="AW135" s="309"/>
      <c r="AX135" s="309"/>
      <c r="AY135" s="309"/>
      <c r="AZ135" s="309"/>
      <c r="BA135" s="309"/>
      <c r="BB135" s="309"/>
      <c r="BC135" s="309"/>
      <c r="BD135" s="309"/>
      <c r="BE135" s="309"/>
      <c r="BF135" s="309"/>
      <c r="BG135" s="309"/>
      <c r="BH135" s="124"/>
      <c r="BI135" s="41"/>
      <c r="BK135" s="412">
        <f>M54*M58*2-BK139/2</f>
        <v>480</v>
      </c>
      <c r="BL135" s="413"/>
      <c r="BM135" s="414"/>
      <c r="BN135" s="412">
        <f>P54*P58*2-BN139/2</f>
        <v>0</v>
      </c>
      <c r="BO135" s="413"/>
      <c r="BP135" s="414"/>
      <c r="BQ135" s="412">
        <f>S54*S58*2-BQ139/2</f>
        <v>0</v>
      </c>
      <c r="BR135" s="413"/>
      <c r="BS135" s="414"/>
      <c r="BT135" s="412">
        <f>V54*V58*2-BT139/2</f>
        <v>0</v>
      </c>
      <c r="BU135" s="413"/>
      <c r="BV135" s="414"/>
      <c r="BW135" s="412">
        <f>Y54*Y58*2-BW139/2</f>
        <v>0</v>
      </c>
      <c r="BX135" s="413"/>
      <c r="BY135" s="414"/>
      <c r="BZ135" s="412">
        <f>AB54*AB58*2-BZ139/2</f>
        <v>0</v>
      </c>
      <c r="CA135" s="413"/>
      <c r="CB135" s="414"/>
      <c r="CC135" s="412">
        <f>AE54*AE58*2-CC139/2</f>
        <v>0</v>
      </c>
      <c r="CD135" s="413"/>
      <c r="CE135" s="414"/>
      <c r="CF135" s="412">
        <f>AH54*AH58*2-CF139/2</f>
        <v>0</v>
      </c>
      <c r="CG135" s="413"/>
      <c r="CH135" s="414"/>
      <c r="CI135" s="412">
        <f>AK54*AK58*2-CI139/2</f>
        <v>0</v>
      </c>
      <c r="CJ135" s="413"/>
      <c r="CK135" s="414"/>
      <c r="CL135" s="412">
        <f>AN54*AN58*2-CL139/2</f>
        <v>0</v>
      </c>
      <c r="CM135" s="413"/>
      <c r="CN135" s="414"/>
      <c r="CO135" s="412">
        <f>AQ54*AQ58*2-CO139/2</f>
        <v>0</v>
      </c>
      <c r="CP135" s="413"/>
      <c r="CQ135" s="414"/>
      <c r="CR135" s="412">
        <f>AT54*AT58*2-CR139/2</f>
        <v>0</v>
      </c>
      <c r="CS135" s="413"/>
      <c r="CT135" s="414"/>
      <c r="CU135" s="412">
        <f>AW54*AW58*2-CU139/2</f>
        <v>0</v>
      </c>
      <c r="CV135" s="413"/>
      <c r="CW135" s="414"/>
      <c r="CX135" s="412">
        <f>AZ54*AZ58*2-CX139/2</f>
        <v>0</v>
      </c>
      <c r="CY135" s="413"/>
      <c r="CZ135" s="414"/>
      <c r="DA135" s="412">
        <f>BC54*BC58*2-DA139/2</f>
        <v>0</v>
      </c>
      <c r="DB135" s="413"/>
      <c r="DC135" s="414"/>
      <c r="DD135" s="412">
        <f>BF54*BF58*2-DD139/2</f>
        <v>0</v>
      </c>
      <c r="DE135" s="413"/>
      <c r="DF135" s="414"/>
      <c r="DH135" s="311"/>
      <c r="DI135" s="311"/>
      <c r="DJ135" s="311"/>
      <c r="DK135" s="311"/>
      <c r="DL135" s="321"/>
      <c r="DM135" s="321"/>
      <c r="DN135" s="321"/>
      <c r="DO135" s="321"/>
      <c r="DP135" s="321"/>
      <c r="DQ135" s="321"/>
      <c r="DR135" s="321"/>
      <c r="DS135" s="321"/>
    </row>
    <row r="136" spans="1:123" ht="7.4" customHeight="1" x14ac:dyDescent="0.5">
      <c r="A136" s="42"/>
      <c r="B136" s="42"/>
      <c r="C136" s="311"/>
      <c r="D136" s="311"/>
      <c r="E136" s="41"/>
      <c r="F136" s="42"/>
      <c r="G136" s="319"/>
      <c r="H136" s="319"/>
      <c r="I136" s="319"/>
      <c r="J136" s="319"/>
      <c r="K136" s="319"/>
      <c r="L136" s="319"/>
      <c r="M136" s="319"/>
      <c r="N136" s="319"/>
      <c r="O136" s="319"/>
      <c r="P136" s="319"/>
      <c r="Q136" s="319"/>
      <c r="R136" s="320"/>
      <c r="S136" s="42"/>
      <c r="T136" s="405"/>
      <c r="U136" s="405"/>
      <c r="V136" s="405"/>
      <c r="W136" s="405"/>
      <c r="X136" s="405"/>
      <c r="Y136" s="405"/>
      <c r="Z136" s="405"/>
      <c r="AA136" s="405"/>
      <c r="AB136" s="405"/>
      <c r="AC136" s="405"/>
      <c r="AD136" s="405"/>
      <c r="AE136" s="405"/>
      <c r="AF136" s="405"/>
      <c r="AG136" s="405"/>
      <c r="AH136" s="405"/>
      <c r="AI136" s="405"/>
      <c r="AJ136" s="411"/>
      <c r="AK136" s="42"/>
      <c r="AL136" s="311"/>
      <c r="AM136" s="311"/>
      <c r="AN136" s="311"/>
      <c r="AO136" s="311"/>
      <c r="AP136" s="43"/>
      <c r="AQ136" s="111"/>
      <c r="AR136" s="309"/>
      <c r="AS136" s="309"/>
      <c r="AT136" s="309"/>
      <c r="AU136" s="309"/>
      <c r="AV136" s="309"/>
      <c r="AW136" s="309"/>
      <c r="AX136" s="309"/>
      <c r="AY136" s="309"/>
      <c r="AZ136" s="309"/>
      <c r="BA136" s="309"/>
      <c r="BB136" s="309"/>
      <c r="BC136" s="309"/>
      <c r="BD136" s="309"/>
      <c r="BE136" s="309"/>
      <c r="BF136" s="309"/>
      <c r="BG136" s="309"/>
      <c r="BH136" s="124"/>
      <c r="BI136" s="41"/>
      <c r="BK136" s="412"/>
      <c r="BL136" s="413"/>
      <c r="BM136" s="414"/>
      <c r="BN136" s="412"/>
      <c r="BO136" s="413"/>
      <c r="BP136" s="414"/>
      <c r="BQ136" s="412"/>
      <c r="BR136" s="413"/>
      <c r="BS136" s="414"/>
      <c r="BT136" s="412"/>
      <c r="BU136" s="413"/>
      <c r="BV136" s="414"/>
      <c r="BW136" s="412"/>
      <c r="BX136" s="413"/>
      <c r="BY136" s="414"/>
      <c r="BZ136" s="412"/>
      <c r="CA136" s="413"/>
      <c r="CB136" s="414"/>
      <c r="CC136" s="412"/>
      <c r="CD136" s="413"/>
      <c r="CE136" s="414"/>
      <c r="CF136" s="412"/>
      <c r="CG136" s="413"/>
      <c r="CH136" s="414"/>
      <c r="CI136" s="412"/>
      <c r="CJ136" s="413"/>
      <c r="CK136" s="414"/>
      <c r="CL136" s="412"/>
      <c r="CM136" s="413"/>
      <c r="CN136" s="414"/>
      <c r="CO136" s="412"/>
      <c r="CP136" s="413"/>
      <c r="CQ136" s="414"/>
      <c r="CR136" s="412"/>
      <c r="CS136" s="413"/>
      <c r="CT136" s="414"/>
      <c r="CU136" s="412"/>
      <c r="CV136" s="413"/>
      <c r="CW136" s="414"/>
      <c r="CX136" s="412"/>
      <c r="CY136" s="413"/>
      <c r="CZ136" s="414"/>
      <c r="DA136" s="412"/>
      <c r="DB136" s="413"/>
      <c r="DC136" s="414"/>
      <c r="DD136" s="412"/>
      <c r="DE136" s="413"/>
      <c r="DF136" s="414"/>
      <c r="DH136" s="311"/>
      <c r="DI136" s="311"/>
      <c r="DJ136" s="311"/>
      <c r="DK136" s="311"/>
      <c r="DL136" s="321"/>
      <c r="DM136" s="321"/>
      <c r="DN136" s="321"/>
      <c r="DO136" s="321"/>
      <c r="DP136" s="321"/>
      <c r="DQ136" s="321"/>
      <c r="DR136" s="321"/>
      <c r="DS136" s="321"/>
    </row>
    <row r="137" spans="1:123" ht="7.4" customHeight="1" x14ac:dyDescent="0.5">
      <c r="A137" s="42"/>
      <c r="B137" s="42"/>
      <c r="C137" s="333"/>
      <c r="D137" s="333"/>
      <c r="E137" s="41"/>
      <c r="F137" s="42"/>
      <c r="G137" s="56"/>
      <c r="H137" s="56"/>
      <c r="I137" s="56"/>
      <c r="J137" s="56"/>
      <c r="K137" s="56"/>
      <c r="L137" s="56"/>
      <c r="M137" s="56"/>
      <c r="N137" s="56"/>
      <c r="O137" s="56"/>
      <c r="P137" s="56"/>
      <c r="Q137" s="56"/>
      <c r="R137" s="126"/>
      <c r="S137" s="42"/>
      <c r="T137" s="116" t="str">
        <f>VLOOKUP(G135,PL!$B$9:$BH$1265,33,FALSE)</f>
        <v>Aluminium, Click Fix, 30mm high</v>
      </c>
      <c r="AJ137" s="41"/>
      <c r="AK137" s="42"/>
      <c r="AL137" s="311"/>
      <c r="AM137" s="311"/>
      <c r="AN137" s="311"/>
      <c r="AO137" s="311"/>
      <c r="AP137" s="43"/>
      <c r="AQ137" s="42"/>
      <c r="AR137" s="119"/>
      <c r="AS137" s="119"/>
      <c r="AT137" s="119"/>
      <c r="AU137" s="119"/>
      <c r="AV137" s="119"/>
      <c r="AW137" s="119"/>
      <c r="AX137" s="105"/>
      <c r="AZ137" s="119"/>
      <c r="BA137" s="119"/>
      <c r="BB137" s="119"/>
      <c r="BC137" s="119"/>
      <c r="BD137" s="119"/>
      <c r="BE137" s="119"/>
      <c r="BF137" s="119"/>
      <c r="BG137" s="119"/>
      <c r="BH137" s="124"/>
      <c r="BI137" s="41"/>
      <c r="BK137" s="194"/>
      <c r="BL137" s="123"/>
      <c r="BM137" s="195"/>
      <c r="BN137" s="194"/>
      <c r="BO137" s="123"/>
      <c r="BP137" s="195"/>
      <c r="BQ137" s="194"/>
      <c r="BR137" s="123"/>
      <c r="BS137" s="195"/>
      <c r="BT137" s="194"/>
      <c r="BU137" s="123"/>
      <c r="BV137" s="195"/>
      <c r="BW137" s="194"/>
      <c r="BX137" s="123"/>
      <c r="BY137" s="195"/>
      <c r="BZ137" s="194"/>
      <c r="CA137" s="123"/>
      <c r="CB137" s="195"/>
      <c r="CC137" s="194"/>
      <c r="CD137" s="123"/>
      <c r="CE137" s="195"/>
      <c r="CF137" s="194"/>
      <c r="CG137" s="123"/>
      <c r="CH137" s="195"/>
      <c r="CI137" s="194"/>
      <c r="CJ137" s="123"/>
      <c r="CK137" s="195"/>
      <c r="CL137" s="194"/>
      <c r="CM137" s="123"/>
      <c r="CN137" s="195"/>
      <c r="CO137" s="194"/>
      <c r="CP137" s="123"/>
      <c r="CQ137" s="195"/>
      <c r="CR137" s="194"/>
      <c r="CS137" s="123"/>
      <c r="CT137" s="195"/>
      <c r="CU137" s="194"/>
      <c r="CV137" s="123"/>
      <c r="CW137" s="195"/>
      <c r="CX137" s="194"/>
      <c r="CY137" s="123"/>
      <c r="CZ137" s="195"/>
      <c r="DA137" s="194"/>
      <c r="DB137" s="123"/>
      <c r="DC137" s="195"/>
      <c r="DD137" s="194"/>
      <c r="DE137" s="123"/>
      <c r="DF137" s="195"/>
      <c r="DH137" s="311"/>
      <c r="DI137" s="311"/>
      <c r="DJ137" s="311"/>
      <c r="DK137" s="311"/>
      <c r="DL137" s="321"/>
      <c r="DM137" s="321"/>
      <c r="DN137" s="321"/>
      <c r="DO137" s="321"/>
      <c r="DP137" s="321"/>
      <c r="DQ137" s="321"/>
      <c r="DR137" s="321"/>
      <c r="DS137" s="321"/>
    </row>
    <row r="138" spans="1:123" ht="7.4" customHeight="1" x14ac:dyDescent="0.5">
      <c r="A138" s="42"/>
      <c r="B138" s="42"/>
      <c r="C138" s="55"/>
      <c r="D138" s="55"/>
      <c r="E138" s="41"/>
      <c r="F138" s="42"/>
      <c r="G138" s="56"/>
      <c r="H138" s="56"/>
      <c r="I138" s="56"/>
      <c r="J138" s="56"/>
      <c r="K138" s="56"/>
      <c r="L138" s="56"/>
      <c r="M138" s="56"/>
      <c r="N138" s="56"/>
      <c r="O138" s="56"/>
      <c r="P138" s="56"/>
      <c r="Q138" s="56"/>
      <c r="R138" s="126"/>
      <c r="S138" s="42"/>
      <c r="AJ138" s="41"/>
      <c r="AK138" s="42"/>
      <c r="AL138" s="311"/>
      <c r="AM138" s="311"/>
      <c r="AN138" s="311"/>
      <c r="AO138" s="311"/>
      <c r="AP138" s="43"/>
      <c r="AQ138" s="42"/>
      <c r="AR138" s="119"/>
      <c r="AS138" s="119"/>
      <c r="AT138" s="119"/>
      <c r="AU138" s="119"/>
      <c r="AV138" s="119"/>
      <c r="AW138" s="119"/>
      <c r="AX138" s="105"/>
      <c r="AZ138" s="119"/>
      <c r="BA138" s="119"/>
      <c r="BB138" s="119"/>
      <c r="BC138" s="119"/>
      <c r="BD138" s="119"/>
      <c r="BE138" s="119"/>
      <c r="BF138" s="119"/>
      <c r="BG138" s="119"/>
      <c r="BH138" s="124"/>
      <c r="BI138" s="41"/>
      <c r="BK138" s="194"/>
      <c r="BL138" s="123"/>
      <c r="BM138" s="195"/>
      <c r="BN138" s="194"/>
      <c r="BO138" s="123"/>
      <c r="BP138" s="195"/>
      <c r="BQ138" s="194"/>
      <c r="BR138" s="123"/>
      <c r="BS138" s="195"/>
      <c r="BT138" s="194"/>
      <c r="BU138" s="123"/>
      <c r="BV138" s="195"/>
      <c r="BW138" s="194"/>
      <c r="BX138" s="123"/>
      <c r="BY138" s="195"/>
      <c r="BZ138" s="194"/>
      <c r="CA138" s="123"/>
      <c r="CB138" s="195"/>
      <c r="CC138" s="194"/>
      <c r="CD138" s="123"/>
      <c r="CE138" s="195"/>
      <c r="CF138" s="194"/>
      <c r="CG138" s="123"/>
      <c r="CH138" s="195"/>
      <c r="CI138" s="194"/>
      <c r="CJ138" s="123"/>
      <c r="CK138" s="195"/>
      <c r="CL138" s="194"/>
      <c r="CM138" s="123"/>
      <c r="CN138" s="195"/>
      <c r="CO138" s="194"/>
      <c r="CP138" s="123"/>
      <c r="CQ138" s="195"/>
      <c r="CR138" s="194"/>
      <c r="CS138" s="123"/>
      <c r="CT138" s="195"/>
      <c r="CU138" s="194"/>
      <c r="CV138" s="123"/>
      <c r="CW138" s="195"/>
      <c r="CX138" s="194"/>
      <c r="CY138" s="123"/>
      <c r="CZ138" s="195"/>
      <c r="DA138" s="194"/>
      <c r="DB138" s="123"/>
      <c r="DC138" s="195"/>
      <c r="DD138" s="194"/>
      <c r="DE138" s="123"/>
      <c r="DF138" s="195"/>
      <c r="DL138" s="105"/>
      <c r="DM138" s="105"/>
      <c r="DN138" s="105"/>
      <c r="DO138" s="105"/>
      <c r="DP138" s="105"/>
      <c r="DQ138" s="105"/>
      <c r="DR138" s="105"/>
      <c r="DS138" s="105"/>
    </row>
    <row r="139" spans="1:123" ht="7.4" customHeight="1" x14ac:dyDescent="0.5">
      <c r="A139" s="42"/>
      <c r="B139" s="42"/>
      <c r="C139" s="311">
        <f>C135+1</f>
        <v>6</v>
      </c>
      <c r="D139" s="311"/>
      <c r="E139" s="41"/>
      <c r="F139" s="42"/>
      <c r="G139" s="319" t="str">
        <f>IF($AI$78="Included","AXE_CE_CF_"&amp;$AM$45,"AXE_CE_AP_"&amp;$AM$45)&amp;"_AL"</f>
        <v>AXE_CE_CF_30_AL</v>
      </c>
      <c r="H139" s="319"/>
      <c r="I139" s="319"/>
      <c r="J139" s="319"/>
      <c r="K139" s="319"/>
      <c r="L139" s="319"/>
      <c r="M139" s="319"/>
      <c r="N139" s="319"/>
      <c r="O139" s="319"/>
      <c r="P139" s="319"/>
      <c r="Q139" s="319"/>
      <c r="R139" s="320"/>
      <c r="S139" s="42"/>
      <c r="T139" s="405" t="str">
        <f>VLOOKUP(G139,PL!$B$9:$BH$1265,14,FALSE)</f>
        <v>End Clamp</v>
      </c>
      <c r="U139" s="405"/>
      <c r="V139" s="405"/>
      <c r="W139" s="405"/>
      <c r="X139" s="405"/>
      <c r="Y139" s="405"/>
      <c r="Z139" s="405"/>
      <c r="AA139" s="405"/>
      <c r="AB139" s="405"/>
      <c r="AC139" s="405"/>
      <c r="AD139" s="405"/>
      <c r="AE139" s="405"/>
      <c r="AF139" s="405"/>
      <c r="AG139" s="405"/>
      <c r="AH139" s="405"/>
      <c r="AI139" s="405"/>
      <c r="AJ139" s="411"/>
      <c r="AK139" s="42"/>
      <c r="AL139" s="311">
        <f>ROUND(SUM(BK139:DF139)*(1+$BF$84),0)</f>
        <v>41</v>
      </c>
      <c r="AM139" s="311"/>
      <c r="AN139" s="311"/>
      <c r="AO139" s="311"/>
      <c r="AP139" s="43"/>
      <c r="AQ139" s="111"/>
      <c r="AR139" s="308" t="str">
        <f>VLOOKUP(G139,PL!$B$9:$BH$818,52,FALSE)</f>
        <v>SOL-580301</v>
      </c>
      <c r="AS139" s="309"/>
      <c r="AT139" s="309"/>
      <c r="AU139" s="309"/>
      <c r="AV139" s="309"/>
      <c r="AW139" s="309"/>
      <c r="AX139" s="309"/>
      <c r="AY139" s="309"/>
      <c r="AZ139" s="309"/>
      <c r="BA139" s="309"/>
      <c r="BB139" s="309"/>
      <c r="BC139" s="309"/>
      <c r="BD139" s="309"/>
      <c r="BE139" s="309"/>
      <c r="BF139" s="309"/>
      <c r="BG139" s="309"/>
      <c r="BH139" s="124"/>
      <c r="BI139" s="41"/>
      <c r="BK139" s="412">
        <f>4*M54</f>
        <v>40</v>
      </c>
      <c r="BL139" s="413"/>
      <c r="BM139" s="414"/>
      <c r="BN139" s="412">
        <f>4*P54</f>
        <v>0</v>
      </c>
      <c r="BO139" s="413"/>
      <c r="BP139" s="414"/>
      <c r="BQ139" s="412">
        <f>4*S54</f>
        <v>0</v>
      </c>
      <c r="BR139" s="413"/>
      <c r="BS139" s="414"/>
      <c r="BT139" s="412">
        <f>4*V54</f>
        <v>0</v>
      </c>
      <c r="BU139" s="413"/>
      <c r="BV139" s="414"/>
      <c r="BW139" s="412">
        <f>4*Y54</f>
        <v>0</v>
      </c>
      <c r="BX139" s="413"/>
      <c r="BY139" s="414"/>
      <c r="BZ139" s="412">
        <f>4*AB54</f>
        <v>0</v>
      </c>
      <c r="CA139" s="413"/>
      <c r="CB139" s="414"/>
      <c r="CC139" s="412">
        <f>4*AE54</f>
        <v>0</v>
      </c>
      <c r="CD139" s="413"/>
      <c r="CE139" s="414"/>
      <c r="CF139" s="412">
        <f>4*AH54</f>
        <v>0</v>
      </c>
      <c r="CG139" s="413"/>
      <c r="CH139" s="414"/>
      <c r="CI139" s="412">
        <f>4*AK54</f>
        <v>0</v>
      </c>
      <c r="CJ139" s="413"/>
      <c r="CK139" s="414"/>
      <c r="CL139" s="412">
        <f>4*AN54</f>
        <v>0</v>
      </c>
      <c r="CM139" s="413"/>
      <c r="CN139" s="414"/>
      <c r="CO139" s="412">
        <f>4*AQ54</f>
        <v>0</v>
      </c>
      <c r="CP139" s="413"/>
      <c r="CQ139" s="414"/>
      <c r="CR139" s="412">
        <f>4*AT54</f>
        <v>0</v>
      </c>
      <c r="CS139" s="413"/>
      <c r="CT139" s="414"/>
      <c r="CU139" s="412">
        <f>4*AW54</f>
        <v>0</v>
      </c>
      <c r="CV139" s="413"/>
      <c r="CW139" s="414"/>
      <c r="CX139" s="412">
        <f>4*AZ54</f>
        <v>0</v>
      </c>
      <c r="CY139" s="413"/>
      <c r="CZ139" s="414"/>
      <c r="DA139" s="412">
        <f>4*BC54</f>
        <v>0</v>
      </c>
      <c r="DB139" s="413"/>
      <c r="DC139" s="414"/>
      <c r="DD139" s="412">
        <f>4*BF54</f>
        <v>0</v>
      </c>
      <c r="DE139" s="413"/>
      <c r="DF139" s="414"/>
      <c r="DH139" s="311"/>
      <c r="DI139" s="311"/>
      <c r="DJ139" s="311"/>
      <c r="DK139" s="311"/>
      <c r="DL139" s="321"/>
      <c r="DM139" s="321"/>
      <c r="DN139" s="321"/>
      <c r="DO139" s="321"/>
      <c r="DP139" s="321"/>
      <c r="DQ139" s="321"/>
      <c r="DR139" s="321"/>
      <c r="DS139" s="321"/>
    </row>
    <row r="140" spans="1:123" ht="7.4" customHeight="1" x14ac:dyDescent="0.5">
      <c r="A140" s="42"/>
      <c r="B140" s="42"/>
      <c r="C140" s="311"/>
      <c r="D140" s="311"/>
      <c r="E140" s="41"/>
      <c r="F140" s="42"/>
      <c r="G140" s="319"/>
      <c r="H140" s="319"/>
      <c r="I140" s="319"/>
      <c r="J140" s="319"/>
      <c r="K140" s="319"/>
      <c r="L140" s="319"/>
      <c r="M140" s="319"/>
      <c r="N140" s="319"/>
      <c r="O140" s="319"/>
      <c r="P140" s="319"/>
      <c r="Q140" s="319"/>
      <c r="R140" s="320"/>
      <c r="S140" s="42"/>
      <c r="T140" s="405"/>
      <c r="U140" s="405"/>
      <c r="V140" s="405"/>
      <c r="W140" s="405"/>
      <c r="X140" s="405"/>
      <c r="Y140" s="405"/>
      <c r="Z140" s="405"/>
      <c r="AA140" s="405"/>
      <c r="AB140" s="405"/>
      <c r="AC140" s="405"/>
      <c r="AD140" s="405"/>
      <c r="AE140" s="405"/>
      <c r="AF140" s="405"/>
      <c r="AG140" s="405"/>
      <c r="AH140" s="405"/>
      <c r="AI140" s="405"/>
      <c r="AJ140" s="411"/>
      <c r="AK140" s="42"/>
      <c r="AL140" s="311"/>
      <c r="AM140" s="311"/>
      <c r="AN140" s="311"/>
      <c r="AO140" s="311"/>
      <c r="AP140" s="43"/>
      <c r="AQ140" s="111"/>
      <c r="AR140" s="309"/>
      <c r="AS140" s="309"/>
      <c r="AT140" s="309"/>
      <c r="AU140" s="309"/>
      <c r="AV140" s="309"/>
      <c r="AW140" s="309"/>
      <c r="AX140" s="309"/>
      <c r="AY140" s="309"/>
      <c r="AZ140" s="309"/>
      <c r="BA140" s="309"/>
      <c r="BB140" s="309"/>
      <c r="BC140" s="309"/>
      <c r="BD140" s="309"/>
      <c r="BE140" s="309"/>
      <c r="BF140" s="309"/>
      <c r="BG140" s="309"/>
      <c r="BH140" s="124"/>
      <c r="BI140" s="41"/>
      <c r="BK140" s="412"/>
      <c r="BL140" s="413"/>
      <c r="BM140" s="414"/>
      <c r="BN140" s="412"/>
      <c r="BO140" s="413"/>
      <c r="BP140" s="414"/>
      <c r="BQ140" s="412"/>
      <c r="BR140" s="413"/>
      <c r="BS140" s="414"/>
      <c r="BT140" s="412"/>
      <c r="BU140" s="413"/>
      <c r="BV140" s="414"/>
      <c r="BW140" s="412"/>
      <c r="BX140" s="413"/>
      <c r="BY140" s="414"/>
      <c r="BZ140" s="412"/>
      <c r="CA140" s="413"/>
      <c r="CB140" s="414"/>
      <c r="CC140" s="412"/>
      <c r="CD140" s="413"/>
      <c r="CE140" s="414"/>
      <c r="CF140" s="412"/>
      <c r="CG140" s="413"/>
      <c r="CH140" s="414"/>
      <c r="CI140" s="412"/>
      <c r="CJ140" s="413"/>
      <c r="CK140" s="414"/>
      <c r="CL140" s="412"/>
      <c r="CM140" s="413"/>
      <c r="CN140" s="414"/>
      <c r="CO140" s="412"/>
      <c r="CP140" s="413"/>
      <c r="CQ140" s="414"/>
      <c r="CR140" s="412"/>
      <c r="CS140" s="413"/>
      <c r="CT140" s="414"/>
      <c r="CU140" s="412"/>
      <c r="CV140" s="413"/>
      <c r="CW140" s="414"/>
      <c r="CX140" s="412"/>
      <c r="CY140" s="413"/>
      <c r="CZ140" s="414"/>
      <c r="DA140" s="412"/>
      <c r="DB140" s="413"/>
      <c r="DC140" s="414"/>
      <c r="DD140" s="412"/>
      <c r="DE140" s="413"/>
      <c r="DF140" s="414"/>
      <c r="DH140" s="311"/>
      <c r="DI140" s="311"/>
      <c r="DJ140" s="311"/>
      <c r="DK140" s="311"/>
      <c r="DL140" s="321"/>
      <c r="DM140" s="321"/>
      <c r="DN140" s="321"/>
      <c r="DO140" s="321"/>
      <c r="DP140" s="321"/>
      <c r="DQ140" s="321"/>
      <c r="DR140" s="321"/>
      <c r="DS140" s="321"/>
    </row>
    <row r="141" spans="1:123" ht="7.4" customHeight="1" x14ac:dyDescent="0.5">
      <c r="A141" s="42"/>
      <c r="B141" s="42"/>
      <c r="C141" s="55"/>
      <c r="D141" s="55"/>
      <c r="E141" s="41"/>
      <c r="F141" s="42"/>
      <c r="G141" s="56"/>
      <c r="H141" s="56"/>
      <c r="I141" s="56"/>
      <c r="J141" s="56"/>
      <c r="K141" s="56"/>
      <c r="L141" s="56"/>
      <c r="M141" s="56"/>
      <c r="N141" s="56"/>
      <c r="O141" s="56"/>
      <c r="P141" s="56"/>
      <c r="Q141" s="56"/>
      <c r="R141" s="126"/>
      <c r="S141" s="42"/>
      <c r="T141" s="116" t="str">
        <f>VLOOKUP(G139,PL!$B$9:$BH$1265,33,FALSE)</f>
        <v>Aluminium, Click Fix, 30mm high</v>
      </c>
      <c r="AJ141" s="41"/>
      <c r="AK141" s="42"/>
      <c r="AL141" s="311"/>
      <c r="AM141" s="311"/>
      <c r="AN141" s="311"/>
      <c r="AO141" s="311"/>
      <c r="AP141" s="43"/>
      <c r="AQ141" s="42"/>
      <c r="AR141" s="119"/>
      <c r="AS141" s="119"/>
      <c r="AT141" s="119"/>
      <c r="AU141" s="119"/>
      <c r="AV141" s="119"/>
      <c r="AW141" s="119"/>
      <c r="AX141" s="105"/>
      <c r="AZ141" s="119"/>
      <c r="BA141" s="119"/>
      <c r="BB141" s="119"/>
      <c r="BC141" s="119"/>
      <c r="BD141" s="119"/>
      <c r="BE141" s="119"/>
      <c r="BF141" s="119"/>
      <c r="BG141" s="119"/>
      <c r="BH141" s="124"/>
      <c r="BI141" s="41"/>
      <c r="BK141" s="194"/>
      <c r="BL141" s="123"/>
      <c r="BM141" s="195"/>
      <c r="BN141" s="194"/>
      <c r="BO141" s="123"/>
      <c r="BP141" s="195"/>
      <c r="BQ141" s="194"/>
      <c r="BR141" s="123"/>
      <c r="BS141" s="195"/>
      <c r="BT141" s="194"/>
      <c r="BU141" s="123"/>
      <c r="BV141" s="195"/>
      <c r="BW141" s="194"/>
      <c r="BX141" s="123"/>
      <c r="BY141" s="195"/>
      <c r="BZ141" s="194"/>
      <c r="CA141" s="123"/>
      <c r="CB141" s="195"/>
      <c r="CC141" s="194"/>
      <c r="CD141" s="123"/>
      <c r="CE141" s="195"/>
      <c r="CF141" s="194"/>
      <c r="CG141" s="123"/>
      <c r="CH141" s="195"/>
      <c r="CI141" s="194"/>
      <c r="CJ141" s="123"/>
      <c r="CK141" s="195"/>
      <c r="CL141" s="194"/>
      <c r="CM141" s="123"/>
      <c r="CN141" s="195"/>
      <c r="CO141" s="194"/>
      <c r="CP141" s="123"/>
      <c r="CQ141" s="195"/>
      <c r="CR141" s="194"/>
      <c r="CS141" s="123"/>
      <c r="CT141" s="195"/>
      <c r="CU141" s="194"/>
      <c r="CV141" s="123"/>
      <c r="CW141" s="195"/>
      <c r="CX141" s="194"/>
      <c r="CY141" s="123"/>
      <c r="CZ141" s="195"/>
      <c r="DA141" s="194"/>
      <c r="DB141" s="123"/>
      <c r="DC141" s="195"/>
      <c r="DD141" s="194"/>
      <c r="DE141" s="123"/>
      <c r="DF141" s="195"/>
      <c r="DH141" s="311"/>
      <c r="DI141" s="311"/>
      <c r="DJ141" s="311"/>
      <c r="DK141" s="311"/>
      <c r="DL141" s="321"/>
      <c r="DM141" s="321"/>
      <c r="DN141" s="321"/>
      <c r="DO141" s="321"/>
      <c r="DP141" s="321"/>
      <c r="DQ141" s="321"/>
      <c r="DR141" s="321"/>
      <c r="DS141" s="321"/>
    </row>
    <row r="142" spans="1:123" ht="7.4" customHeight="1" x14ac:dyDescent="0.5">
      <c r="A142" s="42"/>
      <c r="B142" s="42"/>
      <c r="C142" s="55"/>
      <c r="D142" s="55"/>
      <c r="E142" s="41"/>
      <c r="F142" s="42"/>
      <c r="G142" s="56"/>
      <c r="H142" s="56"/>
      <c r="I142" s="56"/>
      <c r="J142" s="56"/>
      <c r="K142" s="56"/>
      <c r="L142" s="56"/>
      <c r="M142" s="56"/>
      <c r="N142" s="56"/>
      <c r="O142" s="56"/>
      <c r="P142" s="56"/>
      <c r="Q142" s="56"/>
      <c r="R142" s="126"/>
      <c r="S142" s="42"/>
      <c r="AJ142" s="41"/>
      <c r="AK142" s="42"/>
      <c r="AL142" s="311"/>
      <c r="AM142" s="311"/>
      <c r="AN142" s="311"/>
      <c r="AO142" s="311"/>
      <c r="AP142" s="43"/>
      <c r="AQ142" s="42"/>
      <c r="AR142" s="119"/>
      <c r="AS142" s="119"/>
      <c r="AT142" s="119"/>
      <c r="AU142" s="119"/>
      <c r="AV142" s="119"/>
      <c r="AW142" s="119"/>
      <c r="AX142" s="105"/>
      <c r="AZ142" s="119"/>
      <c r="BA142" s="119"/>
      <c r="BB142" s="119"/>
      <c r="BC142" s="119"/>
      <c r="BD142" s="119"/>
      <c r="BE142" s="119"/>
      <c r="BF142" s="119"/>
      <c r="BG142" s="119"/>
      <c r="BH142" s="124"/>
      <c r="BI142" s="41"/>
      <c r="BK142" s="194"/>
      <c r="BL142" s="123"/>
      <c r="BM142" s="195"/>
      <c r="BN142" s="194"/>
      <c r="BO142" s="123"/>
      <c r="BP142" s="195"/>
      <c r="BQ142" s="194"/>
      <c r="BR142" s="123"/>
      <c r="BS142" s="195"/>
      <c r="BT142" s="194"/>
      <c r="BU142" s="123"/>
      <c r="BV142" s="195"/>
      <c r="BW142" s="194"/>
      <c r="BX142" s="123"/>
      <c r="BY142" s="195"/>
      <c r="BZ142" s="194"/>
      <c r="CA142" s="123"/>
      <c r="CB142" s="195"/>
      <c r="CC142" s="194"/>
      <c r="CD142" s="123"/>
      <c r="CE142" s="195"/>
      <c r="CF142" s="194"/>
      <c r="CG142" s="123"/>
      <c r="CH142" s="195"/>
      <c r="CI142" s="194"/>
      <c r="CJ142" s="123"/>
      <c r="CK142" s="195"/>
      <c r="CL142" s="194"/>
      <c r="CM142" s="123"/>
      <c r="CN142" s="195"/>
      <c r="CO142" s="194"/>
      <c r="CP142" s="123"/>
      <c r="CQ142" s="195"/>
      <c r="CR142" s="194"/>
      <c r="CS142" s="123"/>
      <c r="CT142" s="195"/>
      <c r="CU142" s="194"/>
      <c r="CV142" s="123"/>
      <c r="CW142" s="195"/>
      <c r="CX142" s="194"/>
      <c r="CY142" s="123"/>
      <c r="CZ142" s="195"/>
      <c r="DA142" s="194"/>
      <c r="DB142" s="123"/>
      <c r="DC142" s="195"/>
      <c r="DD142" s="194"/>
      <c r="DE142" s="123"/>
      <c r="DF142" s="195"/>
      <c r="DL142" s="105"/>
      <c r="DM142" s="105"/>
      <c r="DN142" s="105"/>
      <c r="DO142" s="105"/>
      <c r="DP142" s="105"/>
      <c r="DQ142" s="105"/>
      <c r="DR142" s="105"/>
      <c r="DS142" s="105"/>
    </row>
    <row r="143" spans="1:123" ht="7.4" customHeight="1" x14ac:dyDescent="0.5">
      <c r="A143" s="42"/>
      <c r="B143" s="42"/>
      <c r="C143" s="311">
        <f>C139+1</f>
        <v>7</v>
      </c>
      <c r="D143" s="311"/>
      <c r="E143" s="41"/>
      <c r="F143" s="42"/>
      <c r="G143" s="319" t="str">
        <f>"AXE_BR_"&amp;IF($AO$35="Corrugated","COR_V",
IF(OR($AO$35="Corrugated (L-bracket)",$AO$35="IBR (L-bracket)"),"L_R",
IF(OR($AO$35="Corrugated (Rib Surface)",$AO$35="IBR (Rib Surface)"),"RS_V",
IF(OR($AO$35="Corrugated (Ridge)",$AO$35="IBR (Ridge)"),"RF_V",
IF($AO$35="IBR","IBR_V",
IF($AO$35="Craft-Lock","CL_V",
IF(OR($AO$35="Klip-Lok",$AO$35="ProLok",$AO$35="Saflok"),"FL_V",
IF($AO$35="Springlok","SL_V",
IF($AO$35="Novotexi","NT_V",
IF(OR($AO$35="Brownbuilt",$AO$35="Dimondek"),"GL_V",
IF(OR($AO$35="Brownbuilt (Pinch)",$AO$35="Dimondek (Pinch)"),"PF_V",
IF(OR($AO$35="Dimondek (Stand Rib)",$AO$35="Zip-Tek"),"SR_V","L_S"))))))))))))&amp;"_AL"</f>
        <v>AXE_BR_IBR_V_AL</v>
      </c>
      <c r="H143" s="319"/>
      <c r="I143" s="319"/>
      <c r="J143" s="319"/>
      <c r="K143" s="319"/>
      <c r="L143" s="319"/>
      <c r="M143" s="319"/>
      <c r="N143" s="319"/>
      <c r="O143" s="319"/>
      <c r="P143" s="319"/>
      <c r="Q143" s="319"/>
      <c r="R143" s="320"/>
      <c r="S143" s="42"/>
      <c r="T143" s="521" t="str">
        <f>VLOOKUP(G143,PL!$B$9:$BH$1265,14,FALSE)</f>
        <v xml:space="preserve">IBR Bracket </v>
      </c>
      <c r="U143" s="521"/>
      <c r="V143" s="521"/>
      <c r="W143" s="521"/>
      <c r="X143" s="521"/>
      <c r="Y143" s="521"/>
      <c r="Z143" s="521"/>
      <c r="AA143" s="521"/>
      <c r="AB143" s="521"/>
      <c r="AC143" s="521"/>
      <c r="AD143" s="521"/>
      <c r="AE143" s="521"/>
      <c r="AF143" s="521"/>
      <c r="AG143" s="521"/>
      <c r="AH143" s="521"/>
      <c r="AI143" s="521"/>
      <c r="AJ143" s="522"/>
      <c r="AK143" s="42"/>
      <c r="AL143" s="311">
        <f>ROUND(SUM(BK143:DF144)*(1+$BF$74),0)</f>
        <v>408</v>
      </c>
      <c r="AM143" s="311"/>
      <c r="AN143" s="311"/>
      <c r="AO143" s="311"/>
      <c r="AP143" s="43"/>
      <c r="AQ143" s="111"/>
      <c r="AR143" s="308" t="str">
        <f>VLOOKUP(G143,PL!$B$9:$BH$818,52,FALSE)</f>
        <v>SOL-5902</v>
      </c>
      <c r="AS143" s="309"/>
      <c r="AT143" s="309"/>
      <c r="AU143" s="309"/>
      <c r="AV143" s="309"/>
      <c r="AW143" s="309"/>
      <c r="AX143" s="309"/>
      <c r="AY143" s="309"/>
      <c r="AZ143" s="309"/>
      <c r="BA143" s="309"/>
      <c r="BB143" s="309"/>
      <c r="BC143" s="309"/>
      <c r="BD143" s="309"/>
      <c r="BE143" s="309"/>
      <c r="BF143" s="309"/>
      <c r="BG143" s="309"/>
      <c r="BH143" s="124"/>
      <c r="BI143" s="41"/>
      <c r="BK143" s="412">
        <f>(ROUNDUP(($AE$45*M58+20*(M58-1)+$N$78*2-2*$N$82)/$AX$35,0)+1)*2*M54</f>
        <v>400</v>
      </c>
      <c r="BL143" s="413"/>
      <c r="BM143" s="414"/>
      <c r="BN143" s="412">
        <f>(ROUNDUP(($AE$45*P58+20*(P58-1)+$N$78*2-2*$N$82)/$AX$35,0)+1)*2*P54</f>
        <v>0</v>
      </c>
      <c r="BO143" s="413"/>
      <c r="BP143" s="414"/>
      <c r="BQ143" s="412">
        <f>(ROUNDUP(($AE$45*S58+20*(S58-1)+$N$78*2-2*$N$82)/$AX$35,0)+1)*2*S54</f>
        <v>0</v>
      </c>
      <c r="BR143" s="413"/>
      <c r="BS143" s="414"/>
      <c r="BT143" s="412">
        <f>(ROUNDUP(($AE$45*V58+20*(V58-1)+$N$78*2-2*$N$82)/$AX$35,0)+1)*2*V54</f>
        <v>0</v>
      </c>
      <c r="BU143" s="413"/>
      <c r="BV143" s="414"/>
      <c r="BW143" s="412">
        <f>(ROUNDUP(($AE$45*Y58+20*(Y58-1)+$N$78*2-2*$N$82)/$AX$35,0)+1)*2*Y54</f>
        <v>0</v>
      </c>
      <c r="BX143" s="413"/>
      <c r="BY143" s="414"/>
      <c r="BZ143" s="412">
        <f>(ROUNDUP(($AE$45*AB58+20*(AB58-1)+$N$78*2-2*$N$82)/$AX$35,0)+1)*2*AB54</f>
        <v>0</v>
      </c>
      <c r="CA143" s="413"/>
      <c r="CB143" s="414"/>
      <c r="CC143" s="412">
        <f>(ROUNDUP(($AE$45*AE58+20*(AE58-1)+$N$78*2-2*$N$82)/$AX$35,0)+1)*2*AE54</f>
        <v>0</v>
      </c>
      <c r="CD143" s="413"/>
      <c r="CE143" s="414"/>
      <c r="CF143" s="412">
        <f>(ROUNDUP(($AE$45*AH58+20*(AH58-1)+$N$78*2-2*$N$82)/$AX$35,0)+1)*2*AH54</f>
        <v>0</v>
      </c>
      <c r="CG143" s="413"/>
      <c r="CH143" s="414"/>
      <c r="CI143" s="412">
        <f>(ROUNDUP(($AE$45*AK58+20*(AK58-1)+$N$78*2-2*$N$82)/$AX$35,0)+1)*2*AK54</f>
        <v>0</v>
      </c>
      <c r="CJ143" s="413"/>
      <c r="CK143" s="414"/>
      <c r="CL143" s="412">
        <f>(ROUNDUP(($AE$45*AN58+20*(AN58-1)+$N$78*2-2*$N$82)/$AX$35,0)+1)*2*AN54</f>
        <v>0</v>
      </c>
      <c r="CM143" s="413"/>
      <c r="CN143" s="414"/>
      <c r="CO143" s="412">
        <f>(ROUNDUP(($AE$45*AQ58+20*(AQ58-1)+$N$78*2-2*$N$82)/$AX$35,0)+1)*2*AQ54</f>
        <v>0</v>
      </c>
      <c r="CP143" s="413"/>
      <c r="CQ143" s="414"/>
      <c r="CR143" s="412">
        <f>(ROUNDUP(($AE$45*AT58+20*(AT58-1)+$N$78*2-2*$N$82)/$AX$35,0)+1)*2*AT54</f>
        <v>0</v>
      </c>
      <c r="CS143" s="413"/>
      <c r="CT143" s="414"/>
      <c r="CU143" s="412">
        <f>(ROUNDUP(($AE$45*AW58+20*(AW58-1)+$N$78*2-2*$N$82)/$AX$35,0)+1)*2*AW54</f>
        <v>0</v>
      </c>
      <c r="CV143" s="413"/>
      <c r="CW143" s="414"/>
      <c r="CX143" s="412">
        <f>(ROUNDUP(($AE$45*AZ58+20*(AZ58-1)+$N$78*2-2*$N$82)/$AX$35,0)+1)*2*AZ54</f>
        <v>0</v>
      </c>
      <c r="CY143" s="413"/>
      <c r="CZ143" s="414"/>
      <c r="DA143" s="412">
        <f>(ROUNDUP(($AE$45*BC58+20*(BC58-1)+$N$78*2-2*$N$82)/$AX$35,0)+1)*2*BC54</f>
        <v>0</v>
      </c>
      <c r="DB143" s="413"/>
      <c r="DC143" s="414"/>
      <c r="DD143" s="412">
        <f>(ROUNDUP(($AE$45*BF58+20*(BF58-1)+$N$78*2-2*$N$82)/$AX$35,0)+1)*2*BF54</f>
        <v>0</v>
      </c>
      <c r="DE143" s="413"/>
      <c r="DF143" s="414"/>
      <c r="DH143" s="311"/>
      <c r="DI143" s="311"/>
      <c r="DJ143" s="311"/>
      <c r="DK143" s="311"/>
      <c r="DL143" s="321"/>
      <c r="DM143" s="321"/>
      <c r="DN143" s="321"/>
      <c r="DO143" s="321"/>
      <c r="DP143" s="321"/>
      <c r="DQ143" s="321"/>
      <c r="DR143" s="321"/>
      <c r="DS143" s="321"/>
    </row>
    <row r="144" spans="1:123" ht="7.4" customHeight="1" x14ac:dyDescent="0.5">
      <c r="A144" s="42"/>
      <c r="B144" s="42"/>
      <c r="C144" s="311"/>
      <c r="D144" s="311"/>
      <c r="E144" s="41"/>
      <c r="F144" s="42"/>
      <c r="G144" s="319"/>
      <c r="H144" s="319"/>
      <c r="I144" s="319"/>
      <c r="J144" s="319"/>
      <c r="K144" s="319"/>
      <c r="L144" s="319"/>
      <c r="M144" s="319"/>
      <c r="N144" s="319"/>
      <c r="O144" s="319"/>
      <c r="P144" s="319"/>
      <c r="Q144" s="319"/>
      <c r="R144" s="320"/>
      <c r="S144" s="42"/>
      <c r="T144" s="521"/>
      <c r="U144" s="521"/>
      <c r="V144" s="521"/>
      <c r="W144" s="521"/>
      <c r="X144" s="521"/>
      <c r="Y144" s="521"/>
      <c r="Z144" s="521"/>
      <c r="AA144" s="521"/>
      <c r="AB144" s="521"/>
      <c r="AC144" s="521"/>
      <c r="AD144" s="521"/>
      <c r="AE144" s="521"/>
      <c r="AF144" s="521"/>
      <c r="AG144" s="521"/>
      <c r="AH144" s="521"/>
      <c r="AI144" s="521"/>
      <c r="AJ144" s="522"/>
      <c r="AK144" s="42"/>
      <c r="AL144" s="311"/>
      <c r="AM144" s="311"/>
      <c r="AN144" s="311"/>
      <c r="AO144" s="311"/>
      <c r="AP144" s="43"/>
      <c r="AQ144" s="111"/>
      <c r="AR144" s="309"/>
      <c r="AS144" s="309"/>
      <c r="AT144" s="309"/>
      <c r="AU144" s="309"/>
      <c r="AV144" s="309"/>
      <c r="AW144" s="309"/>
      <c r="AX144" s="309"/>
      <c r="AY144" s="309"/>
      <c r="AZ144" s="309"/>
      <c r="BA144" s="309"/>
      <c r="BB144" s="309"/>
      <c r="BC144" s="309"/>
      <c r="BD144" s="309"/>
      <c r="BE144" s="309"/>
      <c r="BF144" s="309"/>
      <c r="BG144" s="309"/>
      <c r="BH144" s="124"/>
      <c r="BI144" s="41"/>
      <c r="BK144" s="412"/>
      <c r="BL144" s="413"/>
      <c r="BM144" s="414"/>
      <c r="BN144" s="412"/>
      <c r="BO144" s="413"/>
      <c r="BP144" s="414"/>
      <c r="BQ144" s="412"/>
      <c r="BR144" s="413"/>
      <c r="BS144" s="414"/>
      <c r="BT144" s="412"/>
      <c r="BU144" s="413"/>
      <c r="BV144" s="414"/>
      <c r="BW144" s="412"/>
      <c r="BX144" s="413"/>
      <c r="BY144" s="414"/>
      <c r="BZ144" s="412"/>
      <c r="CA144" s="413"/>
      <c r="CB144" s="414"/>
      <c r="CC144" s="412"/>
      <c r="CD144" s="413"/>
      <c r="CE144" s="414"/>
      <c r="CF144" s="412"/>
      <c r="CG144" s="413"/>
      <c r="CH144" s="414"/>
      <c r="CI144" s="412"/>
      <c r="CJ144" s="413"/>
      <c r="CK144" s="414"/>
      <c r="CL144" s="412"/>
      <c r="CM144" s="413"/>
      <c r="CN144" s="414"/>
      <c r="CO144" s="412"/>
      <c r="CP144" s="413"/>
      <c r="CQ144" s="414"/>
      <c r="CR144" s="412"/>
      <c r="CS144" s="413"/>
      <c r="CT144" s="414"/>
      <c r="CU144" s="412"/>
      <c r="CV144" s="413"/>
      <c r="CW144" s="414"/>
      <c r="CX144" s="412"/>
      <c r="CY144" s="413"/>
      <c r="CZ144" s="414"/>
      <c r="DA144" s="412"/>
      <c r="DB144" s="413"/>
      <c r="DC144" s="414"/>
      <c r="DD144" s="412"/>
      <c r="DE144" s="413"/>
      <c r="DF144" s="414"/>
      <c r="DH144" s="311"/>
      <c r="DI144" s="311"/>
      <c r="DJ144" s="311"/>
      <c r="DK144" s="311"/>
      <c r="DL144" s="321"/>
      <c r="DM144" s="321"/>
      <c r="DN144" s="321"/>
      <c r="DO144" s="321"/>
      <c r="DP144" s="321"/>
      <c r="DQ144" s="321"/>
      <c r="DR144" s="321"/>
      <c r="DS144" s="321"/>
    </row>
    <row r="145" spans="1:123" ht="7.4" customHeight="1" x14ac:dyDescent="0.5">
      <c r="A145" s="42"/>
      <c r="B145" s="42"/>
      <c r="C145" s="333"/>
      <c r="D145" s="333"/>
      <c r="E145" s="41"/>
      <c r="F145" s="42"/>
      <c r="G145" s="56"/>
      <c r="H145" s="56"/>
      <c r="I145" s="56"/>
      <c r="J145" s="56"/>
      <c r="K145" s="56"/>
      <c r="L145" s="56"/>
      <c r="M145" s="56"/>
      <c r="N145" s="56"/>
      <c r="O145" s="56"/>
      <c r="P145" s="56"/>
      <c r="Q145" s="56"/>
      <c r="R145" s="126"/>
      <c r="S145" s="42"/>
      <c r="T145" s="116" t="str">
        <f>VLOOKUP(G143,PL!$B$9:$BH$1265,33,FALSE)</f>
        <v>Aluminium, Vertical</v>
      </c>
      <c r="AJ145" s="41"/>
      <c r="AK145" s="42"/>
      <c r="AL145" s="311"/>
      <c r="AM145" s="311"/>
      <c r="AN145" s="311"/>
      <c r="AO145" s="311"/>
      <c r="AP145" s="43"/>
      <c r="AQ145" s="42"/>
      <c r="AR145" s="119"/>
      <c r="AS145" s="119"/>
      <c r="AT145" s="119"/>
      <c r="AU145" s="119"/>
      <c r="AV145" s="119"/>
      <c r="AW145" s="119"/>
      <c r="AX145" s="105"/>
      <c r="AZ145" s="119"/>
      <c r="BA145" s="119"/>
      <c r="BB145" s="119"/>
      <c r="BC145" s="119"/>
      <c r="BD145" s="119"/>
      <c r="BE145" s="119"/>
      <c r="BF145" s="119"/>
      <c r="BG145" s="119"/>
      <c r="BH145" s="124"/>
      <c r="BI145" s="41"/>
      <c r="BK145" s="194"/>
      <c r="BL145" s="123"/>
      <c r="BM145" s="195"/>
      <c r="BN145" s="194"/>
      <c r="BO145" s="123"/>
      <c r="BP145" s="195"/>
      <c r="BQ145" s="194"/>
      <c r="BR145" s="123"/>
      <c r="BS145" s="195"/>
      <c r="BT145" s="194"/>
      <c r="BU145" s="123"/>
      <c r="BV145" s="195"/>
      <c r="BW145" s="194"/>
      <c r="BX145" s="123"/>
      <c r="BY145" s="195"/>
      <c r="BZ145" s="194"/>
      <c r="CA145" s="123"/>
      <c r="CB145" s="195"/>
      <c r="CC145" s="194"/>
      <c r="CD145" s="123"/>
      <c r="CE145" s="195"/>
      <c r="CF145" s="194"/>
      <c r="CG145" s="123"/>
      <c r="CH145" s="195"/>
      <c r="CI145" s="194"/>
      <c r="CJ145" s="123"/>
      <c r="CK145" s="195"/>
      <c r="CL145" s="194"/>
      <c r="CM145" s="123"/>
      <c r="CN145" s="195"/>
      <c r="CO145" s="194"/>
      <c r="CP145" s="123"/>
      <c r="CQ145" s="195"/>
      <c r="CR145" s="194"/>
      <c r="CS145" s="123"/>
      <c r="CT145" s="195"/>
      <c r="CU145" s="194"/>
      <c r="CV145" s="123"/>
      <c r="CW145" s="195"/>
      <c r="CX145" s="194"/>
      <c r="CY145" s="123"/>
      <c r="CZ145" s="195"/>
      <c r="DA145" s="194"/>
      <c r="DB145" s="123"/>
      <c r="DC145" s="195"/>
      <c r="DD145" s="194"/>
      <c r="DE145" s="123"/>
      <c r="DF145" s="195"/>
      <c r="DH145" s="311"/>
      <c r="DI145" s="311"/>
      <c r="DJ145" s="311"/>
      <c r="DK145" s="311"/>
      <c r="DL145" s="321"/>
      <c r="DM145" s="321"/>
      <c r="DN145" s="321"/>
      <c r="DO145" s="321"/>
      <c r="DP145" s="321"/>
      <c r="DQ145" s="321"/>
      <c r="DR145" s="321"/>
      <c r="DS145" s="321"/>
    </row>
    <row r="146" spans="1:123" ht="7.4" customHeight="1" x14ac:dyDescent="0.5">
      <c r="A146" s="42"/>
      <c r="B146" s="42"/>
      <c r="C146" s="55"/>
      <c r="D146" s="55"/>
      <c r="E146" s="41"/>
      <c r="F146" s="42"/>
      <c r="G146" s="56"/>
      <c r="H146" s="56"/>
      <c r="I146" s="56"/>
      <c r="J146" s="56"/>
      <c r="K146" s="56"/>
      <c r="L146" s="56"/>
      <c r="M146" s="56"/>
      <c r="N146" s="56"/>
      <c r="O146" s="56"/>
      <c r="P146" s="56"/>
      <c r="Q146" s="56"/>
      <c r="R146" s="126"/>
      <c r="S146" s="42"/>
      <c r="AJ146" s="41"/>
      <c r="AK146" s="42"/>
      <c r="AL146" s="311"/>
      <c r="AM146" s="311"/>
      <c r="AN146" s="311"/>
      <c r="AO146" s="311"/>
      <c r="AP146" s="43"/>
      <c r="AQ146" s="42"/>
      <c r="AR146" s="119"/>
      <c r="AS146" s="119"/>
      <c r="AT146" s="119"/>
      <c r="AU146" s="119"/>
      <c r="AV146" s="119"/>
      <c r="AW146" s="119"/>
      <c r="AX146" s="105"/>
      <c r="AZ146" s="119"/>
      <c r="BA146" s="119"/>
      <c r="BB146" s="119"/>
      <c r="BC146" s="119"/>
      <c r="BD146" s="119"/>
      <c r="BE146" s="119"/>
      <c r="BF146" s="119"/>
      <c r="BG146" s="119"/>
      <c r="BH146" s="124"/>
      <c r="BI146" s="41"/>
      <c r="BK146" s="194"/>
      <c r="BL146" s="123"/>
      <c r="BM146" s="195"/>
      <c r="BN146" s="194"/>
      <c r="BO146" s="123"/>
      <c r="BP146" s="195"/>
      <c r="BQ146" s="194"/>
      <c r="BR146" s="123"/>
      <c r="BS146" s="195"/>
      <c r="BT146" s="194"/>
      <c r="BU146" s="123"/>
      <c r="BV146" s="195"/>
      <c r="BW146" s="194"/>
      <c r="BX146" s="123"/>
      <c r="BY146" s="195"/>
      <c r="BZ146" s="194"/>
      <c r="CA146" s="123"/>
      <c r="CB146" s="195"/>
      <c r="CC146" s="194"/>
      <c r="CD146" s="123"/>
      <c r="CE146" s="195"/>
      <c r="CF146" s="194"/>
      <c r="CG146" s="123"/>
      <c r="CH146" s="195"/>
      <c r="CI146" s="194"/>
      <c r="CJ146" s="123"/>
      <c r="CK146" s="195"/>
      <c r="CL146" s="194"/>
      <c r="CM146" s="123"/>
      <c r="CN146" s="195"/>
      <c r="CO146" s="194"/>
      <c r="CP146" s="123"/>
      <c r="CQ146" s="195"/>
      <c r="CR146" s="194"/>
      <c r="CS146" s="123"/>
      <c r="CT146" s="195"/>
      <c r="CU146" s="194"/>
      <c r="CV146" s="123"/>
      <c r="CW146" s="195"/>
      <c r="CX146" s="194"/>
      <c r="CY146" s="123"/>
      <c r="CZ146" s="195"/>
      <c r="DA146" s="194"/>
      <c r="DB146" s="123"/>
      <c r="DC146" s="195"/>
      <c r="DD146" s="194"/>
      <c r="DE146" s="123"/>
      <c r="DF146" s="195"/>
      <c r="DL146" s="105"/>
      <c r="DM146" s="105"/>
      <c r="DN146" s="105"/>
      <c r="DO146" s="105"/>
      <c r="DP146" s="105"/>
      <c r="DQ146" s="105"/>
      <c r="DR146" s="105"/>
      <c r="DS146" s="105"/>
    </row>
    <row r="147" spans="1:123" ht="7.4" customHeight="1" x14ac:dyDescent="0.5">
      <c r="A147" s="42"/>
      <c r="B147" s="42"/>
      <c r="C147" s="311">
        <f>C143+1</f>
        <v>8</v>
      </c>
      <c r="D147" s="311"/>
      <c r="E147" s="41"/>
      <c r="F147" s="42"/>
      <c r="G147" s="319" t="str">
        <f>IF(AL147=0,"N/A","AXE_EC_40_30_AL")</f>
        <v>N/A</v>
      </c>
      <c r="H147" s="319"/>
      <c r="I147" s="319"/>
      <c r="J147" s="319"/>
      <c r="K147" s="319"/>
      <c r="L147" s="319"/>
      <c r="M147" s="319"/>
      <c r="N147" s="319"/>
      <c r="O147" s="319"/>
      <c r="P147" s="319"/>
      <c r="Q147" s="319"/>
      <c r="R147" s="320"/>
      <c r="S147" s="42"/>
      <c r="T147" s="405" t="str">
        <f>VLOOKUP(G147,PL!$B$9:$BH$1265,14,FALSE)</f>
        <v>No Item</v>
      </c>
      <c r="U147" s="405"/>
      <c r="V147" s="405"/>
      <c r="W147" s="405"/>
      <c r="X147" s="405"/>
      <c r="Y147" s="405"/>
      <c r="Z147" s="405"/>
      <c r="AA147" s="405"/>
      <c r="AB147" s="405"/>
      <c r="AC147" s="405"/>
      <c r="AD147" s="405"/>
      <c r="AE147" s="405"/>
      <c r="AF147" s="405"/>
      <c r="AG147" s="405"/>
      <c r="AH147" s="405"/>
      <c r="AI147" s="405"/>
      <c r="AJ147" s="411"/>
      <c r="AK147" s="42"/>
      <c r="AL147" s="311">
        <f>ROUND(SUM(BK147:DF147),0)</f>
        <v>0</v>
      </c>
      <c r="AM147" s="311"/>
      <c r="AN147" s="311"/>
      <c r="AO147" s="311"/>
      <c r="AP147" s="43"/>
      <c r="AQ147" s="111"/>
      <c r="AR147" s="308" t="str">
        <f>VLOOKUP(G147,PL!$B$9:$BH$818,52,FALSE)</f>
        <v>-</v>
      </c>
      <c r="AS147" s="309"/>
      <c r="AT147" s="309"/>
      <c r="AU147" s="309"/>
      <c r="AV147" s="309"/>
      <c r="AW147" s="309"/>
      <c r="AX147" s="309"/>
      <c r="AY147" s="309"/>
      <c r="AZ147" s="309"/>
      <c r="BA147" s="309"/>
      <c r="BB147" s="309"/>
      <c r="BC147" s="309"/>
      <c r="BD147" s="309"/>
      <c r="BE147" s="309"/>
      <c r="BF147" s="309"/>
      <c r="BG147" s="309"/>
      <c r="BH147" s="124"/>
      <c r="BI147" s="41"/>
      <c r="BK147" s="412">
        <f>IF($AI$82="Included",1,0)*M54*4</f>
        <v>0</v>
      </c>
      <c r="BL147" s="413"/>
      <c r="BM147" s="414"/>
      <c r="BN147" s="412">
        <f>IF($AI$82="Included",1,0)*P54*4</f>
        <v>0</v>
      </c>
      <c r="BO147" s="413"/>
      <c r="BP147" s="414"/>
      <c r="BQ147" s="412">
        <f>IF($AI$82="Included",1,0)*S54*4</f>
        <v>0</v>
      </c>
      <c r="BR147" s="413"/>
      <c r="BS147" s="414"/>
      <c r="BT147" s="412">
        <f>IF($AI$82="Included",1,0)*V54*4</f>
        <v>0</v>
      </c>
      <c r="BU147" s="413"/>
      <c r="BV147" s="414"/>
      <c r="BW147" s="412">
        <f>IF($AI$82="Included",1,0)*Y54*4</f>
        <v>0</v>
      </c>
      <c r="BX147" s="413"/>
      <c r="BY147" s="414"/>
      <c r="BZ147" s="412">
        <f>IF($AI$82="Included",1,0)*AB54*4</f>
        <v>0</v>
      </c>
      <c r="CA147" s="413"/>
      <c r="CB147" s="414"/>
      <c r="CC147" s="412">
        <f>IF($AI$82="Included",1,0)*AE54*4</f>
        <v>0</v>
      </c>
      <c r="CD147" s="413"/>
      <c r="CE147" s="414"/>
      <c r="CF147" s="412">
        <f>IF($AI$82="Included",1,0)*AH54*4</f>
        <v>0</v>
      </c>
      <c r="CG147" s="413"/>
      <c r="CH147" s="414"/>
      <c r="CI147" s="412">
        <f>IF($AI$82="Included",1,0)*AK54*4</f>
        <v>0</v>
      </c>
      <c r="CJ147" s="413"/>
      <c r="CK147" s="414"/>
      <c r="CL147" s="412">
        <f>IF($AI$82="Included",1,0)*AN54*4</f>
        <v>0</v>
      </c>
      <c r="CM147" s="413"/>
      <c r="CN147" s="414"/>
      <c r="CO147" s="412">
        <f>IF($AI$82="Included",1,0)*AQ54*4</f>
        <v>0</v>
      </c>
      <c r="CP147" s="413"/>
      <c r="CQ147" s="414"/>
      <c r="CR147" s="412">
        <f>IF($AI$82="Included",1,0)*AT54*4</f>
        <v>0</v>
      </c>
      <c r="CS147" s="413"/>
      <c r="CT147" s="414"/>
      <c r="CU147" s="412">
        <f>IF($AI$82="Included",1,0)*AW54*4</f>
        <v>0</v>
      </c>
      <c r="CV147" s="413"/>
      <c r="CW147" s="414"/>
      <c r="CX147" s="412">
        <f>IF($AI$82="Included",1,0)*AZ54*4</f>
        <v>0</v>
      </c>
      <c r="CY147" s="413"/>
      <c r="CZ147" s="414"/>
      <c r="DA147" s="412">
        <f>IF($AI$82="Included",1,0)*BC54*4</f>
        <v>0</v>
      </c>
      <c r="DB147" s="413"/>
      <c r="DC147" s="414"/>
      <c r="DD147" s="412">
        <f>IF($AI$82="Included",1,0)*BF54*4</f>
        <v>0</v>
      </c>
      <c r="DE147" s="413"/>
      <c r="DF147" s="414"/>
      <c r="DH147" s="311"/>
      <c r="DI147" s="311"/>
      <c r="DJ147" s="311"/>
      <c r="DK147" s="311"/>
      <c r="DL147" s="321"/>
      <c r="DM147" s="321"/>
      <c r="DN147" s="321"/>
      <c r="DO147" s="321"/>
      <c r="DP147" s="321"/>
      <c r="DQ147" s="321"/>
      <c r="DR147" s="321"/>
      <c r="DS147" s="321"/>
    </row>
    <row r="148" spans="1:123" ht="7.4" customHeight="1" x14ac:dyDescent="0.5">
      <c r="A148" s="42"/>
      <c r="B148" s="42"/>
      <c r="C148" s="311"/>
      <c r="D148" s="311"/>
      <c r="E148" s="41"/>
      <c r="F148" s="42"/>
      <c r="G148" s="319"/>
      <c r="H148" s="319"/>
      <c r="I148" s="319"/>
      <c r="J148" s="319"/>
      <c r="K148" s="319"/>
      <c r="L148" s="319"/>
      <c r="M148" s="319"/>
      <c r="N148" s="319"/>
      <c r="O148" s="319"/>
      <c r="P148" s="319"/>
      <c r="Q148" s="319"/>
      <c r="R148" s="320"/>
      <c r="S148" s="42"/>
      <c r="T148" s="405"/>
      <c r="U148" s="405"/>
      <c r="V148" s="405"/>
      <c r="W148" s="405"/>
      <c r="X148" s="405"/>
      <c r="Y148" s="405"/>
      <c r="Z148" s="405"/>
      <c r="AA148" s="405"/>
      <c r="AB148" s="405"/>
      <c r="AC148" s="405"/>
      <c r="AD148" s="405"/>
      <c r="AE148" s="405"/>
      <c r="AF148" s="405"/>
      <c r="AG148" s="405"/>
      <c r="AH148" s="405"/>
      <c r="AI148" s="405"/>
      <c r="AJ148" s="411"/>
      <c r="AK148" s="42"/>
      <c r="AL148" s="311"/>
      <c r="AM148" s="311"/>
      <c r="AN148" s="311"/>
      <c r="AO148" s="311"/>
      <c r="AP148" s="43"/>
      <c r="AQ148" s="111"/>
      <c r="AR148" s="309"/>
      <c r="AS148" s="309"/>
      <c r="AT148" s="309"/>
      <c r="AU148" s="309"/>
      <c r="AV148" s="309"/>
      <c r="AW148" s="309"/>
      <c r="AX148" s="309"/>
      <c r="AY148" s="309"/>
      <c r="AZ148" s="309"/>
      <c r="BA148" s="309"/>
      <c r="BB148" s="309"/>
      <c r="BC148" s="309"/>
      <c r="BD148" s="309"/>
      <c r="BE148" s="309"/>
      <c r="BF148" s="309"/>
      <c r="BG148" s="309"/>
      <c r="BH148" s="124"/>
      <c r="BI148" s="41"/>
      <c r="BK148" s="412"/>
      <c r="BL148" s="413"/>
      <c r="BM148" s="414"/>
      <c r="BN148" s="412"/>
      <c r="BO148" s="413"/>
      <c r="BP148" s="414"/>
      <c r="BQ148" s="412"/>
      <c r="BR148" s="413"/>
      <c r="BS148" s="414"/>
      <c r="BT148" s="412"/>
      <c r="BU148" s="413"/>
      <c r="BV148" s="414"/>
      <c r="BW148" s="412"/>
      <c r="BX148" s="413"/>
      <c r="BY148" s="414"/>
      <c r="BZ148" s="412"/>
      <c r="CA148" s="413"/>
      <c r="CB148" s="414"/>
      <c r="CC148" s="412"/>
      <c r="CD148" s="413"/>
      <c r="CE148" s="414"/>
      <c r="CF148" s="412"/>
      <c r="CG148" s="413"/>
      <c r="CH148" s="414"/>
      <c r="CI148" s="412"/>
      <c r="CJ148" s="413"/>
      <c r="CK148" s="414"/>
      <c r="CL148" s="412"/>
      <c r="CM148" s="413"/>
      <c r="CN148" s="414"/>
      <c r="CO148" s="412"/>
      <c r="CP148" s="413"/>
      <c r="CQ148" s="414"/>
      <c r="CR148" s="412"/>
      <c r="CS148" s="413"/>
      <c r="CT148" s="414"/>
      <c r="CU148" s="412"/>
      <c r="CV148" s="413"/>
      <c r="CW148" s="414"/>
      <c r="CX148" s="412"/>
      <c r="CY148" s="413"/>
      <c r="CZ148" s="414"/>
      <c r="DA148" s="412"/>
      <c r="DB148" s="413"/>
      <c r="DC148" s="414"/>
      <c r="DD148" s="412"/>
      <c r="DE148" s="413"/>
      <c r="DF148" s="414"/>
      <c r="DH148" s="311"/>
      <c r="DI148" s="311"/>
      <c r="DJ148" s="311"/>
      <c r="DK148" s="311"/>
      <c r="DL148" s="321"/>
      <c r="DM148" s="321"/>
      <c r="DN148" s="321"/>
      <c r="DO148" s="321"/>
      <c r="DP148" s="321"/>
      <c r="DQ148" s="321"/>
      <c r="DR148" s="321"/>
      <c r="DS148" s="321"/>
    </row>
    <row r="149" spans="1:123" ht="7.4" customHeight="1" x14ac:dyDescent="0.5">
      <c r="A149" s="42"/>
      <c r="B149" s="42"/>
      <c r="C149" s="333"/>
      <c r="D149" s="333"/>
      <c r="E149" s="41"/>
      <c r="F149" s="42"/>
      <c r="G149" s="56"/>
      <c r="H149" s="56"/>
      <c r="I149" s="56"/>
      <c r="J149" s="56"/>
      <c r="K149" s="56"/>
      <c r="L149" s="56"/>
      <c r="M149" s="56"/>
      <c r="N149" s="56"/>
      <c r="O149" s="56"/>
      <c r="P149" s="56"/>
      <c r="Q149" s="56"/>
      <c r="R149" s="126"/>
      <c r="S149" s="42"/>
      <c r="T149" s="116" t="str">
        <f>VLOOKUP(G147,PL!$B$9:$BH$1265,33,FALSE)</f>
        <v>.</v>
      </c>
      <c r="AJ149" s="41"/>
      <c r="AK149" s="42"/>
      <c r="AL149" s="311"/>
      <c r="AM149" s="311"/>
      <c r="AN149" s="311"/>
      <c r="AO149" s="311"/>
      <c r="AP149" s="43"/>
      <c r="AQ149" s="42"/>
      <c r="AR149" s="119"/>
      <c r="AS149" s="119"/>
      <c r="AT149" s="119"/>
      <c r="AU149" s="119"/>
      <c r="AV149" s="119"/>
      <c r="AW149" s="119"/>
      <c r="AX149" s="105"/>
      <c r="AZ149" s="119"/>
      <c r="BA149" s="119"/>
      <c r="BB149" s="119"/>
      <c r="BC149" s="119"/>
      <c r="BD149" s="119"/>
      <c r="BE149" s="119"/>
      <c r="BF149" s="119"/>
      <c r="BG149" s="119"/>
      <c r="BH149" s="124"/>
      <c r="BI149" s="41"/>
      <c r="BK149" s="194"/>
      <c r="BL149" s="123"/>
      <c r="BM149" s="195"/>
      <c r="BN149" s="194"/>
      <c r="BO149" s="123"/>
      <c r="BP149" s="195"/>
      <c r="BQ149" s="194"/>
      <c r="BR149" s="123"/>
      <c r="BS149" s="195"/>
      <c r="BT149" s="194"/>
      <c r="BU149" s="123"/>
      <c r="BV149" s="195"/>
      <c r="BW149" s="194"/>
      <c r="BX149" s="123"/>
      <c r="BY149" s="195"/>
      <c r="BZ149" s="194"/>
      <c r="CA149" s="123"/>
      <c r="CB149" s="195"/>
      <c r="CC149" s="194"/>
      <c r="CD149" s="123"/>
      <c r="CE149" s="195"/>
      <c r="CF149" s="194"/>
      <c r="CG149" s="123"/>
      <c r="CH149" s="195"/>
      <c r="CI149" s="194"/>
      <c r="CJ149" s="123"/>
      <c r="CK149" s="195"/>
      <c r="CL149" s="194"/>
      <c r="CM149" s="123"/>
      <c r="CN149" s="195"/>
      <c r="CO149" s="194"/>
      <c r="CP149" s="123"/>
      <c r="CQ149" s="195"/>
      <c r="CR149" s="194"/>
      <c r="CS149" s="123"/>
      <c r="CT149" s="195"/>
      <c r="CU149" s="194"/>
      <c r="CV149" s="123"/>
      <c r="CW149" s="195"/>
      <c r="CX149" s="194"/>
      <c r="CY149" s="123"/>
      <c r="CZ149" s="195"/>
      <c r="DA149" s="194"/>
      <c r="DB149" s="123"/>
      <c r="DC149" s="195"/>
      <c r="DD149" s="194"/>
      <c r="DE149" s="123"/>
      <c r="DF149" s="195"/>
      <c r="DH149" s="311"/>
      <c r="DI149" s="311"/>
      <c r="DJ149" s="311"/>
      <c r="DK149" s="311"/>
      <c r="DL149" s="321"/>
      <c r="DM149" s="321"/>
      <c r="DN149" s="321"/>
      <c r="DO149" s="321"/>
      <c r="DP149" s="321"/>
      <c r="DQ149" s="321"/>
      <c r="DR149" s="321"/>
      <c r="DS149" s="321"/>
    </row>
    <row r="150" spans="1:123" ht="7.4" customHeight="1" x14ac:dyDescent="0.5">
      <c r="A150" s="42"/>
      <c r="B150" s="42"/>
      <c r="C150" s="333"/>
      <c r="D150" s="333"/>
      <c r="E150" s="41"/>
      <c r="F150" s="42"/>
      <c r="G150" s="56"/>
      <c r="H150" s="56"/>
      <c r="I150" s="56"/>
      <c r="J150" s="56"/>
      <c r="K150" s="56"/>
      <c r="L150" s="56"/>
      <c r="M150" s="56"/>
      <c r="N150" s="56"/>
      <c r="O150" s="56"/>
      <c r="P150" s="56"/>
      <c r="Q150" s="56"/>
      <c r="R150" s="126"/>
      <c r="S150" s="42"/>
      <c r="AJ150" s="41"/>
      <c r="AK150" s="42"/>
      <c r="AL150" s="311"/>
      <c r="AM150" s="311"/>
      <c r="AN150" s="311"/>
      <c r="AO150" s="311"/>
      <c r="AP150" s="43"/>
      <c r="AQ150" s="42"/>
      <c r="AR150" s="119"/>
      <c r="AS150" s="119"/>
      <c r="AT150" s="119"/>
      <c r="AU150" s="119"/>
      <c r="AV150" s="119"/>
      <c r="AW150" s="119"/>
      <c r="AX150" s="105"/>
      <c r="AZ150" s="119"/>
      <c r="BA150" s="119"/>
      <c r="BB150" s="119"/>
      <c r="BC150" s="119"/>
      <c r="BD150" s="119"/>
      <c r="BE150" s="119"/>
      <c r="BF150" s="119"/>
      <c r="BG150" s="119"/>
      <c r="BH150" s="124"/>
      <c r="BI150" s="41"/>
      <c r="BK150" s="194"/>
      <c r="BL150" s="123"/>
      <c r="BM150" s="195"/>
      <c r="BN150" s="194"/>
      <c r="BO150" s="123"/>
      <c r="BP150" s="195"/>
      <c r="BQ150" s="194"/>
      <c r="BR150" s="123"/>
      <c r="BS150" s="195"/>
      <c r="BT150" s="194"/>
      <c r="BU150" s="123"/>
      <c r="BV150" s="195"/>
      <c r="BW150" s="194"/>
      <c r="BX150" s="123"/>
      <c r="BY150" s="195"/>
      <c r="BZ150" s="194"/>
      <c r="CA150" s="123"/>
      <c r="CB150" s="195"/>
      <c r="CC150" s="194"/>
      <c r="CD150" s="123"/>
      <c r="CE150" s="195"/>
      <c r="CF150" s="194"/>
      <c r="CG150" s="123"/>
      <c r="CH150" s="195"/>
      <c r="CI150" s="194"/>
      <c r="CJ150" s="123"/>
      <c r="CK150" s="195"/>
      <c r="CL150" s="194"/>
      <c r="CM150" s="123"/>
      <c r="CN150" s="195"/>
      <c r="CO150" s="194"/>
      <c r="CP150" s="123"/>
      <c r="CQ150" s="195"/>
      <c r="CR150" s="194"/>
      <c r="CS150" s="123"/>
      <c r="CT150" s="195"/>
      <c r="CU150" s="194"/>
      <c r="CV150" s="123"/>
      <c r="CW150" s="195"/>
      <c r="CX150" s="194"/>
      <c r="CY150" s="123"/>
      <c r="CZ150" s="195"/>
      <c r="DA150" s="194"/>
      <c r="DB150" s="123"/>
      <c r="DC150" s="195"/>
      <c r="DD150" s="194"/>
      <c r="DE150" s="123"/>
      <c r="DF150" s="195"/>
      <c r="DH150" s="311"/>
      <c r="DI150" s="311"/>
      <c r="DJ150" s="311"/>
      <c r="DK150" s="311"/>
      <c r="DL150" s="321"/>
      <c r="DM150" s="321"/>
      <c r="DN150" s="321"/>
      <c r="DO150" s="321"/>
      <c r="DP150" s="321"/>
      <c r="DQ150" s="321"/>
      <c r="DR150" s="321"/>
      <c r="DS150" s="321"/>
    </row>
    <row r="151" spans="1:123" ht="7.4" customHeight="1" x14ac:dyDescent="0.5">
      <c r="A151" s="42"/>
      <c r="B151" s="42"/>
      <c r="C151" s="311">
        <f>C147+1</f>
        <v>9</v>
      </c>
      <c r="D151" s="311"/>
      <c r="E151" s="41"/>
      <c r="F151" s="42"/>
      <c r="G151" s="319" t="str">
        <f>IF(AL151=0,"N/A","AXE_CC_SS")</f>
        <v>N/A</v>
      </c>
      <c r="H151" s="319"/>
      <c r="I151" s="319"/>
      <c r="J151" s="319"/>
      <c r="K151" s="319"/>
      <c r="L151" s="319"/>
      <c r="M151" s="319"/>
      <c r="N151" s="319"/>
      <c r="O151" s="319"/>
      <c r="P151" s="319"/>
      <c r="Q151" s="319"/>
      <c r="R151" s="320"/>
      <c r="S151" s="42"/>
      <c r="T151" s="405" t="str">
        <f>VLOOKUP(G151,PL!$B$9:$BH$1265,14,FALSE)</f>
        <v>No Item</v>
      </c>
      <c r="U151" s="405"/>
      <c r="V151" s="405"/>
      <c r="W151" s="405"/>
      <c r="X151" s="405"/>
      <c r="Y151" s="405"/>
      <c r="Z151" s="405"/>
      <c r="AA151" s="405"/>
      <c r="AB151" s="405"/>
      <c r="AC151" s="405"/>
      <c r="AD151" s="405"/>
      <c r="AE151" s="405"/>
      <c r="AF151" s="405"/>
      <c r="AG151" s="405"/>
      <c r="AH151" s="405"/>
      <c r="AI151" s="405"/>
      <c r="AJ151" s="411"/>
      <c r="AK151" s="42"/>
      <c r="AL151" s="311">
        <f>ROUND(SUM(BK151:DF151)*(1+$BF$74),0)</f>
        <v>0</v>
      </c>
      <c r="AM151" s="311"/>
      <c r="AN151" s="311"/>
      <c r="AO151" s="311"/>
      <c r="AP151" s="43"/>
      <c r="AQ151" s="111"/>
      <c r="AR151" s="308" t="str">
        <f>VLOOKUP(G151,PL!$B$9:$BH$818,52,FALSE)</f>
        <v>-</v>
      </c>
      <c r="AS151" s="309"/>
      <c r="AT151" s="309"/>
      <c r="AU151" s="309"/>
      <c r="AV151" s="309"/>
      <c r="AW151" s="309"/>
      <c r="AX151" s="309"/>
      <c r="AY151" s="309"/>
      <c r="AZ151" s="309"/>
      <c r="BA151" s="309"/>
      <c r="BB151" s="309"/>
      <c r="BC151" s="309"/>
      <c r="BD151" s="309"/>
      <c r="BE151" s="309"/>
      <c r="BF151" s="309"/>
      <c r="BG151" s="309"/>
      <c r="BH151" s="124"/>
      <c r="BI151" s="41"/>
      <c r="BK151" s="412">
        <f>IF($AI$74="Included",1,0)*M58*M54</f>
        <v>0</v>
      </c>
      <c r="BL151" s="413"/>
      <c r="BM151" s="414"/>
      <c r="BN151" s="412">
        <f>IF($AI$74="Included",1,0)*P58*P54</f>
        <v>0</v>
      </c>
      <c r="BO151" s="413"/>
      <c r="BP151" s="414"/>
      <c r="BQ151" s="412">
        <f>IF($AI$74="Included",1,0)*S58*S54</f>
        <v>0</v>
      </c>
      <c r="BR151" s="413"/>
      <c r="BS151" s="414"/>
      <c r="BT151" s="412">
        <f>IF($AI$74="Included",1,0)*V58*V54</f>
        <v>0</v>
      </c>
      <c r="BU151" s="413"/>
      <c r="BV151" s="414"/>
      <c r="BW151" s="412">
        <f>IF($AI$74="Included",1,0)*Y58*Y54</f>
        <v>0</v>
      </c>
      <c r="BX151" s="413"/>
      <c r="BY151" s="414"/>
      <c r="BZ151" s="412">
        <f>IF($AI$74="Included",1,0)*AB58*AB54</f>
        <v>0</v>
      </c>
      <c r="CA151" s="413"/>
      <c r="CB151" s="414"/>
      <c r="CC151" s="412">
        <f>IF($AI$74="Included",1,0)*AE58*AE54</f>
        <v>0</v>
      </c>
      <c r="CD151" s="413"/>
      <c r="CE151" s="414"/>
      <c r="CF151" s="412">
        <f>IF($AI$74="Included",1,0)*AH58*AH54</f>
        <v>0</v>
      </c>
      <c r="CG151" s="413"/>
      <c r="CH151" s="414"/>
      <c r="CI151" s="412">
        <f>IF($AI$74="Included",1,0)*AK58*AK54</f>
        <v>0</v>
      </c>
      <c r="CJ151" s="413"/>
      <c r="CK151" s="414"/>
      <c r="CL151" s="412">
        <f>IF($AI$74="Included",1,0)*AN58*AN54</f>
        <v>0</v>
      </c>
      <c r="CM151" s="413"/>
      <c r="CN151" s="414"/>
      <c r="CO151" s="412">
        <f>IF($AI$74="Included",1,0)*AQ58*AQ54</f>
        <v>0</v>
      </c>
      <c r="CP151" s="413"/>
      <c r="CQ151" s="414"/>
      <c r="CR151" s="412">
        <f>IF($AI$74="Included",1,0)*AT58*AT54</f>
        <v>0</v>
      </c>
      <c r="CS151" s="413"/>
      <c r="CT151" s="414"/>
      <c r="CU151" s="412">
        <f>IF($AI$74="Included",1,0)*AW58*AW54</f>
        <v>0</v>
      </c>
      <c r="CV151" s="413"/>
      <c r="CW151" s="414"/>
      <c r="CX151" s="412">
        <f>IF($AI$74="Included",1,0)*AZ58*AZ54</f>
        <v>0</v>
      </c>
      <c r="CY151" s="413"/>
      <c r="CZ151" s="414"/>
      <c r="DA151" s="412">
        <f>IF($AI$74="Included",1,0)*BC58*BC54</f>
        <v>0</v>
      </c>
      <c r="DB151" s="413"/>
      <c r="DC151" s="414"/>
      <c r="DD151" s="412">
        <f>IF($AI$74="Included",1,0)*BF58*BF54</f>
        <v>0</v>
      </c>
      <c r="DE151" s="413"/>
      <c r="DF151" s="414"/>
      <c r="DH151" s="311"/>
      <c r="DI151" s="311"/>
      <c r="DJ151" s="311"/>
      <c r="DK151" s="311"/>
      <c r="DL151" s="321"/>
      <c r="DM151" s="321"/>
      <c r="DN151" s="321"/>
      <c r="DO151" s="321"/>
      <c r="DP151" s="321"/>
      <c r="DQ151" s="321"/>
      <c r="DR151" s="321"/>
      <c r="DS151" s="321"/>
    </row>
    <row r="152" spans="1:123" ht="7.4" customHeight="1" x14ac:dyDescent="0.5">
      <c r="A152" s="42"/>
      <c r="B152" s="42"/>
      <c r="C152" s="311"/>
      <c r="D152" s="311"/>
      <c r="E152" s="41"/>
      <c r="F152" s="42"/>
      <c r="G152" s="319"/>
      <c r="H152" s="319"/>
      <c r="I152" s="319"/>
      <c r="J152" s="319"/>
      <c r="K152" s="319"/>
      <c r="L152" s="319"/>
      <c r="M152" s="319"/>
      <c r="N152" s="319"/>
      <c r="O152" s="319"/>
      <c r="P152" s="319"/>
      <c r="Q152" s="319"/>
      <c r="R152" s="320"/>
      <c r="S152" s="42"/>
      <c r="T152" s="405"/>
      <c r="U152" s="405"/>
      <c r="V152" s="405"/>
      <c r="W152" s="405"/>
      <c r="X152" s="405"/>
      <c r="Y152" s="405"/>
      <c r="Z152" s="405"/>
      <c r="AA152" s="405"/>
      <c r="AB152" s="405"/>
      <c r="AC152" s="405"/>
      <c r="AD152" s="405"/>
      <c r="AE152" s="405"/>
      <c r="AF152" s="405"/>
      <c r="AG152" s="405"/>
      <c r="AH152" s="405"/>
      <c r="AI152" s="405"/>
      <c r="AJ152" s="411"/>
      <c r="AK152" s="42"/>
      <c r="AL152" s="311"/>
      <c r="AM152" s="311"/>
      <c r="AN152" s="311"/>
      <c r="AO152" s="311"/>
      <c r="AP152" s="43"/>
      <c r="AQ152" s="111"/>
      <c r="AR152" s="309"/>
      <c r="AS152" s="309"/>
      <c r="AT152" s="309"/>
      <c r="AU152" s="309"/>
      <c r="AV152" s="309"/>
      <c r="AW152" s="309"/>
      <c r="AX152" s="309"/>
      <c r="AY152" s="309"/>
      <c r="AZ152" s="309"/>
      <c r="BA152" s="309"/>
      <c r="BB152" s="309"/>
      <c r="BC152" s="309"/>
      <c r="BD152" s="309"/>
      <c r="BE152" s="309"/>
      <c r="BF152" s="309"/>
      <c r="BG152" s="309"/>
      <c r="BH152" s="124"/>
      <c r="BI152" s="41"/>
      <c r="BK152" s="412"/>
      <c r="BL152" s="413"/>
      <c r="BM152" s="414"/>
      <c r="BN152" s="412"/>
      <c r="BO152" s="413"/>
      <c r="BP152" s="414"/>
      <c r="BQ152" s="412"/>
      <c r="BR152" s="413"/>
      <c r="BS152" s="414"/>
      <c r="BT152" s="412"/>
      <c r="BU152" s="413"/>
      <c r="BV152" s="414"/>
      <c r="BW152" s="412"/>
      <c r="BX152" s="413"/>
      <c r="BY152" s="414"/>
      <c r="BZ152" s="412"/>
      <c r="CA152" s="413"/>
      <c r="CB152" s="414"/>
      <c r="CC152" s="412"/>
      <c r="CD152" s="413"/>
      <c r="CE152" s="414"/>
      <c r="CF152" s="412"/>
      <c r="CG152" s="413"/>
      <c r="CH152" s="414"/>
      <c r="CI152" s="412"/>
      <c r="CJ152" s="413"/>
      <c r="CK152" s="414"/>
      <c r="CL152" s="412"/>
      <c r="CM152" s="413"/>
      <c r="CN152" s="414"/>
      <c r="CO152" s="412"/>
      <c r="CP152" s="413"/>
      <c r="CQ152" s="414"/>
      <c r="CR152" s="412"/>
      <c r="CS152" s="413"/>
      <c r="CT152" s="414"/>
      <c r="CU152" s="412"/>
      <c r="CV152" s="413"/>
      <c r="CW152" s="414"/>
      <c r="CX152" s="412"/>
      <c r="CY152" s="413"/>
      <c r="CZ152" s="414"/>
      <c r="DA152" s="412"/>
      <c r="DB152" s="413"/>
      <c r="DC152" s="414"/>
      <c r="DD152" s="412"/>
      <c r="DE152" s="413"/>
      <c r="DF152" s="414"/>
      <c r="DH152" s="311"/>
      <c r="DI152" s="311"/>
      <c r="DJ152" s="311"/>
      <c r="DK152" s="311"/>
      <c r="DL152" s="321"/>
      <c r="DM152" s="321"/>
      <c r="DN152" s="321"/>
      <c r="DO152" s="321"/>
      <c r="DP152" s="321"/>
      <c r="DQ152" s="321"/>
      <c r="DR152" s="321"/>
      <c r="DS152" s="321"/>
    </row>
    <row r="153" spans="1:123" ht="7.4" customHeight="1" x14ac:dyDescent="0.5">
      <c r="A153" s="42"/>
      <c r="B153" s="42"/>
      <c r="C153" s="333"/>
      <c r="D153" s="333"/>
      <c r="E153" s="41"/>
      <c r="F153" s="42"/>
      <c r="G153" s="56"/>
      <c r="H153" s="56"/>
      <c r="I153" s="56"/>
      <c r="J153" s="56"/>
      <c r="K153" s="56"/>
      <c r="L153" s="56"/>
      <c r="M153" s="56"/>
      <c r="N153" s="56"/>
      <c r="O153" s="56"/>
      <c r="P153" s="56"/>
      <c r="Q153" s="56"/>
      <c r="R153" s="126"/>
      <c r="S153" s="42"/>
      <c r="T153" s="116" t="str">
        <f>VLOOKUP(G151,PL!$B$9:$BH$1265,33,FALSE)</f>
        <v>.</v>
      </c>
      <c r="AJ153" s="41"/>
      <c r="AK153" s="42"/>
      <c r="AL153" s="311"/>
      <c r="AM153" s="311"/>
      <c r="AN153" s="311"/>
      <c r="AO153" s="311"/>
      <c r="AP153" s="43"/>
      <c r="AQ153" s="42"/>
      <c r="AR153" s="119"/>
      <c r="AS153" s="119"/>
      <c r="AT153" s="119"/>
      <c r="AU153" s="119"/>
      <c r="AV153" s="119"/>
      <c r="AW153" s="119"/>
      <c r="AX153" s="105"/>
      <c r="AZ153" s="119"/>
      <c r="BA153" s="119"/>
      <c r="BB153" s="119"/>
      <c r="BC153" s="119"/>
      <c r="BD153" s="119"/>
      <c r="BE153" s="119"/>
      <c r="BF153" s="119"/>
      <c r="BG153" s="119"/>
      <c r="BH153" s="124"/>
      <c r="BI153" s="41"/>
      <c r="BK153" s="194"/>
      <c r="BL153" s="123"/>
      <c r="BM153" s="195"/>
      <c r="BN153" s="194"/>
      <c r="BO153" s="123"/>
      <c r="BP153" s="195"/>
      <c r="BQ153" s="194"/>
      <c r="BR153" s="123"/>
      <c r="BS153" s="195"/>
      <c r="BT153" s="194"/>
      <c r="BU153" s="123"/>
      <c r="BV153" s="195"/>
      <c r="BW153" s="194"/>
      <c r="BX153" s="123"/>
      <c r="BY153" s="195"/>
      <c r="BZ153" s="194"/>
      <c r="CA153" s="123"/>
      <c r="CB153" s="195"/>
      <c r="CC153" s="194"/>
      <c r="CD153" s="123"/>
      <c r="CE153" s="195"/>
      <c r="CF153" s="194"/>
      <c r="CG153" s="123"/>
      <c r="CH153" s="195"/>
      <c r="CI153" s="194"/>
      <c r="CJ153" s="123"/>
      <c r="CK153" s="195"/>
      <c r="CL153" s="194"/>
      <c r="CM153" s="123"/>
      <c r="CN153" s="195"/>
      <c r="CO153" s="194"/>
      <c r="CP153" s="123"/>
      <c r="CQ153" s="195"/>
      <c r="CR153" s="194"/>
      <c r="CS153" s="123"/>
      <c r="CT153" s="195"/>
      <c r="CU153" s="194"/>
      <c r="CV153" s="123"/>
      <c r="CW153" s="195"/>
      <c r="CX153" s="194"/>
      <c r="CY153" s="123"/>
      <c r="CZ153" s="195"/>
      <c r="DA153" s="194"/>
      <c r="DB153" s="123"/>
      <c r="DC153" s="195"/>
      <c r="DD153" s="194"/>
      <c r="DE153" s="123"/>
      <c r="DF153" s="195"/>
      <c r="DH153" s="311"/>
      <c r="DI153" s="311"/>
      <c r="DJ153" s="311"/>
      <c r="DK153" s="311"/>
      <c r="DL153" s="321"/>
      <c r="DM153" s="321"/>
      <c r="DN153" s="321"/>
      <c r="DO153" s="321"/>
      <c r="DP153" s="321"/>
      <c r="DQ153" s="321"/>
      <c r="DR153" s="321"/>
      <c r="DS153" s="321"/>
    </row>
    <row r="154" spans="1:123" ht="7.4" customHeight="1" x14ac:dyDescent="0.5">
      <c r="A154" s="42"/>
      <c r="B154" s="42"/>
      <c r="C154" s="55"/>
      <c r="D154" s="55"/>
      <c r="E154" s="41"/>
      <c r="F154" s="42"/>
      <c r="G154" s="56"/>
      <c r="H154" s="56"/>
      <c r="I154" s="56"/>
      <c r="J154" s="56"/>
      <c r="K154" s="56"/>
      <c r="L154" s="56"/>
      <c r="M154" s="56"/>
      <c r="N154" s="56"/>
      <c r="O154" s="56"/>
      <c r="P154" s="56"/>
      <c r="Q154" s="56"/>
      <c r="R154" s="126"/>
      <c r="S154" s="42"/>
      <c r="AJ154" s="41"/>
      <c r="AK154" s="42"/>
      <c r="AL154" s="311"/>
      <c r="AM154" s="311"/>
      <c r="AN154" s="311"/>
      <c r="AO154" s="311"/>
      <c r="AP154" s="43"/>
      <c r="AQ154" s="42"/>
      <c r="AR154" s="46"/>
      <c r="AS154" s="46"/>
      <c r="AT154" s="46"/>
      <c r="AU154" s="46"/>
      <c r="AV154" s="46"/>
      <c r="AW154" s="46"/>
      <c r="AX154" s="105"/>
      <c r="AZ154" s="119"/>
      <c r="BA154" s="119"/>
      <c r="BB154" s="119"/>
      <c r="BC154" s="119"/>
      <c r="BD154" s="119"/>
      <c r="BE154" s="119"/>
      <c r="BF154" s="119"/>
      <c r="BG154" s="119"/>
      <c r="BH154" s="124"/>
      <c r="BI154" s="124"/>
      <c r="BK154" s="194"/>
      <c r="BL154" s="123"/>
      <c r="BM154" s="195"/>
      <c r="BN154" s="194"/>
      <c r="BO154" s="123"/>
      <c r="BP154" s="195"/>
      <c r="BQ154" s="194"/>
      <c r="BR154" s="123"/>
      <c r="BS154" s="195"/>
      <c r="BT154" s="194"/>
      <c r="BU154" s="123"/>
      <c r="BV154" s="195"/>
      <c r="BW154" s="194"/>
      <c r="BX154" s="123"/>
      <c r="BY154" s="195"/>
      <c r="BZ154" s="194"/>
      <c r="CA154" s="123"/>
      <c r="CB154" s="195"/>
      <c r="CC154" s="194"/>
      <c r="CD154" s="123"/>
      <c r="CE154" s="195"/>
      <c r="CF154" s="194"/>
      <c r="CG154" s="123"/>
      <c r="CH154" s="195"/>
      <c r="CI154" s="194"/>
      <c r="CJ154" s="123"/>
      <c r="CK154" s="195"/>
      <c r="CL154" s="194"/>
      <c r="CM154" s="123"/>
      <c r="CN154" s="195"/>
      <c r="CO154" s="194"/>
      <c r="CP154" s="123"/>
      <c r="CQ154" s="195"/>
      <c r="CR154" s="194"/>
      <c r="CS154" s="123"/>
      <c r="CT154" s="195"/>
      <c r="CU154" s="194"/>
      <c r="CV154" s="123"/>
      <c r="CW154" s="195"/>
      <c r="CX154" s="194"/>
      <c r="CY154" s="123"/>
      <c r="CZ154" s="195"/>
      <c r="DA154" s="194"/>
      <c r="DB154" s="123"/>
      <c r="DC154" s="195"/>
      <c r="DD154" s="194"/>
      <c r="DE154" s="123"/>
      <c r="DF154" s="195"/>
      <c r="DL154" s="105"/>
      <c r="DM154" s="105"/>
      <c r="DN154" s="105"/>
      <c r="DO154" s="105"/>
      <c r="DP154" s="105"/>
      <c r="DQ154" s="105"/>
      <c r="DR154" s="105"/>
      <c r="DS154" s="105"/>
    </row>
    <row r="155" spans="1:123" ht="7.4" customHeight="1" x14ac:dyDescent="0.5">
      <c r="A155" s="42"/>
      <c r="B155" s="42"/>
      <c r="C155" s="311">
        <f>C151+1</f>
        <v>10</v>
      </c>
      <c r="D155" s="311"/>
      <c r="E155" s="41"/>
      <c r="F155" s="42"/>
      <c r="G155" s="319" t="str">
        <f>IF(AL155=0,"N/A","AXE_EL_AL")</f>
        <v>N/A</v>
      </c>
      <c r="H155" s="319"/>
      <c r="I155" s="319"/>
      <c r="J155" s="319"/>
      <c r="K155" s="319"/>
      <c r="L155" s="319"/>
      <c r="M155" s="319"/>
      <c r="N155" s="319"/>
      <c r="O155" s="319"/>
      <c r="P155" s="319"/>
      <c r="Q155" s="319"/>
      <c r="R155" s="320"/>
      <c r="S155" s="42"/>
      <c r="T155" s="405" t="str">
        <f>VLOOKUP(G155,PL!$B$9:$BH$1265,14,FALSE)</f>
        <v>No Item</v>
      </c>
      <c r="U155" s="405"/>
      <c r="V155" s="405"/>
      <c r="W155" s="405"/>
      <c r="X155" s="405"/>
      <c r="Y155" s="405"/>
      <c r="Z155" s="405"/>
      <c r="AA155" s="405"/>
      <c r="AB155" s="405"/>
      <c r="AC155" s="405"/>
      <c r="AD155" s="405"/>
      <c r="AE155" s="405"/>
      <c r="AF155" s="405"/>
      <c r="AG155" s="405"/>
      <c r="AH155" s="405"/>
      <c r="AI155" s="405"/>
      <c r="AJ155" s="411"/>
      <c r="AK155" s="42"/>
      <c r="AL155" s="311">
        <f>ROUND(SUM(BK155:DF155)*(1+$BF$80),0)</f>
        <v>0</v>
      </c>
      <c r="AM155" s="311"/>
      <c r="AN155" s="311"/>
      <c r="AO155" s="311"/>
      <c r="AP155" s="43"/>
      <c r="AQ155" s="111"/>
      <c r="AR155" s="308" t="str">
        <f>VLOOKUP(G155,PL!$B$9:$BH$818,52,FALSE)</f>
        <v>-</v>
      </c>
      <c r="AS155" s="309"/>
      <c r="AT155" s="309"/>
      <c r="AU155" s="309"/>
      <c r="AV155" s="309"/>
      <c r="AW155" s="309"/>
      <c r="AX155" s="309"/>
      <c r="AY155" s="309"/>
      <c r="AZ155" s="309"/>
      <c r="BA155" s="309"/>
      <c r="BB155" s="309"/>
      <c r="BC155" s="309"/>
      <c r="BD155" s="309"/>
      <c r="BE155" s="309"/>
      <c r="BF155" s="309"/>
      <c r="BG155" s="309"/>
      <c r="BH155" s="124"/>
      <c r="BI155" s="124"/>
      <c r="BK155" s="412">
        <f>IF($AI$86="Included",1,0)*M54</f>
        <v>0</v>
      </c>
      <c r="BL155" s="413"/>
      <c r="BM155" s="414"/>
      <c r="BN155" s="412">
        <f>IF($AI$86="Included",1,0)*P54</f>
        <v>0</v>
      </c>
      <c r="BO155" s="413"/>
      <c r="BP155" s="414"/>
      <c r="BQ155" s="412">
        <f>IF($AI$86="Included",1,0)*S54</f>
        <v>0</v>
      </c>
      <c r="BR155" s="413"/>
      <c r="BS155" s="414"/>
      <c r="BT155" s="412">
        <f>IF($AI$86="Included",1,0)*V54</f>
        <v>0</v>
      </c>
      <c r="BU155" s="413"/>
      <c r="BV155" s="414"/>
      <c r="BW155" s="412">
        <f>IF($AI$86="Included",1,0)*Y54</f>
        <v>0</v>
      </c>
      <c r="BX155" s="413"/>
      <c r="BY155" s="414"/>
      <c r="BZ155" s="412">
        <f>IF($AI$86="Included",1,0)*AB54</f>
        <v>0</v>
      </c>
      <c r="CA155" s="413"/>
      <c r="CB155" s="414"/>
      <c r="CC155" s="412">
        <f>IF($AI$86="Included",1,0)*AE54</f>
        <v>0</v>
      </c>
      <c r="CD155" s="413"/>
      <c r="CE155" s="414"/>
      <c r="CF155" s="412">
        <f>IF($AI$86="Included",1,0)*AH54</f>
        <v>0</v>
      </c>
      <c r="CG155" s="413"/>
      <c r="CH155" s="414"/>
      <c r="CI155" s="412">
        <f>IF($AI$86="Included",1,0)*AK54</f>
        <v>0</v>
      </c>
      <c r="CJ155" s="413"/>
      <c r="CK155" s="414"/>
      <c r="CL155" s="412">
        <f>IF($AI$86="Included",1,0)*AN54</f>
        <v>0</v>
      </c>
      <c r="CM155" s="413"/>
      <c r="CN155" s="414"/>
      <c r="CO155" s="412">
        <f>IF($AI$86="Included",1,0)*AQ54</f>
        <v>0</v>
      </c>
      <c r="CP155" s="413"/>
      <c r="CQ155" s="414"/>
      <c r="CR155" s="412">
        <f>IF($AI$86="Included",1,0)*AT54</f>
        <v>0</v>
      </c>
      <c r="CS155" s="413"/>
      <c r="CT155" s="414"/>
      <c r="CU155" s="412">
        <f>IF($AI$86="Included",1,0)*AW54</f>
        <v>0</v>
      </c>
      <c r="CV155" s="413"/>
      <c r="CW155" s="414"/>
      <c r="CX155" s="412">
        <f>IF($AI$86="Included",1,0)*AZ54</f>
        <v>0</v>
      </c>
      <c r="CY155" s="413"/>
      <c r="CZ155" s="414"/>
      <c r="DA155" s="412">
        <f>IF($AI$86="Included",1,0)*BC54</f>
        <v>0</v>
      </c>
      <c r="DB155" s="413"/>
      <c r="DC155" s="414"/>
      <c r="DD155" s="412">
        <f>IF($AI$86="Included",1,0)*BF54</f>
        <v>0</v>
      </c>
      <c r="DE155" s="413"/>
      <c r="DF155" s="414"/>
      <c r="DH155" s="311"/>
      <c r="DI155" s="311"/>
      <c r="DJ155" s="311"/>
      <c r="DK155" s="311"/>
      <c r="DL155" s="321"/>
      <c r="DM155" s="321"/>
      <c r="DN155" s="321"/>
      <c r="DO155" s="321"/>
      <c r="DP155" s="321"/>
      <c r="DQ155" s="321"/>
      <c r="DR155" s="321"/>
      <c r="DS155" s="321"/>
    </row>
    <row r="156" spans="1:123" ht="7.4" customHeight="1" x14ac:dyDescent="0.5">
      <c r="A156" s="42"/>
      <c r="B156" s="42"/>
      <c r="C156" s="311"/>
      <c r="D156" s="311"/>
      <c r="E156" s="41"/>
      <c r="F156" s="42"/>
      <c r="G156" s="319"/>
      <c r="H156" s="319"/>
      <c r="I156" s="319"/>
      <c r="J156" s="319"/>
      <c r="K156" s="319"/>
      <c r="L156" s="319"/>
      <c r="M156" s="319"/>
      <c r="N156" s="319"/>
      <c r="O156" s="319"/>
      <c r="P156" s="319"/>
      <c r="Q156" s="319"/>
      <c r="R156" s="320"/>
      <c r="S156" s="42"/>
      <c r="T156" s="405"/>
      <c r="U156" s="405"/>
      <c r="V156" s="405"/>
      <c r="W156" s="405"/>
      <c r="X156" s="405"/>
      <c r="Y156" s="405"/>
      <c r="Z156" s="405"/>
      <c r="AA156" s="405"/>
      <c r="AB156" s="405"/>
      <c r="AC156" s="405"/>
      <c r="AD156" s="405"/>
      <c r="AE156" s="405"/>
      <c r="AF156" s="405"/>
      <c r="AG156" s="405"/>
      <c r="AH156" s="405"/>
      <c r="AI156" s="405"/>
      <c r="AJ156" s="411"/>
      <c r="AK156" s="42"/>
      <c r="AL156" s="311"/>
      <c r="AM156" s="311"/>
      <c r="AN156" s="311"/>
      <c r="AO156" s="311"/>
      <c r="AP156" s="43"/>
      <c r="AQ156" s="111"/>
      <c r="AR156" s="309"/>
      <c r="AS156" s="309"/>
      <c r="AT156" s="309"/>
      <c r="AU156" s="309"/>
      <c r="AV156" s="309"/>
      <c r="AW156" s="309"/>
      <c r="AX156" s="309"/>
      <c r="AY156" s="309"/>
      <c r="AZ156" s="309"/>
      <c r="BA156" s="309"/>
      <c r="BB156" s="309"/>
      <c r="BC156" s="309"/>
      <c r="BD156" s="309"/>
      <c r="BE156" s="309"/>
      <c r="BF156" s="309"/>
      <c r="BG156" s="309"/>
      <c r="BH156" s="124"/>
      <c r="BI156" s="124"/>
      <c r="BK156" s="412"/>
      <c r="BL156" s="413"/>
      <c r="BM156" s="414"/>
      <c r="BN156" s="412"/>
      <c r="BO156" s="413"/>
      <c r="BP156" s="414"/>
      <c r="BQ156" s="412"/>
      <c r="BR156" s="413"/>
      <c r="BS156" s="414"/>
      <c r="BT156" s="412"/>
      <c r="BU156" s="413"/>
      <c r="BV156" s="414"/>
      <c r="BW156" s="412"/>
      <c r="BX156" s="413"/>
      <c r="BY156" s="414"/>
      <c r="BZ156" s="412"/>
      <c r="CA156" s="413"/>
      <c r="CB156" s="414"/>
      <c r="CC156" s="412"/>
      <c r="CD156" s="413"/>
      <c r="CE156" s="414"/>
      <c r="CF156" s="412"/>
      <c r="CG156" s="413"/>
      <c r="CH156" s="414"/>
      <c r="CI156" s="412"/>
      <c r="CJ156" s="413"/>
      <c r="CK156" s="414"/>
      <c r="CL156" s="412"/>
      <c r="CM156" s="413"/>
      <c r="CN156" s="414"/>
      <c r="CO156" s="412"/>
      <c r="CP156" s="413"/>
      <c r="CQ156" s="414"/>
      <c r="CR156" s="412"/>
      <c r="CS156" s="413"/>
      <c r="CT156" s="414"/>
      <c r="CU156" s="412"/>
      <c r="CV156" s="413"/>
      <c r="CW156" s="414"/>
      <c r="CX156" s="412"/>
      <c r="CY156" s="413"/>
      <c r="CZ156" s="414"/>
      <c r="DA156" s="412"/>
      <c r="DB156" s="413"/>
      <c r="DC156" s="414"/>
      <c r="DD156" s="412"/>
      <c r="DE156" s="413"/>
      <c r="DF156" s="414"/>
      <c r="DH156" s="311"/>
      <c r="DI156" s="311"/>
      <c r="DJ156" s="311"/>
      <c r="DK156" s="311"/>
      <c r="DL156" s="321"/>
      <c r="DM156" s="321"/>
      <c r="DN156" s="321"/>
      <c r="DO156" s="321"/>
      <c r="DP156" s="321"/>
      <c r="DQ156" s="321"/>
      <c r="DR156" s="321"/>
      <c r="DS156" s="321"/>
    </row>
    <row r="157" spans="1:123" ht="7.4" customHeight="1" x14ac:dyDescent="0.5">
      <c r="A157" s="42"/>
      <c r="B157" s="42"/>
      <c r="C157" s="333"/>
      <c r="D157" s="333"/>
      <c r="E157" s="41"/>
      <c r="F157" s="42"/>
      <c r="G157" s="56"/>
      <c r="H157" s="56"/>
      <c r="I157" s="56"/>
      <c r="J157" s="56"/>
      <c r="K157" s="56"/>
      <c r="L157" s="56"/>
      <c r="M157" s="56"/>
      <c r="N157" s="56"/>
      <c r="O157" s="56"/>
      <c r="P157" s="56"/>
      <c r="Q157" s="56"/>
      <c r="R157" s="126"/>
      <c r="S157" s="42"/>
      <c r="T157" s="116" t="str">
        <f>VLOOKUP(G155,PL!$B$9:$BH$1265,33,FALSE)</f>
        <v>.</v>
      </c>
      <c r="AJ157" s="41"/>
      <c r="AK157" s="42"/>
      <c r="AL157" s="311"/>
      <c r="AM157" s="311"/>
      <c r="AN157" s="311"/>
      <c r="AO157" s="311"/>
      <c r="AP157" s="43"/>
      <c r="AQ157" s="42"/>
      <c r="AR157" s="46"/>
      <c r="AS157" s="46"/>
      <c r="AT157" s="46"/>
      <c r="AU157" s="46"/>
      <c r="AV157" s="46"/>
      <c r="AW157" s="46"/>
      <c r="AX157" s="105"/>
      <c r="AZ157" s="119"/>
      <c r="BA157" s="119"/>
      <c r="BB157" s="119"/>
      <c r="BC157" s="119"/>
      <c r="BD157" s="119"/>
      <c r="BE157" s="119"/>
      <c r="BF157" s="119"/>
      <c r="BG157" s="119"/>
      <c r="BH157" s="124"/>
      <c r="BI157" s="124"/>
      <c r="BK157" s="194"/>
      <c r="BL157" s="123"/>
      <c r="BM157" s="195"/>
      <c r="BN157" s="194"/>
      <c r="BO157" s="123"/>
      <c r="BP157" s="195"/>
      <c r="BQ157" s="194"/>
      <c r="BR157" s="123"/>
      <c r="BS157" s="195"/>
      <c r="BT157" s="194"/>
      <c r="BU157" s="123"/>
      <c r="BV157" s="195"/>
      <c r="BW157" s="194"/>
      <c r="BX157" s="123"/>
      <c r="BY157" s="195"/>
      <c r="BZ157" s="194"/>
      <c r="CA157" s="123"/>
      <c r="CB157" s="195"/>
      <c r="CC157" s="194"/>
      <c r="CD157" s="123"/>
      <c r="CE157" s="195"/>
      <c r="CF157" s="194"/>
      <c r="CG157" s="123"/>
      <c r="CH157" s="195"/>
      <c r="CI157" s="194"/>
      <c r="CJ157" s="123"/>
      <c r="CK157" s="195"/>
      <c r="CL157" s="194"/>
      <c r="CM157" s="123"/>
      <c r="CN157" s="195"/>
      <c r="CO157" s="194"/>
      <c r="CP157" s="123"/>
      <c r="CQ157" s="195"/>
      <c r="CR157" s="194"/>
      <c r="CS157" s="123"/>
      <c r="CT157" s="195"/>
      <c r="CU157" s="194"/>
      <c r="CV157" s="123"/>
      <c r="CW157" s="195"/>
      <c r="CX157" s="194"/>
      <c r="CY157" s="123"/>
      <c r="CZ157" s="195"/>
      <c r="DA157" s="194"/>
      <c r="DB157" s="123"/>
      <c r="DC157" s="195"/>
      <c r="DD157" s="194"/>
      <c r="DE157" s="123"/>
      <c r="DF157" s="195"/>
      <c r="DH157" s="311"/>
      <c r="DI157" s="311"/>
      <c r="DJ157" s="311"/>
      <c r="DK157" s="311"/>
      <c r="DL157" s="321"/>
      <c r="DM157" s="321"/>
      <c r="DN157" s="321"/>
      <c r="DO157" s="321"/>
      <c r="DP157" s="321"/>
      <c r="DQ157" s="321"/>
      <c r="DR157" s="321"/>
      <c r="DS157" s="321"/>
    </row>
    <row r="158" spans="1:123" ht="7.4" customHeight="1" x14ac:dyDescent="0.5">
      <c r="A158" s="42"/>
      <c r="B158" s="42"/>
      <c r="C158" s="333"/>
      <c r="D158" s="333"/>
      <c r="E158" s="41"/>
      <c r="F158" s="42"/>
      <c r="G158" s="56"/>
      <c r="H158" s="56"/>
      <c r="I158" s="56"/>
      <c r="J158" s="56"/>
      <c r="K158" s="56"/>
      <c r="L158" s="56"/>
      <c r="M158" s="56"/>
      <c r="N158" s="56"/>
      <c r="O158" s="56"/>
      <c r="P158" s="56"/>
      <c r="Q158" s="56"/>
      <c r="R158" s="126"/>
      <c r="S158" s="42"/>
      <c r="AJ158" s="41"/>
      <c r="AK158" s="42"/>
      <c r="AL158" s="311"/>
      <c r="AM158" s="311"/>
      <c r="AN158" s="311"/>
      <c r="AO158" s="311"/>
      <c r="AP158" s="43"/>
      <c r="AQ158" s="42"/>
      <c r="AR158" s="119"/>
      <c r="AS158" s="119"/>
      <c r="AT158" s="119"/>
      <c r="AU158" s="119"/>
      <c r="AV158" s="119"/>
      <c r="AW158" s="119"/>
      <c r="AX158" s="105"/>
      <c r="AZ158" s="119"/>
      <c r="BA158" s="119"/>
      <c r="BB158" s="119"/>
      <c r="BC158" s="119"/>
      <c r="BD158" s="119"/>
      <c r="BE158" s="119"/>
      <c r="BF158" s="119"/>
      <c r="BG158" s="119"/>
      <c r="BH158" s="124"/>
      <c r="BI158" s="41"/>
      <c r="BK158" s="194"/>
      <c r="BL158" s="123"/>
      <c r="BM158" s="195"/>
      <c r="BN158" s="194"/>
      <c r="BO158" s="123"/>
      <c r="BP158" s="195"/>
      <c r="BQ158" s="194"/>
      <c r="BR158" s="123"/>
      <c r="BS158" s="195"/>
      <c r="BT158" s="194"/>
      <c r="BU158" s="123"/>
      <c r="BV158" s="195"/>
      <c r="BW158" s="194"/>
      <c r="BX158" s="123"/>
      <c r="BY158" s="195"/>
      <c r="BZ158" s="194"/>
      <c r="CA158" s="123"/>
      <c r="CB158" s="195"/>
      <c r="CC158" s="194"/>
      <c r="CD158" s="123"/>
      <c r="CE158" s="195"/>
      <c r="CF158" s="194"/>
      <c r="CG158" s="123"/>
      <c r="CH158" s="195"/>
      <c r="CI158" s="194"/>
      <c r="CJ158" s="123"/>
      <c r="CK158" s="195"/>
      <c r="CL158" s="194"/>
      <c r="CM158" s="123"/>
      <c r="CN158" s="195"/>
      <c r="CO158" s="194"/>
      <c r="CP158" s="123"/>
      <c r="CQ158" s="195"/>
      <c r="CR158" s="194"/>
      <c r="CS158" s="123"/>
      <c r="CT158" s="195"/>
      <c r="CU158" s="194"/>
      <c r="CV158" s="123"/>
      <c r="CW158" s="195"/>
      <c r="CX158" s="194"/>
      <c r="CY158" s="123"/>
      <c r="CZ158" s="195"/>
      <c r="DA158" s="194"/>
      <c r="DB158" s="123"/>
      <c r="DC158" s="195"/>
      <c r="DD158" s="194"/>
      <c r="DE158" s="123"/>
      <c r="DF158" s="195"/>
      <c r="DH158" s="311"/>
      <c r="DI158" s="311"/>
      <c r="DJ158" s="311"/>
      <c r="DK158" s="311"/>
      <c r="DL158" s="321"/>
      <c r="DM158" s="321"/>
      <c r="DN158" s="321"/>
      <c r="DO158" s="321"/>
      <c r="DP158" s="321"/>
      <c r="DQ158" s="321"/>
      <c r="DR158" s="321"/>
      <c r="DS158" s="321"/>
    </row>
    <row r="159" spans="1:123" ht="7.4" customHeight="1" x14ac:dyDescent="0.5">
      <c r="A159" s="42"/>
      <c r="B159" s="42"/>
      <c r="C159" s="311">
        <f>C155+1</f>
        <v>11</v>
      </c>
      <c r="D159" s="311"/>
      <c r="E159" s="41"/>
      <c r="F159" s="42"/>
      <c r="G159" s="319" t="str">
        <f>IF(AL159=0,"N/A","AXE_CS_8_20"&amp;"_SS")</f>
        <v>N/A</v>
      </c>
      <c r="H159" s="319"/>
      <c r="I159" s="319"/>
      <c r="J159" s="319"/>
      <c r="K159" s="319"/>
      <c r="L159" s="319"/>
      <c r="M159" s="319"/>
      <c r="N159" s="319"/>
      <c r="O159" s="319"/>
      <c r="P159" s="319"/>
      <c r="Q159" s="319"/>
      <c r="R159" s="320"/>
      <c r="S159" s="42"/>
      <c r="T159" s="405" t="str">
        <f>VLOOKUP(G159,PL!$B$9:$BH$1265,14,FALSE)</f>
        <v>No Item</v>
      </c>
      <c r="U159" s="405"/>
      <c r="V159" s="405"/>
      <c r="W159" s="405"/>
      <c r="X159" s="405"/>
      <c r="Y159" s="405"/>
      <c r="Z159" s="405"/>
      <c r="AA159" s="405"/>
      <c r="AB159" s="405"/>
      <c r="AC159" s="405"/>
      <c r="AD159" s="405"/>
      <c r="AE159" s="405"/>
      <c r="AF159" s="405"/>
      <c r="AG159" s="405"/>
      <c r="AH159" s="405"/>
      <c r="AI159" s="405"/>
      <c r="AJ159" s="411"/>
      <c r="AK159" s="42"/>
      <c r="AL159" s="311">
        <f>ROUND(SUM(BK159:DF159)*(1+$BF$80),0)</f>
        <v>0</v>
      </c>
      <c r="AM159" s="311"/>
      <c r="AN159" s="311"/>
      <c r="AO159" s="311"/>
      <c r="AP159" s="43"/>
      <c r="AQ159" s="111"/>
      <c r="AR159" s="308" t="str">
        <f>VLOOKUP(G159,PL!$B$9:$BH$818,52,FALSE)</f>
        <v>-</v>
      </c>
      <c r="AS159" s="309"/>
      <c r="AT159" s="309"/>
      <c r="AU159" s="309"/>
      <c r="AV159" s="309"/>
      <c r="AW159" s="309"/>
      <c r="AX159" s="309"/>
      <c r="AY159" s="309"/>
      <c r="AZ159" s="309"/>
      <c r="BA159" s="309"/>
      <c r="BB159" s="309"/>
      <c r="BC159" s="309"/>
      <c r="BD159" s="309"/>
      <c r="BE159" s="309"/>
      <c r="BF159" s="309"/>
      <c r="BG159" s="309"/>
      <c r="BH159" s="124"/>
      <c r="BI159" s="41"/>
      <c r="BK159" s="412">
        <f>IF($AI$82="Included",1,0)*M54*4</f>
        <v>0</v>
      </c>
      <c r="BL159" s="413"/>
      <c r="BM159" s="414"/>
      <c r="BN159" s="412">
        <f>IF($AI$82="Included",1,0)*P54*4</f>
        <v>0</v>
      </c>
      <c r="BO159" s="413"/>
      <c r="BP159" s="414"/>
      <c r="BQ159" s="412">
        <f>IF($AI$82="Included",1,0)*S54*4</f>
        <v>0</v>
      </c>
      <c r="BR159" s="413"/>
      <c r="BS159" s="414"/>
      <c r="BT159" s="412">
        <f>IF($AI$82="Included",1,0)*V54*4</f>
        <v>0</v>
      </c>
      <c r="BU159" s="413"/>
      <c r="BV159" s="414"/>
      <c r="BW159" s="412">
        <f>IF($AI$82="Included",1,0)*Y54*4</f>
        <v>0</v>
      </c>
      <c r="BX159" s="413"/>
      <c r="BY159" s="414"/>
      <c r="BZ159" s="412">
        <f>IF($AI$82="Included",1,0)*AB54*4</f>
        <v>0</v>
      </c>
      <c r="CA159" s="413"/>
      <c r="CB159" s="414"/>
      <c r="CC159" s="412">
        <f>IF($AI$82="Included",1,0)*AE54*4</f>
        <v>0</v>
      </c>
      <c r="CD159" s="413"/>
      <c r="CE159" s="414"/>
      <c r="CF159" s="412">
        <f>IF($AI$82="Included",1,0)*AH54*4</f>
        <v>0</v>
      </c>
      <c r="CG159" s="413"/>
      <c r="CH159" s="414"/>
      <c r="CI159" s="412">
        <f>IF($AI$82="Included",1,0)*AK54*4</f>
        <v>0</v>
      </c>
      <c r="CJ159" s="413"/>
      <c r="CK159" s="414"/>
      <c r="CL159" s="412">
        <f>IF($AI$82="Included",1,0)*AN54*4</f>
        <v>0</v>
      </c>
      <c r="CM159" s="413"/>
      <c r="CN159" s="414"/>
      <c r="CO159" s="412">
        <f>IF($AI$82="Included",1,0)*AQ54*4</f>
        <v>0</v>
      </c>
      <c r="CP159" s="413"/>
      <c r="CQ159" s="414"/>
      <c r="CR159" s="412">
        <f>IF($AI$82="Included",1,0)*AT54*4</f>
        <v>0</v>
      </c>
      <c r="CS159" s="413"/>
      <c r="CT159" s="414"/>
      <c r="CU159" s="412">
        <f>IF($AI$82="Included",1,0)*AW54*4</f>
        <v>0</v>
      </c>
      <c r="CV159" s="413"/>
      <c r="CW159" s="414"/>
      <c r="CX159" s="412">
        <f>IF($AI$82="Included",1,0)*AZ54*4</f>
        <v>0</v>
      </c>
      <c r="CY159" s="413"/>
      <c r="CZ159" s="414"/>
      <c r="DA159" s="412">
        <f>IF($AI$82="Included",1,0)*BC54*4</f>
        <v>0</v>
      </c>
      <c r="DB159" s="413"/>
      <c r="DC159" s="414"/>
      <c r="DD159" s="412">
        <f>IF($AI$82="Included",1,0)*BF54*4</f>
        <v>0</v>
      </c>
      <c r="DE159" s="413"/>
      <c r="DF159" s="414"/>
      <c r="DH159" s="311"/>
      <c r="DI159" s="311"/>
      <c r="DJ159" s="311"/>
      <c r="DK159" s="311"/>
      <c r="DL159" s="321"/>
      <c r="DM159" s="321"/>
      <c r="DN159" s="321"/>
      <c r="DO159" s="321"/>
      <c r="DP159" s="321"/>
      <c r="DQ159" s="321"/>
      <c r="DR159" s="321"/>
      <c r="DS159" s="321"/>
    </row>
    <row r="160" spans="1:123" ht="7.4" customHeight="1" x14ac:dyDescent="0.5">
      <c r="A160" s="42"/>
      <c r="B160" s="42"/>
      <c r="C160" s="311"/>
      <c r="D160" s="311"/>
      <c r="E160" s="41"/>
      <c r="F160" s="42"/>
      <c r="G160" s="319"/>
      <c r="H160" s="319"/>
      <c r="I160" s="319"/>
      <c r="J160" s="319"/>
      <c r="K160" s="319"/>
      <c r="L160" s="319"/>
      <c r="M160" s="319"/>
      <c r="N160" s="319"/>
      <c r="O160" s="319"/>
      <c r="P160" s="319"/>
      <c r="Q160" s="319"/>
      <c r="R160" s="320"/>
      <c r="S160" s="42"/>
      <c r="T160" s="405"/>
      <c r="U160" s="405"/>
      <c r="V160" s="405"/>
      <c r="W160" s="405"/>
      <c r="X160" s="405"/>
      <c r="Y160" s="405"/>
      <c r="Z160" s="405"/>
      <c r="AA160" s="405"/>
      <c r="AB160" s="405"/>
      <c r="AC160" s="405"/>
      <c r="AD160" s="405"/>
      <c r="AE160" s="405"/>
      <c r="AF160" s="405"/>
      <c r="AG160" s="405"/>
      <c r="AH160" s="405"/>
      <c r="AI160" s="405"/>
      <c r="AJ160" s="411"/>
      <c r="AK160" s="42"/>
      <c r="AL160" s="311"/>
      <c r="AM160" s="311"/>
      <c r="AN160" s="311"/>
      <c r="AO160" s="311"/>
      <c r="AP160" s="43"/>
      <c r="AQ160" s="111"/>
      <c r="AR160" s="309"/>
      <c r="AS160" s="309"/>
      <c r="AT160" s="309"/>
      <c r="AU160" s="309"/>
      <c r="AV160" s="309"/>
      <c r="AW160" s="309"/>
      <c r="AX160" s="309"/>
      <c r="AY160" s="309"/>
      <c r="AZ160" s="309"/>
      <c r="BA160" s="309"/>
      <c r="BB160" s="309"/>
      <c r="BC160" s="309"/>
      <c r="BD160" s="309"/>
      <c r="BE160" s="309"/>
      <c r="BF160" s="309"/>
      <c r="BG160" s="309"/>
      <c r="BH160" s="124"/>
      <c r="BI160" s="41"/>
      <c r="BK160" s="412"/>
      <c r="BL160" s="413"/>
      <c r="BM160" s="414"/>
      <c r="BN160" s="412"/>
      <c r="BO160" s="413"/>
      <c r="BP160" s="414"/>
      <c r="BQ160" s="412"/>
      <c r="BR160" s="413"/>
      <c r="BS160" s="414"/>
      <c r="BT160" s="412"/>
      <c r="BU160" s="413"/>
      <c r="BV160" s="414"/>
      <c r="BW160" s="412"/>
      <c r="BX160" s="413"/>
      <c r="BY160" s="414"/>
      <c r="BZ160" s="412"/>
      <c r="CA160" s="413"/>
      <c r="CB160" s="414"/>
      <c r="CC160" s="412"/>
      <c r="CD160" s="413"/>
      <c r="CE160" s="414"/>
      <c r="CF160" s="412"/>
      <c r="CG160" s="413"/>
      <c r="CH160" s="414"/>
      <c r="CI160" s="412"/>
      <c r="CJ160" s="413"/>
      <c r="CK160" s="414"/>
      <c r="CL160" s="412"/>
      <c r="CM160" s="413"/>
      <c r="CN160" s="414"/>
      <c r="CO160" s="412"/>
      <c r="CP160" s="413"/>
      <c r="CQ160" s="414"/>
      <c r="CR160" s="412"/>
      <c r="CS160" s="413"/>
      <c r="CT160" s="414"/>
      <c r="CU160" s="412"/>
      <c r="CV160" s="413"/>
      <c r="CW160" s="414"/>
      <c r="CX160" s="412"/>
      <c r="CY160" s="413"/>
      <c r="CZ160" s="414"/>
      <c r="DA160" s="412"/>
      <c r="DB160" s="413"/>
      <c r="DC160" s="414"/>
      <c r="DD160" s="412"/>
      <c r="DE160" s="413"/>
      <c r="DF160" s="414"/>
      <c r="DH160" s="311"/>
      <c r="DI160" s="311"/>
      <c r="DJ160" s="311"/>
      <c r="DK160" s="311"/>
      <c r="DL160" s="321"/>
      <c r="DM160" s="321"/>
      <c r="DN160" s="321"/>
      <c r="DO160" s="321"/>
      <c r="DP160" s="321"/>
      <c r="DQ160" s="321"/>
      <c r="DR160" s="321"/>
      <c r="DS160" s="321"/>
    </row>
    <row r="161" spans="1:123" ht="7.4" customHeight="1" x14ac:dyDescent="0.5">
      <c r="A161" s="42"/>
      <c r="B161" s="42"/>
      <c r="C161" s="333"/>
      <c r="D161" s="333"/>
      <c r="E161" s="41"/>
      <c r="F161" s="42"/>
      <c r="G161" s="56"/>
      <c r="H161" s="56"/>
      <c r="I161" s="56"/>
      <c r="J161" s="56"/>
      <c r="K161" s="56"/>
      <c r="L161" s="56"/>
      <c r="M161" s="56"/>
      <c r="N161" s="56"/>
      <c r="O161" s="56"/>
      <c r="P161" s="56"/>
      <c r="Q161" s="56"/>
      <c r="R161" s="126"/>
      <c r="S161" s="42"/>
      <c r="T161" s="116" t="str">
        <f>VLOOKUP(G159,PL!$B$9:$BH$1265,33,FALSE)</f>
        <v>.</v>
      </c>
      <c r="AJ161" s="41"/>
      <c r="AK161" s="42"/>
      <c r="AL161" s="311"/>
      <c r="AM161" s="311"/>
      <c r="AN161" s="311"/>
      <c r="AO161" s="311"/>
      <c r="AP161" s="43"/>
      <c r="AQ161" s="42"/>
      <c r="AR161" s="119"/>
      <c r="AS161" s="119"/>
      <c r="AT161" s="119"/>
      <c r="AU161" s="119"/>
      <c r="AV161" s="119"/>
      <c r="AW161" s="119"/>
      <c r="AX161" s="105"/>
      <c r="AZ161" s="119"/>
      <c r="BA161" s="119"/>
      <c r="BB161" s="119"/>
      <c r="BC161" s="119"/>
      <c r="BD161" s="119"/>
      <c r="BE161" s="119"/>
      <c r="BF161" s="119"/>
      <c r="BG161" s="119"/>
      <c r="BH161" s="124"/>
      <c r="BI161" s="41"/>
      <c r="BK161" s="194"/>
      <c r="BL161" s="123"/>
      <c r="BM161" s="195"/>
      <c r="BN161" s="194"/>
      <c r="BO161" s="123"/>
      <c r="BP161" s="195"/>
      <c r="BQ161" s="194"/>
      <c r="BR161" s="123"/>
      <c r="BS161" s="195"/>
      <c r="BT161" s="194"/>
      <c r="BU161" s="123"/>
      <c r="BV161" s="195"/>
      <c r="BW161" s="194"/>
      <c r="BX161" s="123"/>
      <c r="BY161" s="195"/>
      <c r="BZ161" s="194"/>
      <c r="CA161" s="123"/>
      <c r="CB161" s="195"/>
      <c r="CC161" s="194"/>
      <c r="CD161" s="123"/>
      <c r="CE161" s="195"/>
      <c r="CF161" s="194"/>
      <c r="CG161" s="123"/>
      <c r="CH161" s="195"/>
      <c r="CI161" s="194"/>
      <c r="CJ161" s="123"/>
      <c r="CK161" s="195"/>
      <c r="CL161" s="194"/>
      <c r="CM161" s="123"/>
      <c r="CN161" s="195"/>
      <c r="CO161" s="194"/>
      <c r="CP161" s="123"/>
      <c r="CQ161" s="195"/>
      <c r="CR161" s="194"/>
      <c r="CS161" s="123"/>
      <c r="CT161" s="195"/>
      <c r="CU161" s="194"/>
      <c r="CV161" s="123"/>
      <c r="CW161" s="195"/>
      <c r="CX161" s="194"/>
      <c r="CY161" s="123"/>
      <c r="CZ161" s="195"/>
      <c r="DA161" s="194"/>
      <c r="DB161" s="123"/>
      <c r="DC161" s="195"/>
      <c r="DD161" s="194"/>
      <c r="DE161" s="123"/>
      <c r="DF161" s="195"/>
      <c r="DH161" s="311"/>
      <c r="DI161" s="311"/>
      <c r="DJ161" s="311"/>
      <c r="DK161" s="311"/>
      <c r="DL161" s="321"/>
      <c r="DM161" s="321"/>
      <c r="DN161" s="321"/>
      <c r="DO161" s="321"/>
      <c r="DP161" s="321"/>
      <c r="DQ161" s="321"/>
      <c r="DR161" s="321"/>
      <c r="DS161" s="321"/>
    </row>
    <row r="162" spans="1:123" ht="7.4" customHeight="1" x14ac:dyDescent="0.5">
      <c r="A162" s="42"/>
      <c r="B162" s="42"/>
      <c r="C162" s="333"/>
      <c r="D162" s="333"/>
      <c r="E162" s="41"/>
      <c r="F162" s="42"/>
      <c r="G162" s="56"/>
      <c r="H162" s="56"/>
      <c r="I162" s="56"/>
      <c r="J162" s="56"/>
      <c r="K162" s="56"/>
      <c r="L162" s="56"/>
      <c r="M162" s="56"/>
      <c r="N162" s="56"/>
      <c r="O162" s="56"/>
      <c r="P162" s="56"/>
      <c r="Q162" s="56"/>
      <c r="R162" s="126"/>
      <c r="S162" s="42"/>
      <c r="AJ162" s="41"/>
      <c r="AK162" s="42"/>
      <c r="AL162" s="311"/>
      <c r="AM162" s="311"/>
      <c r="AN162" s="311"/>
      <c r="AO162" s="311"/>
      <c r="AP162" s="43"/>
      <c r="AQ162" s="42"/>
      <c r="AR162" s="119"/>
      <c r="AS162" s="119"/>
      <c r="AT162" s="119"/>
      <c r="AU162" s="119"/>
      <c r="AV162" s="119"/>
      <c r="AW162" s="119"/>
      <c r="AX162" s="105"/>
      <c r="AZ162" s="119"/>
      <c r="BA162" s="119"/>
      <c r="BB162" s="119"/>
      <c r="BC162" s="119"/>
      <c r="BD162" s="119"/>
      <c r="BE162" s="119"/>
      <c r="BF162" s="119"/>
      <c r="BG162" s="119"/>
      <c r="BH162" s="124"/>
      <c r="BI162" s="41"/>
      <c r="BK162" s="194"/>
      <c r="BL162" s="123"/>
      <c r="BM162" s="195"/>
      <c r="BN162" s="194"/>
      <c r="BO162" s="123"/>
      <c r="BP162" s="195"/>
      <c r="BQ162" s="194"/>
      <c r="BR162" s="123"/>
      <c r="BS162" s="195"/>
      <c r="BT162" s="194"/>
      <c r="BU162" s="123"/>
      <c r="BV162" s="195"/>
      <c r="BW162" s="194"/>
      <c r="BX162" s="123"/>
      <c r="BY162" s="195"/>
      <c r="BZ162" s="194"/>
      <c r="CA162" s="123"/>
      <c r="CB162" s="195"/>
      <c r="CC162" s="194"/>
      <c r="CD162" s="123"/>
      <c r="CE162" s="195"/>
      <c r="CF162" s="194"/>
      <c r="CG162" s="123"/>
      <c r="CH162" s="195"/>
      <c r="CI162" s="194"/>
      <c r="CJ162" s="123"/>
      <c r="CK162" s="195"/>
      <c r="CL162" s="194"/>
      <c r="CM162" s="123"/>
      <c r="CN162" s="195"/>
      <c r="CO162" s="194"/>
      <c r="CP162" s="123"/>
      <c r="CQ162" s="195"/>
      <c r="CR162" s="194"/>
      <c r="CS162" s="123"/>
      <c r="CT162" s="195"/>
      <c r="CU162" s="194"/>
      <c r="CV162" s="123"/>
      <c r="CW162" s="195"/>
      <c r="CX162" s="194"/>
      <c r="CY162" s="123"/>
      <c r="CZ162" s="195"/>
      <c r="DA162" s="194"/>
      <c r="DB162" s="123"/>
      <c r="DC162" s="195"/>
      <c r="DD162" s="194"/>
      <c r="DE162" s="123"/>
      <c r="DF162" s="195"/>
      <c r="DH162" s="311"/>
      <c r="DI162" s="311"/>
      <c r="DJ162" s="311"/>
      <c r="DK162" s="311"/>
      <c r="DL162" s="321"/>
      <c r="DM162" s="321"/>
      <c r="DN162" s="321"/>
      <c r="DO162" s="321"/>
      <c r="DP162" s="321"/>
      <c r="DQ162" s="321"/>
      <c r="DR162" s="321"/>
      <c r="DS162" s="321"/>
    </row>
    <row r="163" spans="1:123" ht="7.4" customHeight="1" x14ac:dyDescent="0.5">
      <c r="A163" s="42"/>
      <c r="B163" s="42"/>
      <c r="C163" s="311">
        <f>C159+1</f>
        <v>12</v>
      </c>
      <c r="D163" s="311"/>
      <c r="E163" s="41"/>
      <c r="F163" s="42"/>
      <c r="G163" s="319" t="str">
        <f>IF(AL163=0,"N/A","AXE_CS_8_25"&amp;"_SS")</f>
        <v>AXE_CS_8_25_SS</v>
      </c>
      <c r="H163" s="319"/>
      <c r="I163" s="319"/>
      <c r="J163" s="319"/>
      <c r="K163" s="319"/>
      <c r="L163" s="319"/>
      <c r="M163" s="319"/>
      <c r="N163" s="319"/>
      <c r="O163" s="319"/>
      <c r="P163" s="319"/>
      <c r="Q163" s="319"/>
      <c r="R163" s="320"/>
      <c r="S163" s="42"/>
      <c r="T163" s="405" t="str">
        <f>VLOOKUP(G163,PL!$B$9:$BH$1265,14,FALSE)</f>
        <v>Cap Screws Hexagon</v>
      </c>
      <c r="U163" s="405"/>
      <c r="V163" s="405"/>
      <c r="W163" s="405"/>
      <c r="X163" s="405"/>
      <c r="Y163" s="405"/>
      <c r="Z163" s="405"/>
      <c r="AA163" s="405"/>
      <c r="AB163" s="405"/>
      <c r="AC163" s="405"/>
      <c r="AD163" s="405"/>
      <c r="AE163" s="405"/>
      <c r="AF163" s="405"/>
      <c r="AG163" s="405"/>
      <c r="AH163" s="405"/>
      <c r="AI163" s="405"/>
      <c r="AJ163" s="411"/>
      <c r="AK163" s="42"/>
      <c r="AL163" s="311">
        <f>ROUND(SUM(BK163:DF163)*(1+$BF$80),0)</f>
        <v>416</v>
      </c>
      <c r="AM163" s="311"/>
      <c r="AN163" s="311"/>
      <c r="AO163" s="311"/>
      <c r="AP163" s="43"/>
      <c r="AQ163" s="111"/>
      <c r="AR163" s="308" t="str">
        <f>VLOOKUP(G163,PL!$B$9:$BH$818,52,FALSE)</f>
        <v>SOL-59501</v>
      </c>
      <c r="AS163" s="309"/>
      <c r="AT163" s="309"/>
      <c r="AU163" s="309"/>
      <c r="AV163" s="309"/>
      <c r="AW163" s="309"/>
      <c r="AX163" s="309"/>
      <c r="AY163" s="309"/>
      <c r="AZ163" s="309"/>
      <c r="BA163" s="309"/>
      <c r="BB163" s="309"/>
      <c r="BC163" s="309"/>
      <c r="BD163" s="309"/>
      <c r="BE163" s="309"/>
      <c r="BF163" s="309"/>
      <c r="BG163" s="309"/>
      <c r="BH163" s="124"/>
      <c r="BI163" s="41"/>
      <c r="BK163" s="412">
        <f>BK143</f>
        <v>400</v>
      </c>
      <c r="BL163" s="413"/>
      <c r="BM163" s="414"/>
      <c r="BN163" s="412">
        <f>BN143</f>
        <v>0</v>
      </c>
      <c r="BO163" s="413"/>
      <c r="BP163" s="414"/>
      <c r="BQ163" s="412">
        <f>BQ143</f>
        <v>0</v>
      </c>
      <c r="BR163" s="413"/>
      <c r="BS163" s="414"/>
      <c r="BT163" s="412">
        <f>BT143</f>
        <v>0</v>
      </c>
      <c r="BU163" s="413"/>
      <c r="BV163" s="414"/>
      <c r="BW163" s="412">
        <f>BW143</f>
        <v>0</v>
      </c>
      <c r="BX163" s="413"/>
      <c r="BY163" s="414"/>
      <c r="BZ163" s="412">
        <f>BZ143</f>
        <v>0</v>
      </c>
      <c r="CA163" s="413"/>
      <c r="CB163" s="414"/>
      <c r="CC163" s="412">
        <f>CC143</f>
        <v>0</v>
      </c>
      <c r="CD163" s="413"/>
      <c r="CE163" s="414"/>
      <c r="CF163" s="412">
        <f>CF143</f>
        <v>0</v>
      </c>
      <c r="CG163" s="413"/>
      <c r="CH163" s="414"/>
      <c r="CI163" s="412">
        <f>CI143</f>
        <v>0</v>
      </c>
      <c r="CJ163" s="413"/>
      <c r="CK163" s="414"/>
      <c r="CL163" s="412">
        <f>CL143</f>
        <v>0</v>
      </c>
      <c r="CM163" s="413"/>
      <c r="CN163" s="414"/>
      <c r="CO163" s="412">
        <f>CO143</f>
        <v>0</v>
      </c>
      <c r="CP163" s="413"/>
      <c r="CQ163" s="414"/>
      <c r="CR163" s="412">
        <f>CR143</f>
        <v>0</v>
      </c>
      <c r="CS163" s="413"/>
      <c r="CT163" s="414"/>
      <c r="CU163" s="412">
        <f>CU143</f>
        <v>0</v>
      </c>
      <c r="CV163" s="413"/>
      <c r="CW163" s="414"/>
      <c r="CX163" s="412">
        <f>CX143</f>
        <v>0</v>
      </c>
      <c r="CY163" s="413"/>
      <c r="CZ163" s="414"/>
      <c r="DA163" s="412">
        <f>DA143</f>
        <v>0</v>
      </c>
      <c r="DB163" s="413"/>
      <c r="DC163" s="414"/>
      <c r="DD163" s="412">
        <f>DD143</f>
        <v>0</v>
      </c>
      <c r="DE163" s="413"/>
      <c r="DF163" s="414"/>
      <c r="DH163" s="311"/>
      <c r="DI163" s="311"/>
      <c r="DJ163" s="311"/>
      <c r="DK163" s="311"/>
      <c r="DL163" s="321"/>
      <c r="DM163" s="321"/>
      <c r="DN163" s="321"/>
      <c r="DO163" s="321"/>
      <c r="DP163" s="321"/>
      <c r="DQ163" s="321"/>
      <c r="DR163" s="321"/>
      <c r="DS163" s="321"/>
    </row>
    <row r="164" spans="1:123" ht="7.4" customHeight="1" x14ac:dyDescent="0.5">
      <c r="A164" s="42"/>
      <c r="B164" s="42"/>
      <c r="C164" s="311"/>
      <c r="D164" s="311"/>
      <c r="E164" s="41"/>
      <c r="F164" s="42"/>
      <c r="G164" s="319"/>
      <c r="H164" s="319"/>
      <c r="I164" s="319"/>
      <c r="J164" s="319"/>
      <c r="K164" s="319"/>
      <c r="L164" s="319"/>
      <c r="M164" s="319"/>
      <c r="N164" s="319"/>
      <c r="O164" s="319"/>
      <c r="P164" s="319"/>
      <c r="Q164" s="319"/>
      <c r="R164" s="320"/>
      <c r="S164" s="42"/>
      <c r="T164" s="405"/>
      <c r="U164" s="405"/>
      <c r="V164" s="405"/>
      <c r="W164" s="405"/>
      <c r="X164" s="405"/>
      <c r="Y164" s="405"/>
      <c r="Z164" s="405"/>
      <c r="AA164" s="405"/>
      <c r="AB164" s="405"/>
      <c r="AC164" s="405"/>
      <c r="AD164" s="405"/>
      <c r="AE164" s="405"/>
      <c r="AF164" s="405"/>
      <c r="AG164" s="405"/>
      <c r="AH164" s="405"/>
      <c r="AI164" s="405"/>
      <c r="AJ164" s="411"/>
      <c r="AK164" s="42"/>
      <c r="AL164" s="311"/>
      <c r="AM164" s="311"/>
      <c r="AN164" s="311"/>
      <c r="AO164" s="311"/>
      <c r="AP164" s="43"/>
      <c r="AQ164" s="111"/>
      <c r="AR164" s="309"/>
      <c r="AS164" s="309"/>
      <c r="AT164" s="309"/>
      <c r="AU164" s="309"/>
      <c r="AV164" s="309"/>
      <c r="AW164" s="309"/>
      <c r="AX164" s="309"/>
      <c r="AY164" s="309"/>
      <c r="AZ164" s="309"/>
      <c r="BA164" s="309"/>
      <c r="BB164" s="309"/>
      <c r="BC164" s="309"/>
      <c r="BD164" s="309"/>
      <c r="BE164" s="309"/>
      <c r="BF164" s="309"/>
      <c r="BG164" s="309"/>
      <c r="BH164" s="124"/>
      <c r="BI164" s="41"/>
      <c r="BK164" s="412"/>
      <c r="BL164" s="413"/>
      <c r="BM164" s="414"/>
      <c r="BN164" s="412"/>
      <c r="BO164" s="413"/>
      <c r="BP164" s="414"/>
      <c r="BQ164" s="412"/>
      <c r="BR164" s="413"/>
      <c r="BS164" s="414"/>
      <c r="BT164" s="412"/>
      <c r="BU164" s="413"/>
      <c r="BV164" s="414"/>
      <c r="BW164" s="412"/>
      <c r="BX164" s="413"/>
      <c r="BY164" s="414"/>
      <c r="BZ164" s="412"/>
      <c r="CA164" s="413"/>
      <c r="CB164" s="414"/>
      <c r="CC164" s="412"/>
      <c r="CD164" s="413"/>
      <c r="CE164" s="414"/>
      <c r="CF164" s="412"/>
      <c r="CG164" s="413"/>
      <c r="CH164" s="414"/>
      <c r="CI164" s="412"/>
      <c r="CJ164" s="413"/>
      <c r="CK164" s="414"/>
      <c r="CL164" s="412"/>
      <c r="CM164" s="413"/>
      <c r="CN164" s="414"/>
      <c r="CO164" s="412"/>
      <c r="CP164" s="413"/>
      <c r="CQ164" s="414"/>
      <c r="CR164" s="412"/>
      <c r="CS164" s="413"/>
      <c r="CT164" s="414"/>
      <c r="CU164" s="412"/>
      <c r="CV164" s="413"/>
      <c r="CW164" s="414"/>
      <c r="CX164" s="412"/>
      <c r="CY164" s="413"/>
      <c r="CZ164" s="414"/>
      <c r="DA164" s="412"/>
      <c r="DB164" s="413"/>
      <c r="DC164" s="414"/>
      <c r="DD164" s="412"/>
      <c r="DE164" s="413"/>
      <c r="DF164" s="414"/>
      <c r="DH164" s="311"/>
      <c r="DI164" s="311"/>
      <c r="DJ164" s="311"/>
      <c r="DK164" s="311"/>
      <c r="DL164" s="321"/>
      <c r="DM164" s="321"/>
      <c r="DN164" s="321"/>
      <c r="DO164" s="321"/>
      <c r="DP164" s="321"/>
      <c r="DQ164" s="321"/>
      <c r="DR164" s="321"/>
      <c r="DS164" s="321"/>
    </row>
    <row r="165" spans="1:123" ht="7.4" customHeight="1" x14ac:dyDescent="0.5">
      <c r="A165" s="42"/>
      <c r="B165" s="42"/>
      <c r="C165" s="333"/>
      <c r="D165" s="333"/>
      <c r="E165" s="41"/>
      <c r="F165" s="42"/>
      <c r="G165" s="56"/>
      <c r="H165" s="56"/>
      <c r="I165" s="56"/>
      <c r="J165" s="56"/>
      <c r="K165" s="56"/>
      <c r="L165" s="56"/>
      <c r="M165" s="56"/>
      <c r="N165" s="56"/>
      <c r="O165" s="56"/>
      <c r="P165" s="56"/>
      <c r="Q165" s="56"/>
      <c r="R165" s="126"/>
      <c r="S165" s="42"/>
      <c r="T165" s="116" t="str">
        <f>VLOOKUP(G163,PL!$B$9:$BH$1265,33,FALSE)</f>
        <v>Stainless Steel, M8x25</v>
      </c>
      <c r="AJ165" s="41"/>
      <c r="AK165" s="42"/>
      <c r="AL165" s="311"/>
      <c r="AM165" s="311"/>
      <c r="AN165" s="311"/>
      <c r="AO165" s="311"/>
      <c r="AP165" s="43"/>
      <c r="AQ165" s="42"/>
      <c r="AR165" s="119"/>
      <c r="AS165" s="119"/>
      <c r="AT165" s="119"/>
      <c r="AU165" s="119"/>
      <c r="AV165" s="119"/>
      <c r="AW165" s="119"/>
      <c r="AX165" s="105"/>
      <c r="AZ165" s="119"/>
      <c r="BA165" s="119"/>
      <c r="BB165" s="119"/>
      <c r="BC165" s="119"/>
      <c r="BD165" s="119"/>
      <c r="BE165" s="119"/>
      <c r="BF165" s="119"/>
      <c r="BG165" s="119"/>
      <c r="BH165" s="124"/>
      <c r="BI165" s="41"/>
      <c r="BK165" s="194"/>
      <c r="BL165" s="123"/>
      <c r="BM165" s="195"/>
      <c r="BN165" s="194"/>
      <c r="BO165" s="123"/>
      <c r="BP165" s="195"/>
      <c r="BQ165" s="194"/>
      <c r="BR165" s="123"/>
      <c r="BS165" s="195"/>
      <c r="BT165" s="194"/>
      <c r="BU165" s="123"/>
      <c r="BV165" s="195"/>
      <c r="BW165" s="194"/>
      <c r="BX165" s="123"/>
      <c r="BY165" s="195"/>
      <c r="BZ165" s="194"/>
      <c r="CA165" s="123"/>
      <c r="CB165" s="195"/>
      <c r="CC165" s="194"/>
      <c r="CD165" s="123"/>
      <c r="CE165" s="195"/>
      <c r="CF165" s="194"/>
      <c r="CG165" s="123"/>
      <c r="CH165" s="195"/>
      <c r="CI165" s="194"/>
      <c r="CJ165" s="123"/>
      <c r="CK165" s="195"/>
      <c r="CL165" s="194"/>
      <c r="CM165" s="123"/>
      <c r="CN165" s="195"/>
      <c r="CO165" s="194"/>
      <c r="CP165" s="123"/>
      <c r="CQ165" s="195"/>
      <c r="CR165" s="194"/>
      <c r="CS165" s="123"/>
      <c r="CT165" s="195"/>
      <c r="CU165" s="194"/>
      <c r="CV165" s="123"/>
      <c r="CW165" s="195"/>
      <c r="CX165" s="194"/>
      <c r="CY165" s="123"/>
      <c r="CZ165" s="195"/>
      <c r="DA165" s="194"/>
      <c r="DB165" s="123"/>
      <c r="DC165" s="195"/>
      <c r="DD165" s="194"/>
      <c r="DE165" s="123"/>
      <c r="DF165" s="195"/>
      <c r="DH165" s="311"/>
      <c r="DI165" s="311"/>
      <c r="DJ165" s="311"/>
      <c r="DK165" s="311"/>
      <c r="DL165" s="321"/>
      <c r="DM165" s="321"/>
      <c r="DN165" s="321"/>
      <c r="DO165" s="321"/>
      <c r="DP165" s="321"/>
      <c r="DQ165" s="321"/>
      <c r="DR165" s="321"/>
      <c r="DS165" s="321"/>
    </row>
    <row r="166" spans="1:123" ht="7.4" customHeight="1" x14ac:dyDescent="0.5">
      <c r="A166" s="42"/>
      <c r="B166" s="42"/>
      <c r="C166" s="333"/>
      <c r="D166" s="333"/>
      <c r="E166" s="41"/>
      <c r="F166" s="42"/>
      <c r="G166" s="56"/>
      <c r="H166" s="56"/>
      <c r="I166" s="56"/>
      <c r="J166" s="56"/>
      <c r="K166" s="56"/>
      <c r="L166" s="56"/>
      <c r="M166" s="56"/>
      <c r="N166" s="56"/>
      <c r="O166" s="56"/>
      <c r="P166" s="56"/>
      <c r="Q166" s="56"/>
      <c r="R166" s="126"/>
      <c r="S166" s="42"/>
      <c r="AJ166" s="41"/>
      <c r="AK166" s="42"/>
      <c r="AL166" s="311"/>
      <c r="AM166" s="311"/>
      <c r="AN166" s="311"/>
      <c r="AO166" s="311"/>
      <c r="AP166" s="43"/>
      <c r="AQ166" s="42"/>
      <c r="AR166" s="119"/>
      <c r="AS166" s="119"/>
      <c r="AT166" s="119"/>
      <c r="AU166" s="119"/>
      <c r="AV166" s="119"/>
      <c r="AW166" s="119"/>
      <c r="AX166" s="105"/>
      <c r="AZ166" s="119"/>
      <c r="BA166" s="119"/>
      <c r="BB166" s="119"/>
      <c r="BC166" s="119"/>
      <c r="BD166" s="119"/>
      <c r="BE166" s="119"/>
      <c r="BF166" s="119"/>
      <c r="BG166" s="119"/>
      <c r="BH166" s="124"/>
      <c r="BI166" s="41"/>
      <c r="BK166" s="194"/>
      <c r="BL166" s="123"/>
      <c r="BM166" s="195"/>
      <c r="BN166" s="194"/>
      <c r="BO166" s="123"/>
      <c r="BP166" s="195"/>
      <c r="BQ166" s="194"/>
      <c r="BR166" s="123"/>
      <c r="BS166" s="195"/>
      <c r="BT166" s="194"/>
      <c r="BU166" s="123"/>
      <c r="BV166" s="195"/>
      <c r="BW166" s="194"/>
      <c r="BX166" s="123"/>
      <c r="BY166" s="195"/>
      <c r="BZ166" s="194"/>
      <c r="CA166" s="123"/>
      <c r="CB166" s="195"/>
      <c r="CC166" s="194"/>
      <c r="CD166" s="123"/>
      <c r="CE166" s="195"/>
      <c r="CF166" s="194"/>
      <c r="CG166" s="123"/>
      <c r="CH166" s="195"/>
      <c r="CI166" s="194"/>
      <c r="CJ166" s="123"/>
      <c r="CK166" s="195"/>
      <c r="CL166" s="194"/>
      <c r="CM166" s="123"/>
      <c r="CN166" s="195"/>
      <c r="CO166" s="194"/>
      <c r="CP166" s="123"/>
      <c r="CQ166" s="195"/>
      <c r="CR166" s="194"/>
      <c r="CS166" s="123"/>
      <c r="CT166" s="195"/>
      <c r="CU166" s="194"/>
      <c r="CV166" s="123"/>
      <c r="CW166" s="195"/>
      <c r="CX166" s="194"/>
      <c r="CY166" s="123"/>
      <c r="CZ166" s="195"/>
      <c r="DA166" s="194"/>
      <c r="DB166" s="123"/>
      <c r="DC166" s="195"/>
      <c r="DD166" s="194"/>
      <c r="DE166" s="123"/>
      <c r="DF166" s="195"/>
      <c r="DH166" s="311"/>
      <c r="DI166" s="311"/>
      <c r="DJ166" s="311"/>
      <c r="DK166" s="311"/>
      <c r="DL166" s="321"/>
      <c r="DM166" s="321"/>
      <c r="DN166" s="321"/>
      <c r="DO166" s="321"/>
      <c r="DP166" s="321"/>
      <c r="DQ166" s="321"/>
      <c r="DR166" s="321"/>
      <c r="DS166" s="321"/>
    </row>
    <row r="167" spans="1:123" ht="7.4" customHeight="1" x14ac:dyDescent="0.5">
      <c r="A167" s="42"/>
      <c r="B167" s="42"/>
      <c r="C167" s="311">
        <f>C163+1</f>
        <v>13</v>
      </c>
      <c r="D167" s="311"/>
      <c r="E167" s="41"/>
      <c r="F167" s="42"/>
      <c r="G167" s="319" t="str">
        <f>IF(AL167=0,"N/A","AXE_CS_8_"&amp;$AM$45-5&amp;"_SS")</f>
        <v>N/A</v>
      </c>
      <c r="H167" s="319"/>
      <c r="I167" s="319"/>
      <c r="J167" s="319"/>
      <c r="K167" s="319"/>
      <c r="L167" s="319"/>
      <c r="M167" s="319"/>
      <c r="N167" s="319"/>
      <c r="O167" s="319"/>
      <c r="P167" s="319"/>
      <c r="Q167" s="319"/>
      <c r="R167" s="320"/>
      <c r="S167" s="42"/>
      <c r="T167" s="405" t="str">
        <f>VLOOKUP(G167,PL!$B$9:$BH$1265,14,FALSE)</f>
        <v>No Item</v>
      </c>
      <c r="U167" s="405"/>
      <c r="V167" s="405"/>
      <c r="W167" s="405"/>
      <c r="X167" s="405"/>
      <c r="Y167" s="405"/>
      <c r="Z167" s="405"/>
      <c r="AA167" s="405"/>
      <c r="AB167" s="405"/>
      <c r="AC167" s="405"/>
      <c r="AD167" s="405"/>
      <c r="AE167" s="405"/>
      <c r="AF167" s="405"/>
      <c r="AG167" s="405"/>
      <c r="AH167" s="405"/>
      <c r="AI167" s="405"/>
      <c r="AJ167" s="411"/>
      <c r="AK167" s="42"/>
      <c r="AL167" s="311">
        <f>ROUND(SUM(BK167:DF167)*(1+$BF$80),0)</f>
        <v>0</v>
      </c>
      <c r="AM167" s="311"/>
      <c r="AN167" s="311"/>
      <c r="AO167" s="311"/>
      <c r="AP167" s="43"/>
      <c r="AQ167" s="111"/>
      <c r="AR167" s="308" t="str">
        <f>VLOOKUP(G167,PL!$B$9:$BH$818,52,FALSE)</f>
        <v>-</v>
      </c>
      <c r="AS167" s="309"/>
      <c r="AT167" s="309"/>
      <c r="AU167" s="309"/>
      <c r="AV167" s="309"/>
      <c r="AW167" s="309"/>
      <c r="AX167" s="309"/>
      <c r="AY167" s="309"/>
      <c r="AZ167" s="309"/>
      <c r="BA167" s="309"/>
      <c r="BB167" s="309"/>
      <c r="BC167" s="309"/>
      <c r="BD167" s="309"/>
      <c r="BE167" s="309"/>
      <c r="BF167" s="309"/>
      <c r="BG167" s="309"/>
      <c r="BH167" s="124"/>
      <c r="BI167" s="41"/>
      <c r="BK167" s="412">
        <f>IF($AI$78="Included",0,BK135+BK139)</f>
        <v>0</v>
      </c>
      <c r="BL167" s="413"/>
      <c r="BM167" s="414"/>
      <c r="BN167" s="412">
        <f>IF($AI$78="Included",0,BN135+BN139)</f>
        <v>0</v>
      </c>
      <c r="BO167" s="413"/>
      <c r="BP167" s="414"/>
      <c r="BQ167" s="412">
        <f>IF($AI$78="Included",0,BQ135+BQ139)</f>
        <v>0</v>
      </c>
      <c r="BR167" s="413"/>
      <c r="BS167" s="414"/>
      <c r="BT167" s="412">
        <f>IF($AI$78="Included",0,BT135+BT139)</f>
        <v>0</v>
      </c>
      <c r="BU167" s="413"/>
      <c r="BV167" s="414"/>
      <c r="BW167" s="412">
        <f>IF($AI$78="Included",0,BW135+BW139)</f>
        <v>0</v>
      </c>
      <c r="BX167" s="413"/>
      <c r="BY167" s="414"/>
      <c r="BZ167" s="412">
        <f>IF($AI$78="Included",0,BZ135+BZ139)</f>
        <v>0</v>
      </c>
      <c r="CA167" s="413"/>
      <c r="CB167" s="414"/>
      <c r="CC167" s="412">
        <f>IF($AI$78="Included",0,CC135+CC139)</f>
        <v>0</v>
      </c>
      <c r="CD167" s="413"/>
      <c r="CE167" s="414"/>
      <c r="CF167" s="412">
        <f>IF($AI$78="Included",0,CF135+CF139)</f>
        <v>0</v>
      </c>
      <c r="CG167" s="413"/>
      <c r="CH167" s="414"/>
      <c r="CI167" s="412">
        <f>IF($AI$78="Included",0,CI135+CI139)</f>
        <v>0</v>
      </c>
      <c r="CJ167" s="413"/>
      <c r="CK167" s="414"/>
      <c r="CL167" s="412">
        <f>IF($AI$78="Included",0,CL135+CL139)</f>
        <v>0</v>
      </c>
      <c r="CM167" s="413"/>
      <c r="CN167" s="414"/>
      <c r="CO167" s="412">
        <f>IF($AI$78="Included",0,CO135+CO139)</f>
        <v>0</v>
      </c>
      <c r="CP167" s="413"/>
      <c r="CQ167" s="414"/>
      <c r="CR167" s="412">
        <f>IF($AI$78="Included",0,CR135+CR139)</f>
        <v>0</v>
      </c>
      <c r="CS167" s="413"/>
      <c r="CT167" s="414"/>
      <c r="CU167" s="412">
        <f>IF($AI$78="Included",0,CU135+CU139)</f>
        <v>0</v>
      </c>
      <c r="CV167" s="413"/>
      <c r="CW167" s="414"/>
      <c r="CX167" s="412">
        <f>IF($AI$78="Included",0,CX135+CX139)</f>
        <v>0</v>
      </c>
      <c r="CY167" s="413"/>
      <c r="CZ167" s="414"/>
      <c r="DA167" s="412">
        <f>IF($AI$78="Included",0,DA135+DA139)</f>
        <v>0</v>
      </c>
      <c r="DB167" s="413"/>
      <c r="DC167" s="414"/>
      <c r="DD167" s="412">
        <f>IF($AI$78="Included",0,DD135+DD139)</f>
        <v>0</v>
      </c>
      <c r="DE167" s="413"/>
      <c r="DF167" s="414"/>
      <c r="DH167" s="311"/>
      <c r="DI167" s="311"/>
      <c r="DJ167" s="311"/>
      <c r="DK167" s="311"/>
      <c r="DL167" s="321"/>
      <c r="DM167" s="321"/>
      <c r="DN167" s="321"/>
      <c r="DO167" s="321"/>
      <c r="DP167" s="321"/>
      <c r="DQ167" s="321"/>
      <c r="DR167" s="321"/>
      <c r="DS167" s="321"/>
    </row>
    <row r="168" spans="1:123" ht="7.4" customHeight="1" x14ac:dyDescent="0.5">
      <c r="A168" s="42"/>
      <c r="B168" s="42"/>
      <c r="C168" s="311"/>
      <c r="D168" s="311"/>
      <c r="E168" s="41"/>
      <c r="F168" s="42"/>
      <c r="G168" s="319"/>
      <c r="H168" s="319"/>
      <c r="I168" s="319"/>
      <c r="J168" s="319"/>
      <c r="K168" s="319"/>
      <c r="L168" s="319"/>
      <c r="M168" s="319"/>
      <c r="N168" s="319"/>
      <c r="O168" s="319"/>
      <c r="P168" s="319"/>
      <c r="Q168" s="319"/>
      <c r="R168" s="320"/>
      <c r="S168" s="42"/>
      <c r="T168" s="405"/>
      <c r="U168" s="405"/>
      <c r="V168" s="405"/>
      <c r="W168" s="405"/>
      <c r="X168" s="405"/>
      <c r="Y168" s="405"/>
      <c r="Z168" s="405"/>
      <c r="AA168" s="405"/>
      <c r="AB168" s="405"/>
      <c r="AC168" s="405"/>
      <c r="AD168" s="405"/>
      <c r="AE168" s="405"/>
      <c r="AF168" s="405"/>
      <c r="AG168" s="405"/>
      <c r="AH168" s="405"/>
      <c r="AI168" s="405"/>
      <c r="AJ168" s="411"/>
      <c r="AK168" s="42"/>
      <c r="AL168" s="311"/>
      <c r="AM168" s="311"/>
      <c r="AN168" s="311"/>
      <c r="AO168" s="311"/>
      <c r="AP168" s="43"/>
      <c r="AQ168" s="111"/>
      <c r="AR168" s="309"/>
      <c r="AS168" s="309"/>
      <c r="AT168" s="309"/>
      <c r="AU168" s="309"/>
      <c r="AV168" s="309"/>
      <c r="AW168" s="309"/>
      <c r="AX168" s="309"/>
      <c r="AY168" s="309"/>
      <c r="AZ168" s="309"/>
      <c r="BA168" s="309"/>
      <c r="BB168" s="309"/>
      <c r="BC168" s="309"/>
      <c r="BD168" s="309"/>
      <c r="BE168" s="309"/>
      <c r="BF168" s="309"/>
      <c r="BG168" s="309"/>
      <c r="BH168" s="124"/>
      <c r="BI168" s="41"/>
      <c r="BK168" s="412"/>
      <c r="BL168" s="413"/>
      <c r="BM168" s="414"/>
      <c r="BN168" s="412"/>
      <c r="BO168" s="413"/>
      <c r="BP168" s="414"/>
      <c r="BQ168" s="412"/>
      <c r="BR168" s="413"/>
      <c r="BS168" s="414"/>
      <c r="BT168" s="412"/>
      <c r="BU168" s="413"/>
      <c r="BV168" s="414"/>
      <c r="BW168" s="412"/>
      <c r="BX168" s="413"/>
      <c r="BY168" s="414"/>
      <c r="BZ168" s="412"/>
      <c r="CA168" s="413"/>
      <c r="CB168" s="414"/>
      <c r="CC168" s="412"/>
      <c r="CD168" s="413"/>
      <c r="CE168" s="414"/>
      <c r="CF168" s="412"/>
      <c r="CG168" s="413"/>
      <c r="CH168" s="414"/>
      <c r="CI168" s="412"/>
      <c r="CJ168" s="413"/>
      <c r="CK168" s="414"/>
      <c r="CL168" s="412"/>
      <c r="CM168" s="413"/>
      <c r="CN168" s="414"/>
      <c r="CO168" s="412"/>
      <c r="CP168" s="413"/>
      <c r="CQ168" s="414"/>
      <c r="CR168" s="412"/>
      <c r="CS168" s="413"/>
      <c r="CT168" s="414"/>
      <c r="CU168" s="412"/>
      <c r="CV168" s="413"/>
      <c r="CW168" s="414"/>
      <c r="CX168" s="412"/>
      <c r="CY168" s="413"/>
      <c r="CZ168" s="414"/>
      <c r="DA168" s="412"/>
      <c r="DB168" s="413"/>
      <c r="DC168" s="414"/>
      <c r="DD168" s="412"/>
      <c r="DE168" s="413"/>
      <c r="DF168" s="414"/>
      <c r="DH168" s="311"/>
      <c r="DI168" s="311"/>
      <c r="DJ168" s="311"/>
      <c r="DK168" s="311"/>
      <c r="DL168" s="321"/>
      <c r="DM168" s="321"/>
      <c r="DN168" s="321"/>
      <c r="DO168" s="321"/>
      <c r="DP168" s="321"/>
      <c r="DQ168" s="321"/>
      <c r="DR168" s="321"/>
      <c r="DS168" s="321"/>
    </row>
    <row r="169" spans="1:123" ht="7.4" customHeight="1" x14ac:dyDescent="0.5">
      <c r="A169" s="42"/>
      <c r="B169" s="42"/>
      <c r="C169" s="333"/>
      <c r="D169" s="333"/>
      <c r="E169" s="41"/>
      <c r="F169" s="42"/>
      <c r="G169" s="56"/>
      <c r="H169" s="56"/>
      <c r="I169" s="56"/>
      <c r="J169" s="56"/>
      <c r="K169" s="56"/>
      <c r="L169" s="56"/>
      <c r="M169" s="56"/>
      <c r="N169" s="56"/>
      <c r="O169" s="56"/>
      <c r="P169" s="56"/>
      <c r="Q169" s="56"/>
      <c r="R169" s="126"/>
      <c r="S169" s="42"/>
      <c r="T169" s="116" t="str">
        <f>VLOOKUP(G167,PL!$B$9:$BH$1265,33,FALSE)</f>
        <v>.</v>
      </c>
      <c r="AJ169" s="41"/>
      <c r="AK169" s="42"/>
      <c r="AL169" s="311"/>
      <c r="AM169" s="311"/>
      <c r="AN169" s="311"/>
      <c r="AO169" s="311"/>
      <c r="AP169" s="43"/>
      <c r="AQ169" s="42"/>
      <c r="AR169" s="119"/>
      <c r="AS169" s="119"/>
      <c r="AT169" s="119"/>
      <c r="AU169" s="119"/>
      <c r="AV169" s="119"/>
      <c r="AW169" s="119"/>
      <c r="AX169" s="105"/>
      <c r="AZ169" s="119"/>
      <c r="BA169" s="119"/>
      <c r="BB169" s="119"/>
      <c r="BC169" s="119"/>
      <c r="BD169" s="119"/>
      <c r="BE169" s="119"/>
      <c r="BF169" s="119"/>
      <c r="BG169" s="119"/>
      <c r="BH169" s="124"/>
      <c r="BI169" s="41"/>
      <c r="BK169" s="194"/>
      <c r="BL169" s="123"/>
      <c r="BM169" s="195"/>
      <c r="BN169" s="194"/>
      <c r="BO169" s="123"/>
      <c r="BP169" s="195"/>
      <c r="BQ169" s="194"/>
      <c r="BR169" s="123"/>
      <c r="BS169" s="195"/>
      <c r="BT169" s="194"/>
      <c r="BU169" s="123"/>
      <c r="BV169" s="195"/>
      <c r="BW169" s="194"/>
      <c r="BX169" s="123"/>
      <c r="BY169" s="195"/>
      <c r="BZ169" s="194"/>
      <c r="CA169" s="123"/>
      <c r="CB169" s="195"/>
      <c r="CC169" s="194"/>
      <c r="CD169" s="123"/>
      <c r="CE169" s="195"/>
      <c r="CF169" s="194"/>
      <c r="CG169" s="123"/>
      <c r="CH169" s="195"/>
      <c r="CI169" s="194"/>
      <c r="CJ169" s="123"/>
      <c r="CK169" s="195"/>
      <c r="CL169" s="194"/>
      <c r="CM169" s="123"/>
      <c r="CN169" s="195"/>
      <c r="CO169" s="194"/>
      <c r="CP169" s="123"/>
      <c r="CQ169" s="195"/>
      <c r="CR169" s="194"/>
      <c r="CS169" s="123"/>
      <c r="CT169" s="195"/>
      <c r="CU169" s="194"/>
      <c r="CV169" s="123"/>
      <c r="CW169" s="195"/>
      <c r="CX169" s="194"/>
      <c r="CY169" s="123"/>
      <c r="CZ169" s="195"/>
      <c r="DA169" s="194"/>
      <c r="DB169" s="123"/>
      <c r="DC169" s="195"/>
      <c r="DD169" s="194"/>
      <c r="DE169" s="123"/>
      <c r="DF169" s="195"/>
      <c r="DH169" s="311"/>
      <c r="DI169" s="311"/>
      <c r="DJ169" s="311"/>
      <c r="DK169" s="311"/>
      <c r="DL169" s="321"/>
      <c r="DM169" s="321"/>
      <c r="DN169" s="321"/>
      <c r="DO169" s="321"/>
      <c r="DP169" s="321"/>
      <c r="DQ169" s="321"/>
      <c r="DR169" s="321"/>
      <c r="DS169" s="321"/>
    </row>
    <row r="170" spans="1:123" ht="7.4" customHeight="1" x14ac:dyDescent="0.5">
      <c r="A170" s="42"/>
      <c r="B170" s="42"/>
      <c r="C170" s="333"/>
      <c r="D170" s="333"/>
      <c r="E170" s="41"/>
      <c r="F170" s="42"/>
      <c r="G170" s="56"/>
      <c r="H170" s="56"/>
      <c r="I170" s="56"/>
      <c r="J170" s="56"/>
      <c r="K170" s="56"/>
      <c r="L170" s="56"/>
      <c r="M170" s="56"/>
      <c r="N170" s="56"/>
      <c r="O170" s="56"/>
      <c r="P170" s="56"/>
      <c r="Q170" s="56"/>
      <c r="R170" s="126"/>
      <c r="S170" s="42"/>
      <c r="AJ170" s="41"/>
      <c r="AK170" s="42"/>
      <c r="AL170" s="311"/>
      <c r="AM170" s="311"/>
      <c r="AN170" s="311"/>
      <c r="AO170" s="311"/>
      <c r="AP170" s="43"/>
      <c r="AQ170" s="42"/>
      <c r="AR170" s="119"/>
      <c r="AS170" s="119"/>
      <c r="AT170" s="119"/>
      <c r="AU170" s="119"/>
      <c r="AV170" s="119"/>
      <c r="AW170" s="119"/>
      <c r="AX170" s="105"/>
      <c r="AZ170" s="119"/>
      <c r="BA170" s="119"/>
      <c r="BB170" s="119"/>
      <c r="BC170" s="119"/>
      <c r="BD170" s="119"/>
      <c r="BE170" s="119"/>
      <c r="BF170" s="119"/>
      <c r="BG170" s="119"/>
      <c r="BH170" s="124"/>
      <c r="BI170" s="41"/>
      <c r="BK170" s="194"/>
      <c r="BL170" s="123"/>
      <c r="BM170" s="195"/>
      <c r="BN170" s="194"/>
      <c r="BO170" s="123"/>
      <c r="BP170" s="195"/>
      <c r="BQ170" s="194"/>
      <c r="BR170" s="123"/>
      <c r="BS170" s="195"/>
      <c r="BT170" s="194"/>
      <c r="BU170" s="123"/>
      <c r="BV170" s="195"/>
      <c r="BW170" s="194"/>
      <c r="BX170" s="123"/>
      <c r="BY170" s="195"/>
      <c r="BZ170" s="194"/>
      <c r="CA170" s="123"/>
      <c r="CB170" s="195"/>
      <c r="CC170" s="194"/>
      <c r="CD170" s="123"/>
      <c r="CE170" s="195"/>
      <c r="CF170" s="194"/>
      <c r="CG170" s="123"/>
      <c r="CH170" s="195"/>
      <c r="CI170" s="194"/>
      <c r="CJ170" s="123"/>
      <c r="CK170" s="195"/>
      <c r="CL170" s="194"/>
      <c r="CM170" s="123"/>
      <c r="CN170" s="195"/>
      <c r="CO170" s="194"/>
      <c r="CP170" s="123"/>
      <c r="CQ170" s="195"/>
      <c r="CR170" s="194"/>
      <c r="CS170" s="123"/>
      <c r="CT170" s="195"/>
      <c r="CU170" s="194"/>
      <c r="CV170" s="123"/>
      <c r="CW170" s="195"/>
      <c r="CX170" s="194"/>
      <c r="CY170" s="123"/>
      <c r="CZ170" s="195"/>
      <c r="DA170" s="194"/>
      <c r="DB170" s="123"/>
      <c r="DC170" s="195"/>
      <c r="DD170" s="194"/>
      <c r="DE170" s="123"/>
      <c r="DF170" s="195"/>
      <c r="DH170" s="311"/>
      <c r="DI170" s="311"/>
      <c r="DJ170" s="311"/>
      <c r="DK170" s="311"/>
      <c r="DL170" s="321"/>
      <c r="DM170" s="321"/>
      <c r="DN170" s="321"/>
      <c r="DO170" s="321"/>
      <c r="DP170" s="321"/>
      <c r="DQ170" s="321"/>
      <c r="DR170" s="321"/>
      <c r="DS170" s="321"/>
    </row>
    <row r="171" spans="1:123" ht="7.4" customHeight="1" x14ac:dyDescent="0.5">
      <c r="A171" s="42"/>
      <c r="B171" s="42"/>
      <c r="C171" s="311">
        <f>C167+1</f>
        <v>14</v>
      </c>
      <c r="D171" s="311"/>
      <c r="E171" s="41"/>
      <c r="F171" s="42"/>
      <c r="G171" s="319" t="str">
        <f>IF(AL171=0,"N/A","AXE_WS_8"&amp;"_SS")</f>
        <v>AXE_WS_8_SS</v>
      </c>
      <c r="H171" s="319"/>
      <c r="I171" s="319"/>
      <c r="J171" s="319"/>
      <c r="K171" s="319"/>
      <c r="L171" s="319"/>
      <c r="M171" s="319"/>
      <c r="N171" s="319"/>
      <c r="O171" s="319"/>
      <c r="P171" s="319"/>
      <c r="Q171" s="319"/>
      <c r="R171" s="320"/>
      <c r="S171" s="42"/>
      <c r="T171" s="405" t="str">
        <f>VLOOKUP(G171,PL!$B$9:$BH$1265,14,FALSE)</f>
        <v>Spring Washer</v>
      </c>
      <c r="U171" s="405"/>
      <c r="V171" s="405"/>
      <c r="W171" s="405"/>
      <c r="X171" s="405"/>
      <c r="Y171" s="405"/>
      <c r="Z171" s="405"/>
      <c r="AA171" s="405"/>
      <c r="AB171" s="405"/>
      <c r="AC171" s="405"/>
      <c r="AD171" s="405"/>
      <c r="AE171" s="405"/>
      <c r="AF171" s="405"/>
      <c r="AG171" s="405"/>
      <c r="AH171" s="405"/>
      <c r="AI171" s="405"/>
      <c r="AJ171" s="411"/>
      <c r="AK171" s="42"/>
      <c r="AL171" s="311">
        <f>ROUND(SUM(BK171:DF171)*(1+$BF$80),0)</f>
        <v>416</v>
      </c>
      <c r="AM171" s="311"/>
      <c r="AN171" s="311"/>
      <c r="AO171" s="311"/>
      <c r="AP171" s="43"/>
      <c r="AQ171" s="111"/>
      <c r="AR171" s="308" t="str">
        <f>VLOOKUP(G171,PL!$B$9:$BH$818,52,FALSE)</f>
        <v>SOL-5951</v>
      </c>
      <c r="AS171" s="309"/>
      <c r="AT171" s="309"/>
      <c r="AU171" s="309"/>
      <c r="AV171" s="309"/>
      <c r="AW171" s="309"/>
      <c r="AX171" s="309"/>
      <c r="AY171" s="309"/>
      <c r="AZ171" s="309"/>
      <c r="BA171" s="309"/>
      <c r="BB171" s="309"/>
      <c r="BC171" s="309"/>
      <c r="BD171" s="309"/>
      <c r="BE171" s="309"/>
      <c r="BF171" s="309"/>
      <c r="BG171" s="309"/>
      <c r="BH171" s="124"/>
      <c r="BI171" s="41"/>
      <c r="BK171" s="412">
        <f>BK163+BK167+BK159</f>
        <v>400</v>
      </c>
      <c r="BL171" s="413"/>
      <c r="BM171" s="414"/>
      <c r="BN171" s="412">
        <f>BN163+BN167+BN159</f>
        <v>0</v>
      </c>
      <c r="BO171" s="413"/>
      <c r="BP171" s="414"/>
      <c r="BQ171" s="412">
        <f>BQ163+BQ167+BQ159</f>
        <v>0</v>
      </c>
      <c r="BR171" s="413"/>
      <c r="BS171" s="414"/>
      <c r="BT171" s="412">
        <f>BT163+BT167+BT159</f>
        <v>0</v>
      </c>
      <c r="BU171" s="413"/>
      <c r="BV171" s="414"/>
      <c r="BW171" s="412">
        <f>BW163+BW167+BW159</f>
        <v>0</v>
      </c>
      <c r="BX171" s="413"/>
      <c r="BY171" s="414"/>
      <c r="BZ171" s="412">
        <f>BZ163+BZ167+BZ159</f>
        <v>0</v>
      </c>
      <c r="CA171" s="413"/>
      <c r="CB171" s="414"/>
      <c r="CC171" s="412">
        <f>CC163+CC167+CC159</f>
        <v>0</v>
      </c>
      <c r="CD171" s="413"/>
      <c r="CE171" s="414"/>
      <c r="CF171" s="412">
        <f>CF163+CF167+CF159</f>
        <v>0</v>
      </c>
      <c r="CG171" s="413"/>
      <c r="CH171" s="414"/>
      <c r="CI171" s="412">
        <f>CI163+CI167+CI159</f>
        <v>0</v>
      </c>
      <c r="CJ171" s="413"/>
      <c r="CK171" s="414"/>
      <c r="CL171" s="412">
        <f>CL163+CL167+CL159</f>
        <v>0</v>
      </c>
      <c r="CM171" s="413"/>
      <c r="CN171" s="414"/>
      <c r="CO171" s="412">
        <f>CO163+CO167+CO159</f>
        <v>0</v>
      </c>
      <c r="CP171" s="413"/>
      <c r="CQ171" s="414"/>
      <c r="CR171" s="412">
        <f>CR163+CR167+CR159</f>
        <v>0</v>
      </c>
      <c r="CS171" s="413"/>
      <c r="CT171" s="414"/>
      <c r="CU171" s="412">
        <f>CU163+CU167+CU159</f>
        <v>0</v>
      </c>
      <c r="CV171" s="413"/>
      <c r="CW171" s="414"/>
      <c r="CX171" s="412">
        <f>CX163+CX167+CX159</f>
        <v>0</v>
      </c>
      <c r="CY171" s="413"/>
      <c r="CZ171" s="414"/>
      <c r="DA171" s="412">
        <f>DA163+DA167+DA159</f>
        <v>0</v>
      </c>
      <c r="DB171" s="413"/>
      <c r="DC171" s="414"/>
      <c r="DD171" s="412">
        <f>DD163+DD167+DD159</f>
        <v>0</v>
      </c>
      <c r="DE171" s="413"/>
      <c r="DF171" s="414"/>
      <c r="DH171" s="311"/>
      <c r="DI171" s="311"/>
      <c r="DJ171" s="311"/>
      <c r="DK171" s="311"/>
      <c r="DL171" s="321"/>
      <c r="DM171" s="321"/>
      <c r="DN171" s="321"/>
      <c r="DO171" s="321"/>
      <c r="DP171" s="321"/>
      <c r="DQ171" s="321"/>
      <c r="DR171" s="321"/>
      <c r="DS171" s="321"/>
    </row>
    <row r="172" spans="1:123" ht="7.4" customHeight="1" x14ac:dyDescent="0.5">
      <c r="A172" s="42"/>
      <c r="B172" s="42"/>
      <c r="C172" s="311"/>
      <c r="D172" s="311"/>
      <c r="E172" s="41"/>
      <c r="F172" s="42"/>
      <c r="G172" s="319"/>
      <c r="H172" s="319"/>
      <c r="I172" s="319"/>
      <c r="J172" s="319"/>
      <c r="K172" s="319"/>
      <c r="L172" s="319"/>
      <c r="M172" s="319"/>
      <c r="N172" s="319"/>
      <c r="O172" s="319"/>
      <c r="P172" s="319"/>
      <c r="Q172" s="319"/>
      <c r="R172" s="320"/>
      <c r="S172" s="42"/>
      <c r="T172" s="405"/>
      <c r="U172" s="405"/>
      <c r="V172" s="405"/>
      <c r="W172" s="405"/>
      <c r="X172" s="405"/>
      <c r="Y172" s="405"/>
      <c r="Z172" s="405"/>
      <c r="AA172" s="405"/>
      <c r="AB172" s="405"/>
      <c r="AC172" s="405"/>
      <c r="AD172" s="405"/>
      <c r="AE172" s="405"/>
      <c r="AF172" s="405"/>
      <c r="AG172" s="405"/>
      <c r="AH172" s="405"/>
      <c r="AI172" s="405"/>
      <c r="AJ172" s="411"/>
      <c r="AK172" s="42"/>
      <c r="AL172" s="311"/>
      <c r="AM172" s="311"/>
      <c r="AN172" s="311"/>
      <c r="AO172" s="311"/>
      <c r="AP172" s="43"/>
      <c r="AQ172" s="111"/>
      <c r="AR172" s="309"/>
      <c r="AS172" s="309"/>
      <c r="AT172" s="309"/>
      <c r="AU172" s="309"/>
      <c r="AV172" s="309"/>
      <c r="AW172" s="309"/>
      <c r="AX172" s="309"/>
      <c r="AY172" s="309"/>
      <c r="AZ172" s="309"/>
      <c r="BA172" s="309"/>
      <c r="BB172" s="309"/>
      <c r="BC172" s="309"/>
      <c r="BD172" s="309"/>
      <c r="BE172" s="309"/>
      <c r="BF172" s="309"/>
      <c r="BG172" s="309"/>
      <c r="BH172" s="124"/>
      <c r="BI172" s="41"/>
      <c r="BK172" s="412"/>
      <c r="BL172" s="413"/>
      <c r="BM172" s="414"/>
      <c r="BN172" s="412"/>
      <c r="BO172" s="413"/>
      <c r="BP172" s="414"/>
      <c r="BQ172" s="412"/>
      <c r="BR172" s="413"/>
      <c r="BS172" s="414"/>
      <c r="BT172" s="412"/>
      <c r="BU172" s="413"/>
      <c r="BV172" s="414"/>
      <c r="BW172" s="412"/>
      <c r="BX172" s="413"/>
      <c r="BY172" s="414"/>
      <c r="BZ172" s="412"/>
      <c r="CA172" s="413"/>
      <c r="CB172" s="414"/>
      <c r="CC172" s="412"/>
      <c r="CD172" s="413"/>
      <c r="CE172" s="414"/>
      <c r="CF172" s="412"/>
      <c r="CG172" s="413"/>
      <c r="CH172" s="414"/>
      <c r="CI172" s="412"/>
      <c r="CJ172" s="413"/>
      <c r="CK172" s="414"/>
      <c r="CL172" s="412"/>
      <c r="CM172" s="413"/>
      <c r="CN172" s="414"/>
      <c r="CO172" s="412"/>
      <c r="CP172" s="413"/>
      <c r="CQ172" s="414"/>
      <c r="CR172" s="412"/>
      <c r="CS172" s="413"/>
      <c r="CT172" s="414"/>
      <c r="CU172" s="412"/>
      <c r="CV172" s="413"/>
      <c r="CW172" s="414"/>
      <c r="CX172" s="412"/>
      <c r="CY172" s="413"/>
      <c r="CZ172" s="414"/>
      <c r="DA172" s="412"/>
      <c r="DB172" s="413"/>
      <c r="DC172" s="414"/>
      <c r="DD172" s="412"/>
      <c r="DE172" s="413"/>
      <c r="DF172" s="414"/>
      <c r="DH172" s="311"/>
      <c r="DI172" s="311"/>
      <c r="DJ172" s="311"/>
      <c r="DK172" s="311"/>
      <c r="DL172" s="321"/>
      <c r="DM172" s="321"/>
      <c r="DN172" s="321"/>
      <c r="DO172" s="321"/>
      <c r="DP172" s="321"/>
      <c r="DQ172" s="321"/>
      <c r="DR172" s="321"/>
      <c r="DS172" s="321"/>
    </row>
    <row r="173" spans="1:123" ht="7.4" customHeight="1" x14ac:dyDescent="0.5">
      <c r="A173" s="42"/>
      <c r="B173" s="42"/>
      <c r="C173" s="333"/>
      <c r="D173" s="333"/>
      <c r="E173" s="41"/>
      <c r="F173" s="42"/>
      <c r="G173" s="56"/>
      <c r="H173" s="56"/>
      <c r="I173" s="56"/>
      <c r="J173" s="56"/>
      <c r="K173" s="56"/>
      <c r="L173" s="56"/>
      <c r="M173" s="56"/>
      <c r="N173" s="56"/>
      <c r="O173" s="56"/>
      <c r="P173" s="56"/>
      <c r="Q173" s="56"/>
      <c r="R173" s="126"/>
      <c r="S173" s="42"/>
      <c r="T173" s="116" t="str">
        <f>VLOOKUP(G171,PL!$B$9:$BH$1265,33,FALSE)</f>
        <v>Stainless Steel, M8</v>
      </c>
      <c r="AJ173" s="41"/>
      <c r="AK173" s="42"/>
      <c r="AL173" s="311"/>
      <c r="AM173" s="311"/>
      <c r="AN173" s="311"/>
      <c r="AO173" s="311"/>
      <c r="AP173" s="43"/>
      <c r="AQ173" s="42"/>
      <c r="AR173" s="119"/>
      <c r="AS173" s="119"/>
      <c r="AT173" s="119"/>
      <c r="AU173" s="119"/>
      <c r="AV173" s="119"/>
      <c r="AW173" s="119"/>
      <c r="AX173" s="105"/>
      <c r="AZ173" s="119"/>
      <c r="BA173" s="119"/>
      <c r="BB173" s="119"/>
      <c r="BC173" s="119"/>
      <c r="BD173" s="119"/>
      <c r="BE173" s="119"/>
      <c r="BF173" s="119"/>
      <c r="BG173" s="119"/>
      <c r="BH173" s="124"/>
      <c r="BI173" s="41"/>
      <c r="BK173" s="194"/>
      <c r="BL173" s="123"/>
      <c r="BM173" s="195"/>
      <c r="BN173" s="194"/>
      <c r="BO173" s="123"/>
      <c r="BP173" s="195"/>
      <c r="BQ173" s="194"/>
      <c r="BR173" s="123"/>
      <c r="BS173" s="195"/>
      <c r="BT173" s="194"/>
      <c r="BU173" s="123"/>
      <c r="BV173" s="195"/>
      <c r="BW173" s="194"/>
      <c r="BX173" s="123"/>
      <c r="BY173" s="195"/>
      <c r="BZ173" s="194"/>
      <c r="CA173" s="123"/>
      <c r="CB173" s="195"/>
      <c r="CC173" s="194"/>
      <c r="CD173" s="123"/>
      <c r="CE173" s="195"/>
      <c r="CF173" s="194"/>
      <c r="CG173" s="123"/>
      <c r="CH173" s="195"/>
      <c r="CI173" s="194"/>
      <c r="CJ173" s="123"/>
      <c r="CK173" s="195"/>
      <c r="CL173" s="194"/>
      <c r="CM173" s="123"/>
      <c r="CN173" s="195"/>
      <c r="CO173" s="194"/>
      <c r="CP173" s="123"/>
      <c r="CQ173" s="195"/>
      <c r="CR173" s="194"/>
      <c r="CS173" s="123"/>
      <c r="CT173" s="195"/>
      <c r="CU173" s="194"/>
      <c r="CV173" s="123"/>
      <c r="CW173" s="195"/>
      <c r="CX173" s="194"/>
      <c r="CY173" s="123"/>
      <c r="CZ173" s="195"/>
      <c r="DA173" s="194"/>
      <c r="DB173" s="123"/>
      <c r="DC173" s="195"/>
      <c r="DD173" s="194"/>
      <c r="DE173" s="123"/>
      <c r="DF173" s="195"/>
      <c r="DH173" s="311"/>
      <c r="DI173" s="311"/>
      <c r="DJ173" s="311"/>
      <c r="DK173" s="311"/>
      <c r="DL173" s="321"/>
      <c r="DM173" s="321"/>
      <c r="DN173" s="321"/>
      <c r="DO173" s="321"/>
      <c r="DP173" s="321"/>
      <c r="DQ173" s="321"/>
      <c r="DR173" s="321"/>
      <c r="DS173" s="321"/>
    </row>
    <row r="174" spans="1:123" ht="7.4" customHeight="1" x14ac:dyDescent="0.5">
      <c r="A174" s="42"/>
      <c r="B174" s="42"/>
      <c r="C174" s="333"/>
      <c r="D174" s="333"/>
      <c r="E174" s="41"/>
      <c r="F174" s="42"/>
      <c r="G174" s="56"/>
      <c r="H174" s="56"/>
      <c r="I174" s="56"/>
      <c r="J174" s="56"/>
      <c r="K174" s="56"/>
      <c r="L174" s="56"/>
      <c r="M174" s="56"/>
      <c r="N174" s="56"/>
      <c r="O174" s="56"/>
      <c r="P174" s="56"/>
      <c r="Q174" s="56"/>
      <c r="R174" s="126"/>
      <c r="S174" s="42"/>
      <c r="AJ174" s="41"/>
      <c r="AK174" s="42"/>
      <c r="AL174" s="311"/>
      <c r="AM174" s="311"/>
      <c r="AN174" s="311"/>
      <c r="AO174" s="311"/>
      <c r="AP174" s="43"/>
      <c r="AQ174" s="42"/>
      <c r="AR174" s="119"/>
      <c r="AS174" s="119"/>
      <c r="AT174" s="119"/>
      <c r="AU174" s="119"/>
      <c r="AV174" s="119"/>
      <c r="AW174" s="119"/>
      <c r="AX174" s="105"/>
      <c r="AZ174" s="119"/>
      <c r="BA174" s="119"/>
      <c r="BB174" s="119"/>
      <c r="BC174" s="119"/>
      <c r="BD174" s="119"/>
      <c r="BE174" s="119"/>
      <c r="BF174" s="119"/>
      <c r="BG174" s="119"/>
      <c r="BH174" s="124"/>
      <c r="BI174" s="41"/>
      <c r="BK174" s="194"/>
      <c r="BL174" s="123"/>
      <c r="BM174" s="195"/>
      <c r="BN174" s="194"/>
      <c r="BO174" s="123"/>
      <c r="BP174" s="195"/>
      <c r="BQ174" s="194"/>
      <c r="BR174" s="123"/>
      <c r="BS174" s="195"/>
      <c r="BT174" s="194"/>
      <c r="BU174" s="123"/>
      <c r="BV174" s="195"/>
      <c r="BW174" s="194"/>
      <c r="BX174" s="123"/>
      <c r="BY174" s="195"/>
      <c r="BZ174" s="194"/>
      <c r="CA174" s="123"/>
      <c r="CB174" s="195"/>
      <c r="CC174" s="194"/>
      <c r="CD174" s="123"/>
      <c r="CE174" s="195"/>
      <c r="CF174" s="194"/>
      <c r="CG174" s="123"/>
      <c r="CH174" s="195"/>
      <c r="CI174" s="194"/>
      <c r="CJ174" s="123"/>
      <c r="CK174" s="195"/>
      <c r="CL174" s="194"/>
      <c r="CM174" s="123"/>
      <c r="CN174" s="195"/>
      <c r="CO174" s="194"/>
      <c r="CP174" s="123"/>
      <c r="CQ174" s="195"/>
      <c r="CR174" s="194"/>
      <c r="CS174" s="123"/>
      <c r="CT174" s="195"/>
      <c r="CU174" s="194"/>
      <c r="CV174" s="123"/>
      <c r="CW174" s="195"/>
      <c r="CX174" s="194"/>
      <c r="CY174" s="123"/>
      <c r="CZ174" s="195"/>
      <c r="DA174" s="194"/>
      <c r="DB174" s="123"/>
      <c r="DC174" s="195"/>
      <c r="DD174" s="194"/>
      <c r="DE174" s="123"/>
      <c r="DF174" s="195"/>
      <c r="DH174" s="311"/>
      <c r="DI174" s="311"/>
      <c r="DJ174" s="311"/>
      <c r="DK174" s="311"/>
      <c r="DL174" s="321"/>
      <c r="DM174" s="321"/>
      <c r="DN174" s="321"/>
      <c r="DO174" s="321"/>
      <c r="DP174" s="321"/>
      <c r="DQ174" s="321"/>
      <c r="DR174" s="321"/>
      <c r="DS174" s="321"/>
    </row>
    <row r="175" spans="1:123" ht="7.4" customHeight="1" x14ac:dyDescent="0.5">
      <c r="A175" s="42"/>
      <c r="B175" s="42"/>
      <c r="C175" s="311">
        <f>C171+1</f>
        <v>15</v>
      </c>
      <c r="D175" s="311"/>
      <c r="E175" s="41"/>
      <c r="F175" s="42"/>
      <c r="G175" s="319" t="str">
        <f>IF(AL175=0,"N/A","AXE_NHF_8_SS")</f>
        <v>AXE_NHF_8_SS</v>
      </c>
      <c r="H175" s="319"/>
      <c r="I175" s="319"/>
      <c r="J175" s="319"/>
      <c r="K175" s="319"/>
      <c r="L175" s="319"/>
      <c r="M175" s="319"/>
      <c r="N175" s="319"/>
      <c r="O175" s="319"/>
      <c r="P175" s="319"/>
      <c r="Q175" s="319"/>
      <c r="R175" s="320"/>
      <c r="S175" s="42"/>
      <c r="T175" s="405" t="str">
        <f>VLOOKUP(G175,PL!$B$9:$BH$1265,14,FALSE)</f>
        <v>Hex Flange Nut</v>
      </c>
      <c r="U175" s="405"/>
      <c r="V175" s="405"/>
      <c r="W175" s="405"/>
      <c r="X175" s="405"/>
      <c r="Y175" s="405"/>
      <c r="Z175" s="405"/>
      <c r="AA175" s="405"/>
      <c r="AB175" s="405"/>
      <c r="AC175" s="405"/>
      <c r="AD175" s="405"/>
      <c r="AE175" s="405"/>
      <c r="AF175" s="405"/>
      <c r="AG175" s="405"/>
      <c r="AH175" s="405"/>
      <c r="AI175" s="405"/>
      <c r="AJ175" s="411"/>
      <c r="AK175" s="42"/>
      <c r="AL175" s="311">
        <f>ROUND(SUM(BK175:DF175)*(1+$BF$80),0)</f>
        <v>416</v>
      </c>
      <c r="AM175" s="311"/>
      <c r="AN175" s="311"/>
      <c r="AO175" s="311"/>
      <c r="AP175" s="43"/>
      <c r="AQ175" s="111"/>
      <c r="AR175" s="308" t="str">
        <f>VLOOKUP(G175,PL!$B$9:$BH$818,52,FALSE)</f>
        <v>SOL-59530</v>
      </c>
      <c r="AS175" s="309"/>
      <c r="AT175" s="309"/>
      <c r="AU175" s="309"/>
      <c r="AV175" s="309"/>
      <c r="AW175" s="309"/>
      <c r="AX175" s="309"/>
      <c r="AY175" s="309"/>
      <c r="AZ175" s="309"/>
      <c r="BA175" s="309"/>
      <c r="BB175" s="309"/>
      <c r="BC175" s="309"/>
      <c r="BD175" s="309"/>
      <c r="BE175" s="309"/>
      <c r="BF175" s="309"/>
      <c r="BG175" s="309"/>
      <c r="BH175" s="124"/>
      <c r="BI175" s="41"/>
      <c r="BK175" s="412">
        <f>BK163</f>
        <v>400</v>
      </c>
      <c r="BL175" s="413"/>
      <c r="BM175" s="414"/>
      <c r="BN175" s="412">
        <f>BN163</f>
        <v>0</v>
      </c>
      <c r="BO175" s="413"/>
      <c r="BP175" s="414"/>
      <c r="BQ175" s="412">
        <f>BQ163</f>
        <v>0</v>
      </c>
      <c r="BR175" s="413"/>
      <c r="BS175" s="414"/>
      <c r="BT175" s="412">
        <f>BT163</f>
        <v>0</v>
      </c>
      <c r="BU175" s="413"/>
      <c r="BV175" s="414"/>
      <c r="BW175" s="412">
        <f>BW163</f>
        <v>0</v>
      </c>
      <c r="BX175" s="413"/>
      <c r="BY175" s="414"/>
      <c r="BZ175" s="412">
        <f>BZ163</f>
        <v>0</v>
      </c>
      <c r="CA175" s="413"/>
      <c r="CB175" s="414"/>
      <c r="CC175" s="412">
        <f>CC163</f>
        <v>0</v>
      </c>
      <c r="CD175" s="413"/>
      <c r="CE175" s="414"/>
      <c r="CF175" s="412">
        <f>CF163</f>
        <v>0</v>
      </c>
      <c r="CG175" s="413"/>
      <c r="CH175" s="414"/>
      <c r="CI175" s="412">
        <f>CI163</f>
        <v>0</v>
      </c>
      <c r="CJ175" s="413"/>
      <c r="CK175" s="414"/>
      <c r="CL175" s="412">
        <f>CL163</f>
        <v>0</v>
      </c>
      <c r="CM175" s="413"/>
      <c r="CN175" s="414"/>
      <c r="CO175" s="412">
        <f>CO163</f>
        <v>0</v>
      </c>
      <c r="CP175" s="413"/>
      <c r="CQ175" s="414"/>
      <c r="CR175" s="412">
        <f>CR163</f>
        <v>0</v>
      </c>
      <c r="CS175" s="413"/>
      <c r="CT175" s="414"/>
      <c r="CU175" s="412">
        <f>CU163</f>
        <v>0</v>
      </c>
      <c r="CV175" s="413"/>
      <c r="CW175" s="414"/>
      <c r="CX175" s="412">
        <f>CX163</f>
        <v>0</v>
      </c>
      <c r="CY175" s="413"/>
      <c r="CZ175" s="414"/>
      <c r="DA175" s="412">
        <f>DA163</f>
        <v>0</v>
      </c>
      <c r="DB175" s="413"/>
      <c r="DC175" s="414"/>
      <c r="DD175" s="412">
        <f>DD163</f>
        <v>0</v>
      </c>
      <c r="DE175" s="413"/>
      <c r="DF175" s="414"/>
      <c r="DH175" s="311"/>
      <c r="DI175" s="311"/>
      <c r="DJ175" s="311"/>
      <c r="DK175" s="311"/>
      <c r="DL175" s="321"/>
      <c r="DM175" s="321"/>
      <c r="DN175" s="321"/>
      <c r="DO175" s="321"/>
      <c r="DP175" s="321"/>
      <c r="DQ175" s="321"/>
      <c r="DR175" s="321"/>
      <c r="DS175" s="321"/>
    </row>
    <row r="176" spans="1:123" ht="7.4" customHeight="1" x14ac:dyDescent="0.5">
      <c r="A176" s="42"/>
      <c r="B176" s="42"/>
      <c r="C176" s="311"/>
      <c r="D176" s="311"/>
      <c r="E176" s="41"/>
      <c r="F176" s="42"/>
      <c r="G176" s="319"/>
      <c r="H176" s="319"/>
      <c r="I176" s="319"/>
      <c r="J176" s="319"/>
      <c r="K176" s="319"/>
      <c r="L176" s="319"/>
      <c r="M176" s="319"/>
      <c r="N176" s="319"/>
      <c r="O176" s="319"/>
      <c r="P176" s="319"/>
      <c r="Q176" s="319"/>
      <c r="R176" s="320"/>
      <c r="S176" s="42"/>
      <c r="T176" s="405"/>
      <c r="U176" s="405"/>
      <c r="V176" s="405"/>
      <c r="W176" s="405"/>
      <c r="X176" s="405"/>
      <c r="Y176" s="405"/>
      <c r="Z176" s="405"/>
      <c r="AA176" s="405"/>
      <c r="AB176" s="405"/>
      <c r="AC176" s="405"/>
      <c r="AD176" s="405"/>
      <c r="AE176" s="405"/>
      <c r="AF176" s="405"/>
      <c r="AG176" s="405"/>
      <c r="AH176" s="405"/>
      <c r="AI176" s="405"/>
      <c r="AJ176" s="411"/>
      <c r="AK176" s="42"/>
      <c r="AL176" s="311"/>
      <c r="AM176" s="311"/>
      <c r="AN176" s="311"/>
      <c r="AO176" s="311"/>
      <c r="AP176" s="43"/>
      <c r="AQ176" s="111"/>
      <c r="AR176" s="309"/>
      <c r="AS176" s="309"/>
      <c r="AT176" s="309"/>
      <c r="AU176" s="309"/>
      <c r="AV176" s="309"/>
      <c r="AW176" s="309"/>
      <c r="AX176" s="309"/>
      <c r="AY176" s="309"/>
      <c r="AZ176" s="309"/>
      <c r="BA176" s="309"/>
      <c r="BB176" s="309"/>
      <c r="BC176" s="309"/>
      <c r="BD176" s="309"/>
      <c r="BE176" s="309"/>
      <c r="BF176" s="309"/>
      <c r="BG176" s="309"/>
      <c r="BH176" s="124"/>
      <c r="BI176" s="41"/>
      <c r="BK176" s="412"/>
      <c r="BL176" s="413"/>
      <c r="BM176" s="414"/>
      <c r="BN176" s="412"/>
      <c r="BO176" s="413"/>
      <c r="BP176" s="414"/>
      <c r="BQ176" s="412"/>
      <c r="BR176" s="413"/>
      <c r="BS176" s="414"/>
      <c r="BT176" s="412"/>
      <c r="BU176" s="413"/>
      <c r="BV176" s="414"/>
      <c r="BW176" s="412"/>
      <c r="BX176" s="413"/>
      <c r="BY176" s="414"/>
      <c r="BZ176" s="412"/>
      <c r="CA176" s="413"/>
      <c r="CB176" s="414"/>
      <c r="CC176" s="412"/>
      <c r="CD176" s="413"/>
      <c r="CE176" s="414"/>
      <c r="CF176" s="412"/>
      <c r="CG176" s="413"/>
      <c r="CH176" s="414"/>
      <c r="CI176" s="412"/>
      <c r="CJ176" s="413"/>
      <c r="CK176" s="414"/>
      <c r="CL176" s="412"/>
      <c r="CM176" s="413"/>
      <c r="CN176" s="414"/>
      <c r="CO176" s="412"/>
      <c r="CP176" s="413"/>
      <c r="CQ176" s="414"/>
      <c r="CR176" s="412"/>
      <c r="CS176" s="413"/>
      <c r="CT176" s="414"/>
      <c r="CU176" s="412"/>
      <c r="CV176" s="413"/>
      <c r="CW176" s="414"/>
      <c r="CX176" s="412"/>
      <c r="CY176" s="413"/>
      <c r="CZ176" s="414"/>
      <c r="DA176" s="412"/>
      <c r="DB176" s="413"/>
      <c r="DC176" s="414"/>
      <c r="DD176" s="412"/>
      <c r="DE176" s="413"/>
      <c r="DF176" s="414"/>
      <c r="DH176" s="311"/>
      <c r="DI176" s="311"/>
      <c r="DJ176" s="311"/>
      <c r="DK176" s="311"/>
      <c r="DL176" s="321"/>
      <c r="DM176" s="321"/>
      <c r="DN176" s="321"/>
      <c r="DO176" s="321"/>
      <c r="DP176" s="321"/>
      <c r="DQ176" s="321"/>
      <c r="DR176" s="321"/>
      <c r="DS176" s="321"/>
    </row>
    <row r="177" spans="1:123" ht="7.4" customHeight="1" x14ac:dyDescent="0.5">
      <c r="A177" s="42"/>
      <c r="B177" s="42"/>
      <c r="C177" s="333"/>
      <c r="D177" s="333"/>
      <c r="E177" s="41"/>
      <c r="F177" s="42"/>
      <c r="G177" s="56"/>
      <c r="H177" s="56"/>
      <c r="I177" s="56"/>
      <c r="J177" s="56"/>
      <c r="K177" s="56"/>
      <c r="L177" s="56"/>
      <c r="M177" s="56"/>
      <c r="N177" s="56"/>
      <c r="O177" s="56"/>
      <c r="P177" s="56"/>
      <c r="Q177" s="56"/>
      <c r="R177" s="126"/>
      <c r="S177" s="42"/>
      <c r="T177" s="116" t="str">
        <f>VLOOKUP(G175,PL!$B$9:$BH$1265,33,FALSE)</f>
        <v>Stainless Steel, M8</v>
      </c>
      <c r="AJ177" s="41"/>
      <c r="AK177" s="42"/>
      <c r="AL177" s="311"/>
      <c r="AM177" s="311"/>
      <c r="AN177" s="311"/>
      <c r="AO177" s="311"/>
      <c r="AP177" s="43"/>
      <c r="AQ177" s="42"/>
      <c r="AR177" s="119"/>
      <c r="AS177" s="119"/>
      <c r="AT177" s="119"/>
      <c r="AU177" s="119"/>
      <c r="AV177" s="119"/>
      <c r="AW177" s="119"/>
      <c r="AX177" s="105"/>
      <c r="AZ177" s="119"/>
      <c r="BA177" s="119"/>
      <c r="BB177" s="119"/>
      <c r="BC177" s="119"/>
      <c r="BD177" s="119"/>
      <c r="BE177" s="119"/>
      <c r="BF177" s="119"/>
      <c r="BG177" s="119"/>
      <c r="BH177" s="124"/>
      <c r="BI177" s="41"/>
      <c r="BK177" s="194"/>
      <c r="BL177" s="123"/>
      <c r="BM177" s="195"/>
      <c r="BN177" s="194"/>
      <c r="BO177" s="123"/>
      <c r="BP177" s="195"/>
      <c r="BQ177" s="194"/>
      <c r="BR177" s="123"/>
      <c r="BS177" s="195"/>
      <c r="BT177" s="194"/>
      <c r="BU177" s="123"/>
      <c r="BV177" s="195"/>
      <c r="BW177" s="194"/>
      <c r="BX177" s="123"/>
      <c r="BY177" s="195"/>
      <c r="BZ177" s="194"/>
      <c r="CA177" s="123"/>
      <c r="CB177" s="195"/>
      <c r="CC177" s="194"/>
      <c r="CD177" s="123"/>
      <c r="CE177" s="195"/>
      <c r="CF177" s="194"/>
      <c r="CG177" s="123"/>
      <c r="CH177" s="195"/>
      <c r="CI177" s="194"/>
      <c r="CJ177" s="123"/>
      <c r="CK177" s="195"/>
      <c r="CL177" s="194"/>
      <c r="CM177" s="123"/>
      <c r="CN177" s="195"/>
      <c r="CO177" s="194"/>
      <c r="CP177" s="123"/>
      <c r="CQ177" s="195"/>
      <c r="CR177" s="194"/>
      <c r="CS177" s="123"/>
      <c r="CT177" s="195"/>
      <c r="CU177" s="194"/>
      <c r="CV177" s="123"/>
      <c r="CW177" s="195"/>
      <c r="CX177" s="194"/>
      <c r="CY177" s="123"/>
      <c r="CZ177" s="195"/>
      <c r="DA177" s="194"/>
      <c r="DB177" s="123"/>
      <c r="DC177" s="195"/>
      <c r="DD177" s="194"/>
      <c r="DE177" s="123"/>
      <c r="DF177" s="195"/>
      <c r="DH177" s="311"/>
      <c r="DI177" s="311"/>
      <c r="DJ177" s="311"/>
      <c r="DK177" s="311"/>
      <c r="DL177" s="321"/>
      <c r="DM177" s="321"/>
      <c r="DN177" s="321"/>
      <c r="DO177" s="321"/>
      <c r="DP177" s="321"/>
      <c r="DQ177" s="321"/>
      <c r="DR177" s="321"/>
      <c r="DS177" s="321"/>
    </row>
    <row r="178" spans="1:123" ht="7.4" customHeight="1" x14ac:dyDescent="0.5">
      <c r="A178" s="42"/>
      <c r="B178" s="42"/>
      <c r="C178" s="333"/>
      <c r="D178" s="333"/>
      <c r="E178" s="41"/>
      <c r="F178" s="42"/>
      <c r="G178" s="56"/>
      <c r="H178" s="56"/>
      <c r="I178" s="56"/>
      <c r="J178" s="56"/>
      <c r="K178" s="56"/>
      <c r="L178" s="56"/>
      <c r="M178" s="56"/>
      <c r="N178" s="56"/>
      <c r="O178" s="56"/>
      <c r="P178" s="56"/>
      <c r="Q178" s="56"/>
      <c r="R178" s="126"/>
      <c r="S178" s="42"/>
      <c r="AJ178" s="41"/>
      <c r="AK178" s="42"/>
      <c r="AL178" s="311"/>
      <c r="AM178" s="311"/>
      <c r="AN178" s="311"/>
      <c r="AO178" s="311"/>
      <c r="AP178" s="43"/>
      <c r="AQ178" s="42"/>
      <c r="AR178" s="119"/>
      <c r="AS178" s="119"/>
      <c r="AT178" s="119"/>
      <c r="AU178" s="119"/>
      <c r="AV178" s="119"/>
      <c r="AW178" s="119"/>
      <c r="AX178" s="105"/>
      <c r="AZ178" s="119"/>
      <c r="BA178" s="119"/>
      <c r="BB178" s="119"/>
      <c r="BC178" s="119"/>
      <c r="BD178" s="119"/>
      <c r="BE178" s="119"/>
      <c r="BF178" s="119"/>
      <c r="BG178" s="119"/>
      <c r="BH178" s="124"/>
      <c r="BI178" s="41"/>
      <c r="BK178" s="194"/>
      <c r="BL178" s="123"/>
      <c r="BM178" s="195"/>
      <c r="BN178" s="194"/>
      <c r="BO178" s="123"/>
      <c r="BP178" s="195"/>
      <c r="BQ178" s="194"/>
      <c r="BR178" s="123"/>
      <c r="BS178" s="195"/>
      <c r="BT178" s="194"/>
      <c r="BU178" s="123"/>
      <c r="BV178" s="195"/>
      <c r="BW178" s="194"/>
      <c r="BX178" s="123"/>
      <c r="BY178" s="195"/>
      <c r="BZ178" s="194"/>
      <c r="CA178" s="123"/>
      <c r="CB178" s="195"/>
      <c r="CC178" s="194"/>
      <c r="CD178" s="123"/>
      <c r="CE178" s="195"/>
      <c r="CF178" s="194"/>
      <c r="CG178" s="123"/>
      <c r="CH178" s="195"/>
      <c r="CI178" s="194"/>
      <c r="CJ178" s="123"/>
      <c r="CK178" s="195"/>
      <c r="CL178" s="194"/>
      <c r="CM178" s="123"/>
      <c r="CN178" s="195"/>
      <c r="CO178" s="194"/>
      <c r="CP178" s="123"/>
      <c r="CQ178" s="195"/>
      <c r="CR178" s="194"/>
      <c r="CS178" s="123"/>
      <c r="CT178" s="195"/>
      <c r="CU178" s="194"/>
      <c r="CV178" s="123"/>
      <c r="CW178" s="195"/>
      <c r="CX178" s="194"/>
      <c r="CY178" s="123"/>
      <c r="CZ178" s="195"/>
      <c r="DA178" s="194"/>
      <c r="DB178" s="123"/>
      <c r="DC178" s="195"/>
      <c r="DD178" s="194"/>
      <c r="DE178" s="123"/>
      <c r="DF178" s="195"/>
      <c r="DH178" s="311"/>
      <c r="DI178" s="311"/>
      <c r="DJ178" s="311"/>
      <c r="DK178" s="311"/>
      <c r="DL178" s="321"/>
      <c r="DM178" s="321"/>
      <c r="DN178" s="321"/>
      <c r="DO178" s="321"/>
      <c r="DP178" s="321"/>
      <c r="DQ178" s="321"/>
      <c r="DR178" s="321"/>
      <c r="DS178" s="321"/>
    </row>
    <row r="179" spans="1:123" ht="7.4" customHeight="1" x14ac:dyDescent="0.5">
      <c r="A179" s="42"/>
      <c r="B179" s="42"/>
      <c r="C179" s="311">
        <f>C175+1</f>
        <v>16</v>
      </c>
      <c r="D179" s="311"/>
      <c r="E179" s="41"/>
      <c r="F179" s="42"/>
      <c r="G179" s="319" t="str">
        <f>IF(AL179=0,"N/A","AXE_NSQ_8_SS")</f>
        <v>N/A</v>
      </c>
      <c r="H179" s="319"/>
      <c r="I179" s="319"/>
      <c r="J179" s="319"/>
      <c r="K179" s="319"/>
      <c r="L179" s="319"/>
      <c r="M179" s="319"/>
      <c r="N179" s="319"/>
      <c r="O179" s="319"/>
      <c r="P179" s="319"/>
      <c r="Q179" s="319"/>
      <c r="R179" s="320"/>
      <c r="S179" s="42"/>
      <c r="T179" s="405" t="str">
        <f>VLOOKUP(G179,PL!$B$9:$BH$1265,14,FALSE)</f>
        <v>No Item</v>
      </c>
      <c r="U179" s="405"/>
      <c r="V179" s="405"/>
      <c r="W179" s="405"/>
      <c r="X179" s="405"/>
      <c r="Y179" s="405"/>
      <c r="Z179" s="405"/>
      <c r="AA179" s="405"/>
      <c r="AB179" s="405"/>
      <c r="AC179" s="405"/>
      <c r="AD179" s="405"/>
      <c r="AE179" s="405"/>
      <c r="AF179" s="405"/>
      <c r="AG179" s="405"/>
      <c r="AH179" s="405"/>
      <c r="AI179" s="405"/>
      <c r="AJ179" s="411"/>
      <c r="AK179" s="42"/>
      <c r="AL179" s="311">
        <f>ROUND(SUM(BK179:DF179)*(1+$BF$80),0)</f>
        <v>0</v>
      </c>
      <c r="AM179" s="311"/>
      <c r="AN179" s="311"/>
      <c r="AO179" s="311"/>
      <c r="AP179" s="43"/>
      <c r="AQ179" s="111"/>
      <c r="AR179" s="308" t="str">
        <f>VLOOKUP(G179,PL!$B$9:$BH$818,52,FALSE)</f>
        <v>-</v>
      </c>
      <c r="AS179" s="309"/>
      <c r="AT179" s="309"/>
      <c r="AU179" s="309"/>
      <c r="AV179" s="309"/>
      <c r="AW179" s="309"/>
      <c r="AX179" s="309"/>
      <c r="AY179" s="309"/>
      <c r="AZ179" s="309"/>
      <c r="BA179" s="309"/>
      <c r="BB179" s="309"/>
      <c r="BC179" s="309"/>
      <c r="BD179" s="309"/>
      <c r="BE179" s="309"/>
      <c r="BF179" s="309"/>
      <c r="BG179" s="309"/>
      <c r="BH179" s="124"/>
      <c r="BI179" s="41"/>
      <c r="BK179" s="412">
        <f>BK167+BK159</f>
        <v>0</v>
      </c>
      <c r="BL179" s="413"/>
      <c r="BM179" s="414"/>
      <c r="BN179" s="412">
        <f>BN167+BN159</f>
        <v>0</v>
      </c>
      <c r="BO179" s="413"/>
      <c r="BP179" s="414"/>
      <c r="BQ179" s="412">
        <f>BQ167+BQ159</f>
        <v>0</v>
      </c>
      <c r="BR179" s="413"/>
      <c r="BS179" s="414"/>
      <c r="BT179" s="412">
        <f>BT167+BT159</f>
        <v>0</v>
      </c>
      <c r="BU179" s="413"/>
      <c r="BV179" s="414"/>
      <c r="BW179" s="412">
        <f>BW167+BW159</f>
        <v>0</v>
      </c>
      <c r="BX179" s="413"/>
      <c r="BY179" s="414"/>
      <c r="BZ179" s="412">
        <f>BZ167+BZ159</f>
        <v>0</v>
      </c>
      <c r="CA179" s="413"/>
      <c r="CB179" s="414"/>
      <c r="CC179" s="412">
        <f>CC167+CC159</f>
        <v>0</v>
      </c>
      <c r="CD179" s="413"/>
      <c r="CE179" s="414"/>
      <c r="CF179" s="412">
        <f>CF167+CF159</f>
        <v>0</v>
      </c>
      <c r="CG179" s="413"/>
      <c r="CH179" s="414"/>
      <c r="CI179" s="412">
        <f>CI167+CI159</f>
        <v>0</v>
      </c>
      <c r="CJ179" s="413"/>
      <c r="CK179" s="414"/>
      <c r="CL179" s="412">
        <f>CL167+CL159</f>
        <v>0</v>
      </c>
      <c r="CM179" s="413"/>
      <c r="CN179" s="414"/>
      <c r="CO179" s="412">
        <f>CO167+CO159</f>
        <v>0</v>
      </c>
      <c r="CP179" s="413"/>
      <c r="CQ179" s="414"/>
      <c r="CR179" s="412">
        <f>CR167+CR159</f>
        <v>0</v>
      </c>
      <c r="CS179" s="413"/>
      <c r="CT179" s="414"/>
      <c r="CU179" s="412">
        <f>CU167+CU159</f>
        <v>0</v>
      </c>
      <c r="CV179" s="413"/>
      <c r="CW179" s="414"/>
      <c r="CX179" s="412">
        <f>CX167+CX159</f>
        <v>0</v>
      </c>
      <c r="CY179" s="413"/>
      <c r="CZ179" s="414"/>
      <c r="DA179" s="412">
        <f>DA167+DA159</f>
        <v>0</v>
      </c>
      <c r="DB179" s="413"/>
      <c r="DC179" s="414"/>
      <c r="DD179" s="412">
        <f>DD167+DD159</f>
        <v>0</v>
      </c>
      <c r="DE179" s="413"/>
      <c r="DF179" s="414"/>
      <c r="DH179" s="311"/>
      <c r="DI179" s="311"/>
      <c r="DJ179" s="311"/>
      <c r="DK179" s="311"/>
      <c r="DL179" s="321"/>
      <c r="DM179" s="321"/>
      <c r="DN179" s="321"/>
      <c r="DO179" s="321"/>
      <c r="DP179" s="321"/>
      <c r="DQ179" s="321"/>
      <c r="DR179" s="321"/>
      <c r="DS179" s="321"/>
    </row>
    <row r="180" spans="1:123" ht="7.4" customHeight="1" x14ac:dyDescent="0.5">
      <c r="A180" s="42"/>
      <c r="B180" s="42"/>
      <c r="C180" s="311"/>
      <c r="D180" s="311"/>
      <c r="E180" s="41"/>
      <c r="F180" s="42"/>
      <c r="G180" s="319"/>
      <c r="H180" s="319"/>
      <c r="I180" s="319"/>
      <c r="J180" s="319"/>
      <c r="K180" s="319"/>
      <c r="L180" s="319"/>
      <c r="M180" s="319"/>
      <c r="N180" s="319"/>
      <c r="O180" s="319"/>
      <c r="P180" s="319"/>
      <c r="Q180" s="319"/>
      <c r="R180" s="320"/>
      <c r="S180" s="42"/>
      <c r="T180" s="405"/>
      <c r="U180" s="405"/>
      <c r="V180" s="405"/>
      <c r="W180" s="405"/>
      <c r="X180" s="405"/>
      <c r="Y180" s="405"/>
      <c r="Z180" s="405"/>
      <c r="AA180" s="405"/>
      <c r="AB180" s="405"/>
      <c r="AC180" s="405"/>
      <c r="AD180" s="405"/>
      <c r="AE180" s="405"/>
      <c r="AF180" s="405"/>
      <c r="AG180" s="405"/>
      <c r="AH180" s="405"/>
      <c r="AI180" s="405"/>
      <c r="AJ180" s="411"/>
      <c r="AK180" s="42"/>
      <c r="AL180" s="311"/>
      <c r="AM180" s="311"/>
      <c r="AN180" s="311"/>
      <c r="AO180" s="311"/>
      <c r="AP180" s="43"/>
      <c r="AQ180" s="111"/>
      <c r="AR180" s="309"/>
      <c r="AS180" s="309"/>
      <c r="AT180" s="309"/>
      <c r="AU180" s="309"/>
      <c r="AV180" s="309"/>
      <c r="AW180" s="309"/>
      <c r="AX180" s="309"/>
      <c r="AY180" s="309"/>
      <c r="AZ180" s="309"/>
      <c r="BA180" s="309"/>
      <c r="BB180" s="309"/>
      <c r="BC180" s="309"/>
      <c r="BD180" s="309"/>
      <c r="BE180" s="309"/>
      <c r="BF180" s="309"/>
      <c r="BG180" s="309"/>
      <c r="BH180" s="124"/>
      <c r="BI180" s="41"/>
      <c r="BK180" s="412"/>
      <c r="BL180" s="413"/>
      <c r="BM180" s="414"/>
      <c r="BN180" s="412"/>
      <c r="BO180" s="413"/>
      <c r="BP180" s="414"/>
      <c r="BQ180" s="412"/>
      <c r="BR180" s="413"/>
      <c r="BS180" s="414"/>
      <c r="BT180" s="412"/>
      <c r="BU180" s="413"/>
      <c r="BV180" s="414"/>
      <c r="BW180" s="412"/>
      <c r="BX180" s="413"/>
      <c r="BY180" s="414"/>
      <c r="BZ180" s="412"/>
      <c r="CA180" s="413"/>
      <c r="CB180" s="414"/>
      <c r="CC180" s="412"/>
      <c r="CD180" s="413"/>
      <c r="CE180" s="414"/>
      <c r="CF180" s="412"/>
      <c r="CG180" s="413"/>
      <c r="CH180" s="414"/>
      <c r="CI180" s="412"/>
      <c r="CJ180" s="413"/>
      <c r="CK180" s="414"/>
      <c r="CL180" s="412"/>
      <c r="CM180" s="413"/>
      <c r="CN180" s="414"/>
      <c r="CO180" s="412"/>
      <c r="CP180" s="413"/>
      <c r="CQ180" s="414"/>
      <c r="CR180" s="412"/>
      <c r="CS180" s="413"/>
      <c r="CT180" s="414"/>
      <c r="CU180" s="412"/>
      <c r="CV180" s="413"/>
      <c r="CW180" s="414"/>
      <c r="CX180" s="412"/>
      <c r="CY180" s="413"/>
      <c r="CZ180" s="414"/>
      <c r="DA180" s="412"/>
      <c r="DB180" s="413"/>
      <c r="DC180" s="414"/>
      <c r="DD180" s="412"/>
      <c r="DE180" s="413"/>
      <c r="DF180" s="414"/>
      <c r="DH180" s="311"/>
      <c r="DI180" s="311"/>
      <c r="DJ180" s="311"/>
      <c r="DK180" s="311"/>
      <c r="DL180" s="321"/>
      <c r="DM180" s="321"/>
      <c r="DN180" s="321"/>
      <c r="DO180" s="321"/>
      <c r="DP180" s="321"/>
      <c r="DQ180" s="321"/>
      <c r="DR180" s="321"/>
      <c r="DS180" s="321"/>
    </row>
    <row r="181" spans="1:123" ht="7.4" customHeight="1" x14ac:dyDescent="0.5">
      <c r="A181" s="42"/>
      <c r="B181" s="42"/>
      <c r="C181" s="333"/>
      <c r="D181" s="333"/>
      <c r="E181" s="41"/>
      <c r="F181" s="42"/>
      <c r="G181" s="56"/>
      <c r="H181" s="56"/>
      <c r="I181" s="56"/>
      <c r="J181" s="56"/>
      <c r="K181" s="56"/>
      <c r="L181" s="56"/>
      <c r="M181" s="56"/>
      <c r="N181" s="56"/>
      <c r="O181" s="56"/>
      <c r="P181" s="56"/>
      <c r="Q181" s="56"/>
      <c r="R181" s="126"/>
      <c r="S181" s="42"/>
      <c r="T181" s="116" t="str">
        <f>VLOOKUP(G179,PL!$B$9:$BH$1265,33,FALSE)</f>
        <v>.</v>
      </c>
      <c r="AJ181" s="41"/>
      <c r="AK181" s="42"/>
      <c r="AL181" s="311"/>
      <c r="AM181" s="311"/>
      <c r="AN181" s="311"/>
      <c r="AO181" s="311"/>
      <c r="AP181" s="43"/>
      <c r="AQ181" s="42"/>
      <c r="AR181" s="119"/>
      <c r="AS181" s="119"/>
      <c r="AT181" s="119"/>
      <c r="AU181" s="119"/>
      <c r="AV181" s="119"/>
      <c r="AW181" s="119"/>
      <c r="AX181" s="105"/>
      <c r="AZ181" s="119"/>
      <c r="BA181" s="119"/>
      <c r="BB181" s="119"/>
      <c r="BC181" s="119"/>
      <c r="BD181" s="119"/>
      <c r="BE181" s="119"/>
      <c r="BF181" s="119"/>
      <c r="BG181" s="119"/>
      <c r="BH181" s="124"/>
      <c r="BI181" s="41"/>
      <c r="BK181" s="194"/>
      <c r="BL181" s="123"/>
      <c r="BM181" s="195"/>
      <c r="BN181" s="194"/>
      <c r="BO181" s="123"/>
      <c r="BP181" s="195"/>
      <c r="BQ181" s="194"/>
      <c r="BR181" s="123"/>
      <c r="BS181" s="195"/>
      <c r="BT181" s="194"/>
      <c r="BU181" s="123"/>
      <c r="BV181" s="195"/>
      <c r="BW181" s="194"/>
      <c r="BX181" s="123"/>
      <c r="BY181" s="195"/>
      <c r="BZ181" s="194"/>
      <c r="CA181" s="123"/>
      <c r="CB181" s="195"/>
      <c r="CC181" s="194"/>
      <c r="CD181" s="123"/>
      <c r="CE181" s="195"/>
      <c r="CF181" s="194"/>
      <c r="CG181" s="123"/>
      <c r="CH181" s="195"/>
      <c r="CI181" s="194"/>
      <c r="CJ181" s="123"/>
      <c r="CK181" s="195"/>
      <c r="CL181" s="194"/>
      <c r="CM181" s="123"/>
      <c r="CN181" s="195"/>
      <c r="CO181" s="194"/>
      <c r="CP181" s="123"/>
      <c r="CQ181" s="195"/>
      <c r="CR181" s="194"/>
      <c r="CS181" s="123"/>
      <c r="CT181" s="195"/>
      <c r="CU181" s="194"/>
      <c r="CV181" s="123"/>
      <c r="CW181" s="195"/>
      <c r="CX181" s="194"/>
      <c r="CY181" s="123"/>
      <c r="CZ181" s="195"/>
      <c r="DA181" s="194"/>
      <c r="DB181" s="123"/>
      <c r="DC181" s="195"/>
      <c r="DD181" s="194"/>
      <c r="DE181" s="123"/>
      <c r="DF181" s="195"/>
      <c r="DH181" s="311"/>
      <c r="DI181" s="311"/>
      <c r="DJ181" s="311"/>
      <c r="DK181" s="311"/>
      <c r="DL181" s="321"/>
      <c r="DM181" s="321"/>
      <c r="DN181" s="321"/>
      <c r="DO181" s="321"/>
      <c r="DP181" s="321"/>
      <c r="DQ181" s="321"/>
      <c r="DR181" s="321"/>
      <c r="DS181" s="321"/>
    </row>
    <row r="182" spans="1:123" ht="7.4" customHeight="1" x14ac:dyDescent="0.5">
      <c r="A182" s="42"/>
      <c r="B182" s="42"/>
      <c r="C182" s="333"/>
      <c r="D182" s="333"/>
      <c r="E182" s="41"/>
      <c r="F182" s="42"/>
      <c r="G182" s="56"/>
      <c r="H182" s="56"/>
      <c r="I182" s="56"/>
      <c r="J182" s="56"/>
      <c r="K182" s="56"/>
      <c r="L182" s="56"/>
      <c r="M182" s="56"/>
      <c r="N182" s="56"/>
      <c r="O182" s="56"/>
      <c r="P182" s="56"/>
      <c r="Q182" s="56"/>
      <c r="R182" s="126"/>
      <c r="S182" s="42"/>
      <c r="AJ182" s="41"/>
      <c r="AK182" s="42"/>
      <c r="AL182" s="311"/>
      <c r="AM182" s="311"/>
      <c r="AN182" s="311"/>
      <c r="AO182" s="311"/>
      <c r="AP182" s="43"/>
      <c r="AQ182" s="42"/>
      <c r="AR182" s="119"/>
      <c r="AS182" s="119"/>
      <c r="AT182" s="119"/>
      <c r="AU182" s="119"/>
      <c r="AV182" s="119"/>
      <c r="AW182" s="119"/>
      <c r="AX182" s="105"/>
      <c r="AZ182" s="119"/>
      <c r="BA182" s="119"/>
      <c r="BB182" s="119"/>
      <c r="BC182" s="119"/>
      <c r="BD182" s="119"/>
      <c r="BE182" s="119"/>
      <c r="BF182" s="119"/>
      <c r="BG182" s="119"/>
      <c r="BH182" s="124"/>
      <c r="BI182" s="41"/>
      <c r="BK182" s="194"/>
      <c r="BL182" s="123"/>
      <c r="BM182" s="195"/>
      <c r="BN182" s="194"/>
      <c r="BO182" s="123"/>
      <c r="BP182" s="195"/>
      <c r="BQ182" s="194"/>
      <c r="BR182" s="123"/>
      <c r="BS182" s="195"/>
      <c r="BT182" s="194"/>
      <c r="BU182" s="123"/>
      <c r="BV182" s="195"/>
      <c r="BW182" s="194"/>
      <c r="BX182" s="123"/>
      <c r="BY182" s="195"/>
      <c r="BZ182" s="194"/>
      <c r="CA182" s="123"/>
      <c r="CB182" s="195"/>
      <c r="CC182" s="194"/>
      <c r="CD182" s="123"/>
      <c r="CE182" s="195"/>
      <c r="CF182" s="194"/>
      <c r="CG182" s="123"/>
      <c r="CH182" s="195"/>
      <c r="CI182" s="194"/>
      <c r="CJ182" s="123"/>
      <c r="CK182" s="195"/>
      <c r="CL182" s="194"/>
      <c r="CM182" s="123"/>
      <c r="CN182" s="195"/>
      <c r="CO182" s="194"/>
      <c r="CP182" s="123"/>
      <c r="CQ182" s="195"/>
      <c r="CR182" s="194"/>
      <c r="CS182" s="123"/>
      <c r="CT182" s="195"/>
      <c r="CU182" s="194"/>
      <c r="CV182" s="123"/>
      <c r="CW182" s="195"/>
      <c r="CX182" s="194"/>
      <c r="CY182" s="123"/>
      <c r="CZ182" s="195"/>
      <c r="DA182" s="194"/>
      <c r="DB182" s="123"/>
      <c r="DC182" s="195"/>
      <c r="DD182" s="194"/>
      <c r="DE182" s="123"/>
      <c r="DF182" s="195"/>
      <c r="DH182" s="311"/>
      <c r="DI182" s="311"/>
      <c r="DJ182" s="311"/>
      <c r="DK182" s="311"/>
      <c r="DL182" s="321"/>
      <c r="DM182" s="321"/>
      <c r="DN182" s="321"/>
      <c r="DO182" s="321"/>
      <c r="DP182" s="321"/>
      <c r="DQ182" s="321"/>
      <c r="DR182" s="321"/>
      <c r="DS182" s="321"/>
    </row>
    <row r="183" spans="1:123" ht="7.4" customHeight="1" x14ac:dyDescent="0.5">
      <c r="A183" s="42"/>
      <c r="B183" s="42"/>
      <c r="C183" s="311">
        <f>C179+1</f>
        <v>17</v>
      </c>
      <c r="D183" s="311"/>
      <c r="E183" s="41"/>
      <c r="F183" s="42"/>
      <c r="G183" s="319" t="str">
        <f>IF(AL183=0,"N/A","AXE_NST_8_PP")</f>
        <v>N/A</v>
      </c>
      <c r="H183" s="319"/>
      <c r="I183" s="319"/>
      <c r="J183" s="319"/>
      <c r="K183" s="319"/>
      <c r="L183" s="319"/>
      <c r="M183" s="319"/>
      <c r="N183" s="319"/>
      <c r="O183" s="319"/>
      <c r="P183" s="319"/>
      <c r="Q183" s="319"/>
      <c r="R183" s="320"/>
      <c r="S183" s="42"/>
      <c r="T183" s="405" t="str">
        <f>VLOOKUP(G183,PL!$B$9:$BH$1265,14,FALSE)</f>
        <v>No Item</v>
      </c>
      <c r="U183" s="405"/>
      <c r="V183" s="405"/>
      <c r="W183" s="405"/>
      <c r="X183" s="405"/>
      <c r="Y183" s="405"/>
      <c r="Z183" s="405"/>
      <c r="AA183" s="405"/>
      <c r="AB183" s="405"/>
      <c r="AC183" s="405"/>
      <c r="AD183" s="405"/>
      <c r="AE183" s="405"/>
      <c r="AF183" s="405"/>
      <c r="AG183" s="405"/>
      <c r="AH183" s="405"/>
      <c r="AI183" s="405"/>
      <c r="AJ183" s="411"/>
      <c r="AK183" s="42"/>
      <c r="AL183" s="311">
        <f>ROUND(SUM(BK183:DF183)*(1+$BF$80),0)</f>
        <v>0</v>
      </c>
      <c r="AM183" s="311"/>
      <c r="AN183" s="311"/>
      <c r="AO183" s="311"/>
      <c r="AP183" s="43"/>
      <c r="AQ183" s="111"/>
      <c r="AR183" s="308" t="str">
        <f>VLOOKUP(G183,PL!$B$9:$BH$818,52,FALSE)</f>
        <v>-</v>
      </c>
      <c r="AS183" s="309"/>
      <c r="AT183" s="309"/>
      <c r="AU183" s="309"/>
      <c r="AV183" s="309"/>
      <c r="AW183" s="309"/>
      <c r="AX183" s="309"/>
      <c r="AY183" s="309"/>
      <c r="AZ183" s="309"/>
      <c r="BA183" s="309"/>
      <c r="BB183" s="309"/>
      <c r="BC183" s="309"/>
      <c r="BD183" s="309"/>
      <c r="BE183" s="309"/>
      <c r="BF183" s="309"/>
      <c r="BG183" s="309"/>
      <c r="BH183" s="124"/>
      <c r="BI183" s="41"/>
      <c r="BK183" s="412">
        <f>BK179</f>
        <v>0</v>
      </c>
      <c r="BL183" s="413"/>
      <c r="BM183" s="414"/>
      <c r="BN183" s="412">
        <f>BN179</f>
        <v>0</v>
      </c>
      <c r="BO183" s="413"/>
      <c r="BP183" s="414"/>
      <c r="BQ183" s="412">
        <f>BQ179</f>
        <v>0</v>
      </c>
      <c r="BR183" s="413"/>
      <c r="BS183" s="414"/>
      <c r="BT183" s="412">
        <f>BT179</f>
        <v>0</v>
      </c>
      <c r="BU183" s="413"/>
      <c r="BV183" s="414"/>
      <c r="BW183" s="412">
        <f>BW179</f>
        <v>0</v>
      </c>
      <c r="BX183" s="413"/>
      <c r="BY183" s="414"/>
      <c r="BZ183" s="412">
        <f>BZ179</f>
        <v>0</v>
      </c>
      <c r="CA183" s="413"/>
      <c r="CB183" s="414"/>
      <c r="CC183" s="412">
        <f>CC179</f>
        <v>0</v>
      </c>
      <c r="CD183" s="413"/>
      <c r="CE183" s="414"/>
      <c r="CF183" s="412">
        <f>CF179</f>
        <v>0</v>
      </c>
      <c r="CG183" s="413"/>
      <c r="CH183" s="414"/>
      <c r="CI183" s="412">
        <f>CI179</f>
        <v>0</v>
      </c>
      <c r="CJ183" s="413"/>
      <c r="CK183" s="414"/>
      <c r="CL183" s="412">
        <f>CL179</f>
        <v>0</v>
      </c>
      <c r="CM183" s="413"/>
      <c r="CN183" s="414"/>
      <c r="CO183" s="412">
        <f>CO179</f>
        <v>0</v>
      </c>
      <c r="CP183" s="413"/>
      <c r="CQ183" s="414"/>
      <c r="CR183" s="412">
        <f>CR179</f>
        <v>0</v>
      </c>
      <c r="CS183" s="413"/>
      <c r="CT183" s="414"/>
      <c r="CU183" s="412">
        <f>CU179</f>
        <v>0</v>
      </c>
      <c r="CV183" s="413"/>
      <c r="CW183" s="414"/>
      <c r="CX183" s="412">
        <f>CX179</f>
        <v>0</v>
      </c>
      <c r="CY183" s="413"/>
      <c r="CZ183" s="414"/>
      <c r="DA183" s="412">
        <f>DA179</f>
        <v>0</v>
      </c>
      <c r="DB183" s="413"/>
      <c r="DC183" s="414"/>
      <c r="DD183" s="412">
        <f>DD179</f>
        <v>0</v>
      </c>
      <c r="DE183" s="413"/>
      <c r="DF183" s="414"/>
      <c r="DH183" s="311"/>
      <c r="DI183" s="311"/>
      <c r="DJ183" s="311"/>
      <c r="DK183" s="311"/>
      <c r="DL183" s="321"/>
      <c r="DM183" s="321"/>
      <c r="DN183" s="321"/>
      <c r="DO183" s="321"/>
      <c r="DP183" s="321"/>
      <c r="DQ183" s="321"/>
      <c r="DR183" s="321"/>
      <c r="DS183" s="321"/>
    </row>
    <row r="184" spans="1:123" ht="7.4" customHeight="1" x14ac:dyDescent="0.5">
      <c r="A184" s="42"/>
      <c r="B184" s="42"/>
      <c r="C184" s="311"/>
      <c r="D184" s="311"/>
      <c r="E184" s="41"/>
      <c r="F184" s="42"/>
      <c r="G184" s="319"/>
      <c r="H184" s="319"/>
      <c r="I184" s="319"/>
      <c r="J184" s="319"/>
      <c r="K184" s="319"/>
      <c r="L184" s="319"/>
      <c r="M184" s="319"/>
      <c r="N184" s="319"/>
      <c r="O184" s="319"/>
      <c r="P184" s="319"/>
      <c r="Q184" s="319"/>
      <c r="R184" s="320"/>
      <c r="S184" s="42"/>
      <c r="T184" s="405"/>
      <c r="U184" s="405"/>
      <c r="V184" s="405"/>
      <c r="W184" s="405"/>
      <c r="X184" s="405"/>
      <c r="Y184" s="405"/>
      <c r="Z184" s="405"/>
      <c r="AA184" s="405"/>
      <c r="AB184" s="405"/>
      <c r="AC184" s="405"/>
      <c r="AD184" s="405"/>
      <c r="AE184" s="405"/>
      <c r="AF184" s="405"/>
      <c r="AG184" s="405"/>
      <c r="AH184" s="405"/>
      <c r="AI184" s="405"/>
      <c r="AJ184" s="411"/>
      <c r="AK184" s="42"/>
      <c r="AL184" s="311"/>
      <c r="AM184" s="311"/>
      <c r="AN184" s="311"/>
      <c r="AO184" s="311"/>
      <c r="AP184" s="43"/>
      <c r="AQ184" s="111"/>
      <c r="AR184" s="309"/>
      <c r="AS184" s="309"/>
      <c r="AT184" s="309"/>
      <c r="AU184" s="309"/>
      <c r="AV184" s="309"/>
      <c r="AW184" s="309"/>
      <c r="AX184" s="309"/>
      <c r="AY184" s="309"/>
      <c r="AZ184" s="309"/>
      <c r="BA184" s="309"/>
      <c r="BB184" s="309"/>
      <c r="BC184" s="309"/>
      <c r="BD184" s="309"/>
      <c r="BE184" s="309"/>
      <c r="BF184" s="309"/>
      <c r="BG184" s="309"/>
      <c r="BH184" s="124"/>
      <c r="BI184" s="41"/>
      <c r="BK184" s="412"/>
      <c r="BL184" s="413"/>
      <c r="BM184" s="414"/>
      <c r="BN184" s="412"/>
      <c r="BO184" s="413"/>
      <c r="BP184" s="414"/>
      <c r="BQ184" s="412"/>
      <c r="BR184" s="413"/>
      <c r="BS184" s="414"/>
      <c r="BT184" s="412"/>
      <c r="BU184" s="413"/>
      <c r="BV184" s="414"/>
      <c r="BW184" s="412"/>
      <c r="BX184" s="413"/>
      <c r="BY184" s="414"/>
      <c r="BZ184" s="412"/>
      <c r="CA184" s="413"/>
      <c r="CB184" s="414"/>
      <c r="CC184" s="412"/>
      <c r="CD184" s="413"/>
      <c r="CE184" s="414"/>
      <c r="CF184" s="412"/>
      <c r="CG184" s="413"/>
      <c r="CH184" s="414"/>
      <c r="CI184" s="412"/>
      <c r="CJ184" s="413"/>
      <c r="CK184" s="414"/>
      <c r="CL184" s="412"/>
      <c r="CM184" s="413"/>
      <c r="CN184" s="414"/>
      <c r="CO184" s="412"/>
      <c r="CP184" s="413"/>
      <c r="CQ184" s="414"/>
      <c r="CR184" s="412"/>
      <c r="CS184" s="413"/>
      <c r="CT184" s="414"/>
      <c r="CU184" s="412"/>
      <c r="CV184" s="413"/>
      <c r="CW184" s="414"/>
      <c r="CX184" s="412"/>
      <c r="CY184" s="413"/>
      <c r="CZ184" s="414"/>
      <c r="DA184" s="412"/>
      <c r="DB184" s="413"/>
      <c r="DC184" s="414"/>
      <c r="DD184" s="412"/>
      <c r="DE184" s="413"/>
      <c r="DF184" s="414"/>
      <c r="DH184" s="311"/>
      <c r="DI184" s="311"/>
      <c r="DJ184" s="311"/>
      <c r="DK184" s="311"/>
      <c r="DL184" s="321"/>
      <c r="DM184" s="321"/>
      <c r="DN184" s="321"/>
      <c r="DO184" s="321"/>
      <c r="DP184" s="321"/>
      <c r="DQ184" s="321"/>
      <c r="DR184" s="321"/>
      <c r="DS184" s="321"/>
    </row>
    <row r="185" spans="1:123" ht="7.4" customHeight="1" x14ac:dyDescent="0.5">
      <c r="A185" s="42"/>
      <c r="B185" s="42"/>
      <c r="C185" s="333"/>
      <c r="D185" s="333"/>
      <c r="E185" s="41"/>
      <c r="F185" s="42"/>
      <c r="G185" s="56"/>
      <c r="H185" s="56"/>
      <c r="I185" s="56"/>
      <c r="J185" s="56"/>
      <c r="K185" s="56"/>
      <c r="L185" s="56"/>
      <c r="M185" s="56"/>
      <c r="N185" s="56"/>
      <c r="O185" s="56"/>
      <c r="P185" s="56"/>
      <c r="Q185" s="56"/>
      <c r="R185" s="126"/>
      <c r="S185" s="42"/>
      <c r="T185" s="116" t="str">
        <f>VLOOKUP(G183,PL!$B$9:$BH$1265,33,FALSE)</f>
        <v>.</v>
      </c>
      <c r="AJ185" s="41"/>
      <c r="AK185" s="42"/>
      <c r="AL185" s="311"/>
      <c r="AM185" s="311"/>
      <c r="AN185" s="311"/>
      <c r="AO185" s="311"/>
      <c r="AP185" s="43"/>
      <c r="AQ185" s="42"/>
      <c r="AR185" s="119"/>
      <c r="AS185" s="119"/>
      <c r="AT185" s="119"/>
      <c r="AU185" s="119"/>
      <c r="AV185" s="119"/>
      <c r="AW185" s="119"/>
      <c r="AX185" s="105"/>
      <c r="AZ185" s="119"/>
      <c r="BA185" s="119"/>
      <c r="BB185" s="119"/>
      <c r="BC185" s="119"/>
      <c r="BD185" s="119"/>
      <c r="BE185" s="119"/>
      <c r="BF185" s="119"/>
      <c r="BG185" s="119"/>
      <c r="BH185" s="124"/>
      <c r="BI185" s="41"/>
      <c r="BK185" s="194"/>
      <c r="BL185" s="123"/>
      <c r="BM185" s="195"/>
      <c r="BN185" s="194"/>
      <c r="BO185" s="123"/>
      <c r="BP185" s="195"/>
      <c r="BQ185" s="194"/>
      <c r="BR185" s="123"/>
      <c r="BS185" s="195"/>
      <c r="BT185" s="194"/>
      <c r="BU185" s="123"/>
      <c r="BV185" s="195"/>
      <c r="BW185" s="194"/>
      <c r="BX185" s="123"/>
      <c r="BY185" s="195"/>
      <c r="BZ185" s="194"/>
      <c r="CA185" s="123"/>
      <c r="CB185" s="195"/>
      <c r="CC185" s="194"/>
      <c r="CD185" s="123"/>
      <c r="CE185" s="195"/>
      <c r="CF185" s="194"/>
      <c r="CG185" s="123"/>
      <c r="CH185" s="195"/>
      <c r="CI185" s="194"/>
      <c r="CJ185" s="123"/>
      <c r="CK185" s="195"/>
      <c r="CL185" s="194"/>
      <c r="CM185" s="123"/>
      <c r="CN185" s="195"/>
      <c r="CO185" s="194"/>
      <c r="CP185" s="123"/>
      <c r="CQ185" s="195"/>
      <c r="CR185" s="194"/>
      <c r="CS185" s="123"/>
      <c r="CT185" s="195"/>
      <c r="CU185" s="194"/>
      <c r="CV185" s="123"/>
      <c r="CW185" s="195"/>
      <c r="CX185" s="194"/>
      <c r="CY185" s="123"/>
      <c r="CZ185" s="195"/>
      <c r="DA185" s="194"/>
      <c r="DB185" s="123"/>
      <c r="DC185" s="195"/>
      <c r="DD185" s="194"/>
      <c r="DE185" s="123"/>
      <c r="DF185" s="195"/>
      <c r="DH185" s="311"/>
      <c r="DI185" s="311"/>
      <c r="DJ185" s="311"/>
      <c r="DK185" s="311"/>
      <c r="DL185" s="321"/>
      <c r="DM185" s="321"/>
      <c r="DN185" s="321"/>
      <c r="DO185" s="321"/>
      <c r="DP185" s="321"/>
      <c r="DQ185" s="321"/>
      <c r="DR185" s="321"/>
      <c r="DS185" s="321"/>
    </row>
    <row r="186" spans="1:123" ht="7.5" customHeight="1" x14ac:dyDescent="0.5">
      <c r="A186" s="42"/>
      <c r="B186" s="42"/>
      <c r="C186" s="311"/>
      <c r="D186" s="311"/>
      <c r="E186" s="41"/>
      <c r="F186" s="42"/>
      <c r="G186" s="56"/>
      <c r="H186" s="56"/>
      <c r="I186" s="56"/>
      <c r="J186" s="56"/>
      <c r="K186" s="56"/>
      <c r="L186" s="56"/>
      <c r="M186" s="56"/>
      <c r="N186" s="56"/>
      <c r="O186" s="56"/>
      <c r="P186" s="56"/>
      <c r="Q186" s="56"/>
      <c r="R186" s="126"/>
      <c r="S186" s="42"/>
      <c r="AK186" s="42"/>
      <c r="AL186" s="311"/>
      <c r="AM186" s="311"/>
      <c r="AN186" s="311"/>
      <c r="AO186" s="311"/>
      <c r="AP186" s="43"/>
      <c r="AQ186" s="42"/>
      <c r="AR186" s="119"/>
      <c r="AS186" s="119"/>
      <c r="AT186" s="119"/>
      <c r="AU186" s="119"/>
      <c r="AV186" s="119"/>
      <c r="AW186" s="119"/>
      <c r="AX186" s="105"/>
      <c r="AZ186" s="119"/>
      <c r="BA186" s="119"/>
      <c r="BB186" s="119"/>
      <c r="BC186" s="119"/>
      <c r="BD186" s="119"/>
      <c r="BE186" s="119"/>
      <c r="BF186" s="119"/>
      <c r="BG186" s="119"/>
      <c r="BH186" s="124"/>
      <c r="BI186" s="41"/>
      <c r="BK186" s="194"/>
      <c r="BL186" s="123"/>
      <c r="BM186" s="195"/>
      <c r="BN186" s="194"/>
      <c r="BO186" s="123"/>
      <c r="BP186" s="195"/>
      <c r="BQ186" s="194"/>
      <c r="BR186" s="123"/>
      <c r="BS186" s="195"/>
      <c r="BT186" s="194"/>
      <c r="BU186" s="123"/>
      <c r="BV186" s="195"/>
      <c r="BW186" s="194"/>
      <c r="BX186" s="123"/>
      <c r="BY186" s="195"/>
      <c r="BZ186" s="194"/>
      <c r="CA186" s="123"/>
      <c r="CB186" s="195"/>
      <c r="CC186" s="194"/>
      <c r="CD186" s="123"/>
      <c r="CE186" s="195"/>
      <c r="CF186" s="194"/>
      <c r="CG186" s="123"/>
      <c r="CH186" s="195"/>
      <c r="CI186" s="194"/>
      <c r="CJ186" s="123"/>
      <c r="CK186" s="195"/>
      <c r="CL186" s="194"/>
      <c r="CM186" s="123"/>
      <c r="CN186" s="195"/>
      <c r="CO186" s="194"/>
      <c r="CP186" s="123"/>
      <c r="CQ186" s="195"/>
      <c r="CR186" s="194"/>
      <c r="CS186" s="123"/>
      <c r="CT186" s="195"/>
      <c r="CU186" s="194"/>
      <c r="CV186" s="123"/>
      <c r="CW186" s="195"/>
      <c r="CX186" s="194"/>
      <c r="CY186" s="123"/>
      <c r="CZ186" s="195"/>
      <c r="DA186" s="194"/>
      <c r="DB186" s="123"/>
      <c r="DC186" s="195"/>
      <c r="DD186" s="194"/>
      <c r="DE186" s="123"/>
      <c r="DF186" s="195"/>
      <c r="DH186" s="311"/>
      <c r="DI186" s="311"/>
      <c r="DJ186" s="311"/>
      <c r="DK186" s="311"/>
      <c r="DL186" s="24"/>
    </row>
    <row r="187" spans="1:123" ht="7.4" customHeight="1" x14ac:dyDescent="0.5">
      <c r="A187" s="42"/>
      <c r="B187" s="42"/>
      <c r="C187" s="311">
        <f>C183+1</f>
        <v>18</v>
      </c>
      <c r="D187" s="311"/>
      <c r="E187" s="41"/>
      <c r="F187" s="42"/>
      <c r="G187" s="319" t="str">
        <f>IF(AL187=0,"N/A","AXE_ST_6.3_22_SC")</f>
        <v>AXE_ST_6.3_22_SC</v>
      </c>
      <c r="H187" s="319"/>
      <c r="I187" s="319"/>
      <c r="J187" s="319"/>
      <c r="K187" s="319"/>
      <c r="L187" s="319"/>
      <c r="M187" s="319"/>
      <c r="N187" s="319"/>
      <c r="O187" s="319"/>
      <c r="P187" s="319"/>
      <c r="Q187" s="319"/>
      <c r="R187" s="320"/>
      <c r="S187" s="42"/>
      <c r="T187" s="405" t="str">
        <f>VLOOKUP(G187,PL!$B$9:$BH$1265,14,FALSE)</f>
        <v>Self Drilling Tek Screw</v>
      </c>
      <c r="U187" s="405"/>
      <c r="V187" s="405"/>
      <c r="W187" s="405"/>
      <c r="X187" s="405"/>
      <c r="Y187" s="405"/>
      <c r="Z187" s="405"/>
      <c r="AA187" s="405"/>
      <c r="AB187" s="405"/>
      <c r="AC187" s="405"/>
      <c r="AD187" s="405"/>
      <c r="AE187" s="405"/>
      <c r="AF187" s="405"/>
      <c r="AG187" s="405"/>
      <c r="AH187" s="405"/>
      <c r="AI187" s="405"/>
      <c r="AJ187" s="411"/>
      <c r="AK187" s="42"/>
      <c r="AL187" s="311">
        <f>ROUND(SUM(BK187:DF187)*(1+$BF$80),0)</f>
        <v>1830</v>
      </c>
      <c r="AM187" s="311"/>
      <c r="AN187" s="311"/>
      <c r="AO187" s="311"/>
      <c r="AP187" s="43"/>
      <c r="AQ187" s="111"/>
      <c r="AR187" s="308" t="str">
        <f>VLOOKUP(G187,PL!$B$9:$BH$818,52,FALSE)</f>
        <v>SOL-5952</v>
      </c>
      <c r="AS187" s="309"/>
      <c r="AT187" s="309"/>
      <c r="AU187" s="309"/>
      <c r="AV187" s="309"/>
      <c r="AW187" s="309"/>
      <c r="AX187" s="309"/>
      <c r="AY187" s="309"/>
      <c r="AZ187" s="309"/>
      <c r="BA187" s="309"/>
      <c r="BB187" s="309"/>
      <c r="BC187" s="309"/>
      <c r="BD187" s="309"/>
      <c r="BE187" s="309"/>
      <c r="BF187" s="309"/>
      <c r="BG187" s="309"/>
      <c r="BH187" s="124"/>
      <c r="BI187" s="41"/>
      <c r="BK187" s="412">
        <f>IF(OR(MID($G$143,8,2)="IB",MID($G$143,8,2)="RS",MID($G$143,8,2)="CO"),BK143*4,
IF(MID($G$143,8,2)="RF",BK143*2,0))
+BK127*2</f>
        <v>1760</v>
      </c>
      <c r="BL187" s="413"/>
      <c r="BM187" s="414"/>
      <c r="BN187" s="412">
        <f t="shared" ref="BN187" si="8">IF(OR(MID($G$143,8,2)="IB",MID($G$143,8,2)="RS",MID($G$143,8,2)="CO"),BN143*4,
IF(MID($G$143,8,2)="RF",BN143*2,0))
+BN127*2</f>
        <v>0</v>
      </c>
      <c r="BO187" s="413"/>
      <c r="BP187" s="414"/>
      <c r="BQ187" s="412">
        <f t="shared" ref="BQ187" si="9">IF(OR(MID($G$143,8,2)="IB",MID($G$143,8,2)="RS",MID($G$143,8,2)="CO"),BQ143*4,
IF(MID($G$143,8,2)="RF",BQ143*2,0))
+BQ127*2</f>
        <v>0</v>
      </c>
      <c r="BR187" s="413"/>
      <c r="BS187" s="414"/>
      <c r="BT187" s="412">
        <f t="shared" ref="BT187" si="10">IF(OR(MID($G$143,8,2)="IB",MID($G$143,8,2)="RS",MID($G$143,8,2)="CO"),BT143*4,
IF(MID($G$143,8,2)="RF",BT143*2,0))
+BT127*2</f>
        <v>0</v>
      </c>
      <c r="BU187" s="413"/>
      <c r="BV187" s="414"/>
      <c r="BW187" s="412">
        <f t="shared" ref="BW187" si="11">IF(OR(MID($G$143,8,2)="IB",MID($G$143,8,2)="RS",MID($G$143,8,2)="CO"),BW143*4,
IF(MID($G$143,8,2)="RF",BW143*2,0))
+BW127*2</f>
        <v>0</v>
      </c>
      <c r="BX187" s="413"/>
      <c r="BY187" s="414"/>
      <c r="BZ187" s="412">
        <f t="shared" ref="BZ187" si="12">IF(OR(MID($G$143,8,2)="IB",MID($G$143,8,2)="RS",MID($G$143,8,2)="CO"),BZ143*4,
IF(MID($G$143,8,2)="RF",BZ143*2,0))
+BZ127*2</f>
        <v>0</v>
      </c>
      <c r="CA187" s="413"/>
      <c r="CB187" s="414"/>
      <c r="CC187" s="412">
        <f t="shared" ref="CC187" si="13">IF(OR(MID($G$143,8,2)="IB",MID($G$143,8,2)="RS",MID($G$143,8,2)="CO"),CC143*4,
IF(MID($G$143,8,2)="RF",CC143*2,0))
+CC127*2</f>
        <v>0</v>
      </c>
      <c r="CD187" s="413"/>
      <c r="CE187" s="414"/>
      <c r="CF187" s="412">
        <f t="shared" ref="CF187" si="14">IF(OR(MID($G$143,8,2)="IB",MID($G$143,8,2)="RS",MID($G$143,8,2)="CO"),CF143*4,
IF(MID($G$143,8,2)="RF",CF143*2,0))
+CF127*2</f>
        <v>0</v>
      </c>
      <c r="CG187" s="413"/>
      <c r="CH187" s="414"/>
      <c r="CI187" s="412">
        <f t="shared" ref="CI187" si="15">IF(OR(MID($G$143,8,2)="IB",MID($G$143,8,2)="RS",MID($G$143,8,2)="CO"),CI143*4,
IF(MID($G$143,8,2)="RF",CI143*2,0))
+CI127*2</f>
        <v>0</v>
      </c>
      <c r="CJ187" s="413"/>
      <c r="CK187" s="414"/>
      <c r="CL187" s="412">
        <f t="shared" ref="CL187" si="16">IF(OR(MID($G$143,8,2)="IB",MID($G$143,8,2)="RS",MID($G$143,8,2)="CO"),CL143*4,
IF(MID($G$143,8,2)="RF",CL143*2,0))
+CL127*2</f>
        <v>0</v>
      </c>
      <c r="CM187" s="413"/>
      <c r="CN187" s="414"/>
      <c r="CO187" s="412">
        <f t="shared" ref="CO187" si="17">IF(OR(MID($G$143,8,2)="IB",MID($G$143,8,2)="RS",MID($G$143,8,2)="CO"),CO143*4,
IF(MID($G$143,8,2)="RF",CO143*2,0))
+CO127*2</f>
        <v>0</v>
      </c>
      <c r="CP187" s="413"/>
      <c r="CQ187" s="414"/>
      <c r="CR187" s="412">
        <f t="shared" ref="CR187" si="18">IF(OR(MID($G$143,8,2)="IB",MID($G$143,8,2)="RS",MID($G$143,8,2)="CO"),CR143*4,
IF(MID($G$143,8,2)="RF",CR143*2,0))
+CR127*2</f>
        <v>0</v>
      </c>
      <c r="CS187" s="413"/>
      <c r="CT187" s="414"/>
      <c r="CU187" s="412">
        <f t="shared" ref="CU187" si="19">IF(OR(MID($G$143,8,2)="IB",MID($G$143,8,2)="RS",MID($G$143,8,2)="CO"),CU143*4,
IF(MID($G$143,8,2)="RF",CU143*2,0))
+CU127*2</f>
        <v>0</v>
      </c>
      <c r="CV187" s="413"/>
      <c r="CW187" s="414"/>
      <c r="CX187" s="412">
        <f t="shared" ref="CX187" si="20">IF(OR(MID($G$143,8,2)="IB",MID($G$143,8,2)="RS",MID($G$143,8,2)="CO"),CX143*4,
IF(MID($G$143,8,2)="RF",CX143*2,0))
+CX127*2</f>
        <v>0</v>
      </c>
      <c r="CY187" s="413"/>
      <c r="CZ187" s="414"/>
      <c r="DA187" s="412">
        <f t="shared" ref="DA187" si="21">IF(OR(MID($G$143,8,2)="IB",MID($G$143,8,2)="RS",MID($G$143,8,2)="CO"),DA143*4,
IF(MID($G$143,8,2)="RF",DA143*2,0))
+DA127*2</f>
        <v>0</v>
      </c>
      <c r="DB187" s="413"/>
      <c r="DC187" s="414"/>
      <c r="DD187" s="412">
        <f t="shared" ref="DD187" si="22">IF(OR(MID($G$143,8,2)="IB",MID($G$143,8,2)="RS",MID($G$143,8,2)="CO"),DD143*4,
IF(MID($G$143,8,2)="RF",DD143*2,0))
+DD127*2</f>
        <v>0</v>
      </c>
      <c r="DE187" s="413"/>
      <c r="DF187" s="414"/>
      <c r="DH187" s="311"/>
      <c r="DI187" s="311"/>
      <c r="DJ187" s="311"/>
      <c r="DK187" s="311"/>
      <c r="DL187" s="321"/>
      <c r="DM187" s="321"/>
      <c r="DN187" s="321"/>
      <c r="DO187" s="321"/>
      <c r="DP187" s="321"/>
      <c r="DQ187" s="321"/>
      <c r="DR187" s="321"/>
      <c r="DS187" s="321"/>
    </row>
    <row r="188" spans="1:123" ht="7.4" customHeight="1" x14ac:dyDescent="0.5">
      <c r="A188" s="42"/>
      <c r="B188" s="42"/>
      <c r="C188" s="311"/>
      <c r="D188" s="311"/>
      <c r="E188" s="41"/>
      <c r="F188" s="42"/>
      <c r="G188" s="319"/>
      <c r="H188" s="319"/>
      <c r="I188" s="319"/>
      <c r="J188" s="319"/>
      <c r="K188" s="319"/>
      <c r="L188" s="319"/>
      <c r="M188" s="319"/>
      <c r="N188" s="319"/>
      <c r="O188" s="319"/>
      <c r="P188" s="319"/>
      <c r="Q188" s="319"/>
      <c r="R188" s="320"/>
      <c r="S188" s="42"/>
      <c r="T188" s="405"/>
      <c r="U188" s="405"/>
      <c r="V188" s="405"/>
      <c r="W188" s="405"/>
      <c r="X188" s="405"/>
      <c r="Y188" s="405"/>
      <c r="Z188" s="405"/>
      <c r="AA188" s="405"/>
      <c r="AB188" s="405"/>
      <c r="AC188" s="405"/>
      <c r="AD188" s="405"/>
      <c r="AE188" s="405"/>
      <c r="AF188" s="405"/>
      <c r="AG188" s="405"/>
      <c r="AH188" s="405"/>
      <c r="AI188" s="405"/>
      <c r="AJ188" s="411"/>
      <c r="AK188" s="42"/>
      <c r="AL188" s="311"/>
      <c r="AM188" s="311"/>
      <c r="AN188" s="311"/>
      <c r="AO188" s="311"/>
      <c r="AP188" s="43"/>
      <c r="AQ188" s="111"/>
      <c r="AR188" s="309"/>
      <c r="AS188" s="309"/>
      <c r="AT188" s="309"/>
      <c r="AU188" s="309"/>
      <c r="AV188" s="309"/>
      <c r="AW188" s="309"/>
      <c r="AX188" s="309"/>
      <c r="AY188" s="309"/>
      <c r="AZ188" s="309"/>
      <c r="BA188" s="309"/>
      <c r="BB188" s="309"/>
      <c r="BC188" s="309"/>
      <c r="BD188" s="309"/>
      <c r="BE188" s="309"/>
      <c r="BF188" s="309"/>
      <c r="BG188" s="309"/>
      <c r="BH188" s="124"/>
      <c r="BI188" s="41"/>
      <c r="BK188" s="412"/>
      <c r="BL188" s="413"/>
      <c r="BM188" s="414"/>
      <c r="BN188" s="412"/>
      <c r="BO188" s="413"/>
      <c r="BP188" s="414"/>
      <c r="BQ188" s="412"/>
      <c r="BR188" s="413"/>
      <c r="BS188" s="414"/>
      <c r="BT188" s="412"/>
      <c r="BU188" s="413"/>
      <c r="BV188" s="414"/>
      <c r="BW188" s="412"/>
      <c r="BX188" s="413"/>
      <c r="BY188" s="414"/>
      <c r="BZ188" s="412"/>
      <c r="CA188" s="413"/>
      <c r="CB188" s="414"/>
      <c r="CC188" s="412"/>
      <c r="CD188" s="413"/>
      <c r="CE188" s="414"/>
      <c r="CF188" s="412"/>
      <c r="CG188" s="413"/>
      <c r="CH188" s="414"/>
      <c r="CI188" s="412"/>
      <c r="CJ188" s="413"/>
      <c r="CK188" s="414"/>
      <c r="CL188" s="412"/>
      <c r="CM188" s="413"/>
      <c r="CN188" s="414"/>
      <c r="CO188" s="412"/>
      <c r="CP188" s="413"/>
      <c r="CQ188" s="414"/>
      <c r="CR188" s="412"/>
      <c r="CS188" s="413"/>
      <c r="CT188" s="414"/>
      <c r="CU188" s="412"/>
      <c r="CV188" s="413"/>
      <c r="CW188" s="414"/>
      <c r="CX188" s="412"/>
      <c r="CY188" s="413"/>
      <c r="CZ188" s="414"/>
      <c r="DA188" s="412"/>
      <c r="DB188" s="413"/>
      <c r="DC188" s="414"/>
      <c r="DD188" s="412"/>
      <c r="DE188" s="413"/>
      <c r="DF188" s="414"/>
      <c r="DH188" s="311"/>
      <c r="DI188" s="311"/>
      <c r="DJ188" s="311"/>
      <c r="DK188" s="311"/>
      <c r="DL188" s="321"/>
      <c r="DM188" s="321"/>
      <c r="DN188" s="321"/>
      <c r="DO188" s="321"/>
      <c r="DP188" s="321"/>
      <c r="DQ188" s="321"/>
      <c r="DR188" s="321"/>
      <c r="DS188" s="321"/>
    </row>
    <row r="189" spans="1:123" ht="7.4" customHeight="1" x14ac:dyDescent="0.5">
      <c r="A189" s="42"/>
      <c r="B189" s="42"/>
      <c r="C189" s="55"/>
      <c r="D189" s="55"/>
      <c r="E189" s="41"/>
      <c r="F189" s="42"/>
      <c r="G189" s="56"/>
      <c r="H189" s="56"/>
      <c r="I189" s="56"/>
      <c r="J189" s="56"/>
      <c r="K189" s="56"/>
      <c r="L189" s="56"/>
      <c r="M189" s="56"/>
      <c r="N189" s="56"/>
      <c r="O189" s="56"/>
      <c r="P189" s="56"/>
      <c r="Q189" s="56"/>
      <c r="R189" s="126"/>
      <c r="S189" s="42"/>
      <c r="T189" s="116" t="str">
        <f>VLOOKUP(G187,PL!$B$9:$BH$1265,33,FALSE)</f>
        <v>Class4 Coated Steel, M6.3x22</v>
      </c>
      <c r="AJ189" s="41"/>
      <c r="AK189" s="42"/>
      <c r="AL189" s="311"/>
      <c r="AM189" s="311"/>
      <c r="AN189" s="311"/>
      <c r="AO189" s="311"/>
      <c r="AP189" s="43"/>
      <c r="AQ189" s="42"/>
      <c r="AR189" s="119"/>
      <c r="AS189" s="119"/>
      <c r="AT189" s="119"/>
      <c r="AU189" s="119"/>
      <c r="AV189" s="119"/>
      <c r="AW189" s="119"/>
      <c r="AX189" s="105"/>
      <c r="AZ189" s="119"/>
      <c r="BA189" s="119"/>
      <c r="BB189" s="119"/>
      <c r="BC189" s="119"/>
      <c r="BD189" s="119"/>
      <c r="BE189" s="119"/>
      <c r="BF189" s="119"/>
      <c r="BG189" s="119"/>
      <c r="BH189" s="124"/>
      <c r="BI189" s="41"/>
      <c r="BK189" s="194"/>
      <c r="BL189" s="123"/>
      <c r="BM189" s="195"/>
      <c r="BN189" s="194"/>
      <c r="BO189" s="123"/>
      <c r="BP189" s="195"/>
      <c r="BQ189" s="194"/>
      <c r="BR189" s="123"/>
      <c r="BS189" s="195"/>
      <c r="BT189" s="194"/>
      <c r="BU189" s="123"/>
      <c r="BV189" s="195"/>
      <c r="BW189" s="194"/>
      <c r="BX189" s="123"/>
      <c r="BY189" s="195"/>
      <c r="BZ189" s="194"/>
      <c r="CA189" s="123"/>
      <c r="CB189" s="195"/>
      <c r="CC189" s="194"/>
      <c r="CD189" s="123"/>
      <c r="CE189" s="195"/>
      <c r="CF189" s="194"/>
      <c r="CG189" s="123"/>
      <c r="CH189" s="195"/>
      <c r="CI189" s="194"/>
      <c r="CJ189" s="123"/>
      <c r="CK189" s="195"/>
      <c r="CL189" s="194"/>
      <c r="CM189" s="123"/>
      <c r="CN189" s="195"/>
      <c r="CO189" s="194"/>
      <c r="CP189" s="123"/>
      <c r="CQ189" s="195"/>
      <c r="CR189" s="194"/>
      <c r="CS189" s="123"/>
      <c r="CT189" s="195"/>
      <c r="CU189" s="194"/>
      <c r="CV189" s="123"/>
      <c r="CW189" s="195"/>
      <c r="CX189" s="194"/>
      <c r="CY189" s="123"/>
      <c r="CZ189" s="195"/>
      <c r="DA189" s="194"/>
      <c r="DB189" s="123"/>
      <c r="DC189" s="195"/>
      <c r="DD189" s="194"/>
      <c r="DE189" s="123"/>
      <c r="DF189" s="195"/>
      <c r="DH189" s="311"/>
      <c r="DI189" s="311"/>
      <c r="DJ189" s="311"/>
      <c r="DK189" s="311"/>
      <c r="DL189" s="321"/>
      <c r="DM189" s="321"/>
      <c r="DN189" s="321"/>
      <c r="DO189" s="321"/>
      <c r="DP189" s="321"/>
      <c r="DQ189" s="321"/>
      <c r="DR189" s="321"/>
      <c r="DS189" s="321"/>
    </row>
    <row r="190" spans="1:123" ht="7.4" customHeight="1" x14ac:dyDescent="0.5">
      <c r="A190" s="42"/>
      <c r="B190" s="42"/>
      <c r="C190" s="55"/>
      <c r="D190" s="55"/>
      <c r="E190" s="41"/>
      <c r="F190" s="42"/>
      <c r="G190" s="56"/>
      <c r="H190" s="56"/>
      <c r="I190" s="56"/>
      <c r="J190" s="56"/>
      <c r="K190" s="56"/>
      <c r="L190" s="56"/>
      <c r="M190" s="56"/>
      <c r="N190" s="56"/>
      <c r="O190" s="56"/>
      <c r="P190" s="56"/>
      <c r="Q190" s="56"/>
      <c r="R190" s="126"/>
      <c r="S190" s="42"/>
      <c r="AJ190" s="41"/>
      <c r="AK190" s="42"/>
      <c r="AL190" s="311"/>
      <c r="AM190" s="311"/>
      <c r="AN190" s="311"/>
      <c r="AO190" s="311"/>
      <c r="AP190" s="43"/>
      <c r="AQ190" s="42"/>
      <c r="AR190" s="119"/>
      <c r="AS190" s="119"/>
      <c r="AT190" s="119"/>
      <c r="AU190" s="119"/>
      <c r="AV190" s="119"/>
      <c r="AW190" s="119"/>
      <c r="AX190" s="105"/>
      <c r="AZ190" s="119"/>
      <c r="BA190" s="119"/>
      <c r="BB190" s="119"/>
      <c r="BC190" s="119"/>
      <c r="BD190" s="119"/>
      <c r="BE190" s="119"/>
      <c r="BF190" s="119"/>
      <c r="BG190" s="119"/>
      <c r="BH190" s="124"/>
      <c r="BI190" s="41"/>
      <c r="BK190" s="194"/>
      <c r="BL190" s="123"/>
      <c r="BM190" s="195"/>
      <c r="BN190" s="194"/>
      <c r="BO190" s="123"/>
      <c r="BP190" s="195"/>
      <c r="BQ190" s="194"/>
      <c r="BR190" s="123"/>
      <c r="BS190" s="195"/>
      <c r="BT190" s="194"/>
      <c r="BU190" s="123"/>
      <c r="BV190" s="195"/>
      <c r="BW190" s="194"/>
      <c r="BX190" s="123"/>
      <c r="BY190" s="195"/>
      <c r="BZ190" s="194"/>
      <c r="CA190" s="123"/>
      <c r="CB190" s="195"/>
      <c r="CC190" s="194"/>
      <c r="CD190" s="123"/>
      <c r="CE190" s="195"/>
      <c r="CF190" s="194"/>
      <c r="CG190" s="123"/>
      <c r="CH190" s="195"/>
      <c r="CI190" s="194"/>
      <c r="CJ190" s="123"/>
      <c r="CK190" s="195"/>
      <c r="CL190" s="194"/>
      <c r="CM190" s="123"/>
      <c r="CN190" s="195"/>
      <c r="CO190" s="194"/>
      <c r="CP190" s="123"/>
      <c r="CQ190" s="195"/>
      <c r="CR190" s="194"/>
      <c r="CS190" s="123"/>
      <c r="CT190" s="195"/>
      <c r="CU190" s="194"/>
      <c r="CV190" s="123"/>
      <c r="CW190" s="195"/>
      <c r="CX190" s="194"/>
      <c r="CY190" s="123"/>
      <c r="CZ190" s="195"/>
      <c r="DA190" s="194"/>
      <c r="DB190" s="123"/>
      <c r="DC190" s="195"/>
      <c r="DD190" s="194"/>
      <c r="DE190" s="123"/>
      <c r="DF190" s="195"/>
      <c r="DH190" s="311"/>
      <c r="DI190" s="311"/>
      <c r="DJ190" s="311"/>
      <c r="DK190" s="311"/>
      <c r="DL190" s="321"/>
      <c r="DM190" s="321"/>
      <c r="DN190" s="321"/>
      <c r="DO190" s="321"/>
      <c r="DP190" s="321"/>
      <c r="DQ190" s="321"/>
      <c r="DR190" s="321"/>
      <c r="DS190" s="321"/>
    </row>
    <row r="191" spans="1:123" ht="7.4" customHeight="1" x14ac:dyDescent="0.5">
      <c r="A191" s="42"/>
      <c r="B191" s="42"/>
      <c r="C191" s="311">
        <f>C187+1</f>
        <v>19</v>
      </c>
      <c r="D191" s="311"/>
      <c r="E191" s="41"/>
      <c r="F191" s="42"/>
      <c r="G191" s="319" t="str">
        <f>IF(AL191=0,"N/A","AXE_ST_5.5_85_SC")</f>
        <v>N/A</v>
      </c>
      <c r="H191" s="319"/>
      <c r="I191" s="319"/>
      <c r="J191" s="319"/>
      <c r="K191" s="319"/>
      <c r="L191" s="319"/>
      <c r="M191" s="319"/>
      <c r="N191" s="319"/>
      <c r="O191" s="319"/>
      <c r="P191" s="319"/>
      <c r="Q191" s="319"/>
      <c r="R191" s="320"/>
      <c r="S191" s="42"/>
      <c r="T191" s="405" t="str">
        <f>VLOOKUP(G191,PL!$B$9:$BH$1265,14,FALSE)</f>
        <v>No Item</v>
      </c>
      <c r="U191" s="405"/>
      <c r="V191" s="405"/>
      <c r="W191" s="405"/>
      <c r="X191" s="405"/>
      <c r="Y191" s="405"/>
      <c r="Z191" s="405"/>
      <c r="AA191" s="405"/>
      <c r="AB191" s="405"/>
      <c r="AC191" s="405"/>
      <c r="AD191" s="405"/>
      <c r="AE191" s="405"/>
      <c r="AF191" s="405"/>
      <c r="AG191" s="405"/>
      <c r="AH191" s="405"/>
      <c r="AI191" s="405"/>
      <c r="AJ191" s="411"/>
      <c r="AK191" s="42"/>
      <c r="AL191" s="311">
        <f>ROUND(SUM(BK191:DF191)*(1+$BF$80),0)</f>
        <v>0</v>
      </c>
      <c r="AM191" s="311"/>
      <c r="AN191" s="311"/>
      <c r="AO191" s="311"/>
      <c r="AP191" s="43"/>
      <c r="AQ191" s="111"/>
      <c r="AR191" s="308" t="str">
        <f>VLOOKUP(G191,PL!$B$9:$BH$818,52,FALSE)</f>
        <v>-</v>
      </c>
      <c r="AS191" s="309"/>
      <c r="AT191" s="309"/>
      <c r="AU191" s="309"/>
      <c r="AV191" s="309"/>
      <c r="AW191" s="309"/>
      <c r="AX191" s="309"/>
      <c r="AY191" s="309"/>
      <c r="AZ191" s="309"/>
      <c r="BA191" s="309"/>
      <c r="BB191" s="309"/>
      <c r="BC191" s="309"/>
      <c r="BD191" s="309"/>
      <c r="BE191" s="309"/>
      <c r="BF191" s="309"/>
      <c r="BG191" s="309"/>
      <c r="BH191" s="124"/>
      <c r="BI191" s="41"/>
      <c r="BK191" s="412">
        <f>IF(MID($G$143,8,1)="L",IF($AO$35="Flat Surface",0,BK143),0)</f>
        <v>0</v>
      </c>
      <c r="BL191" s="413"/>
      <c r="BM191" s="414"/>
      <c r="BN191" s="412">
        <f>IF(MID($G$143,8,1)="L",IF($AO$35="Flat Surface",0,BN143),0)</f>
        <v>0</v>
      </c>
      <c r="BO191" s="413"/>
      <c r="BP191" s="414"/>
      <c r="BQ191" s="412">
        <f>IF(MID($G$143,8,1)="L",IF($AO$35="Flat Surface",0,BQ143),0)</f>
        <v>0</v>
      </c>
      <c r="BR191" s="413"/>
      <c r="BS191" s="414"/>
      <c r="BT191" s="412">
        <f>IF(MID($G$143,8,1)="L",IF($AO$35="Flat Surface",0,BT143),0)</f>
        <v>0</v>
      </c>
      <c r="BU191" s="413"/>
      <c r="BV191" s="414"/>
      <c r="BW191" s="412">
        <f>IF(MID($G$143,8,1)="L",IF($AO$35="Flat Surface",0,BW143),0)</f>
        <v>0</v>
      </c>
      <c r="BX191" s="413"/>
      <c r="BY191" s="414"/>
      <c r="BZ191" s="412">
        <f>IF(MID($G$143,8,1)="L",IF($AO$35="Flat Surface",0,BZ143),0)</f>
        <v>0</v>
      </c>
      <c r="CA191" s="413"/>
      <c r="CB191" s="414"/>
      <c r="CC191" s="412">
        <f>IF(MID($G$143,8,1)="L",IF($AO$35="Flat Surface",0,CC143),0)</f>
        <v>0</v>
      </c>
      <c r="CD191" s="413"/>
      <c r="CE191" s="414"/>
      <c r="CF191" s="412">
        <f>IF(MID($G$143,8,1)="L",IF($AO$35="Flat Surface",0,CF143),0)</f>
        <v>0</v>
      </c>
      <c r="CG191" s="413"/>
      <c r="CH191" s="414"/>
      <c r="CI191" s="412">
        <f>IF(MID($G$143,8,1)="L",IF($AO$35="Flat Surface",0,CI143),0)</f>
        <v>0</v>
      </c>
      <c r="CJ191" s="413"/>
      <c r="CK191" s="414"/>
      <c r="CL191" s="412">
        <f>IF(MID($G$143,8,1)="L",IF($AO$35="Flat Surface",0,CL143),0)</f>
        <v>0</v>
      </c>
      <c r="CM191" s="413"/>
      <c r="CN191" s="414"/>
      <c r="CO191" s="412">
        <f>IF(MID($G$143,8,1)="L",IF($AO$35="Flat Surface",0,CO143),0)</f>
        <v>0</v>
      </c>
      <c r="CP191" s="413"/>
      <c r="CQ191" s="414"/>
      <c r="CR191" s="412">
        <f>IF(MID($G$143,8,1)="L",IF($AO$35="Flat Surface",0,CR143),0)</f>
        <v>0</v>
      </c>
      <c r="CS191" s="413"/>
      <c r="CT191" s="414"/>
      <c r="CU191" s="412">
        <f>IF(MID($G$143,8,1)="L",IF($AO$35="Flat Surface",0,CU143),0)</f>
        <v>0</v>
      </c>
      <c r="CV191" s="413"/>
      <c r="CW191" s="414"/>
      <c r="CX191" s="412">
        <f>IF(MID($G$143,8,1)="L",IF($AO$35="Flat Surface",0,CX143),0)</f>
        <v>0</v>
      </c>
      <c r="CY191" s="413"/>
      <c r="CZ191" s="414"/>
      <c r="DA191" s="412">
        <f>IF(MID($G$143,8,1)="L",IF($AO$35="Flat Surface",0,DA143),0)</f>
        <v>0</v>
      </c>
      <c r="DB191" s="413"/>
      <c r="DC191" s="414"/>
      <c r="DD191" s="412">
        <f>IF(MID($G$143,8,1)="L",IF($AO$35="Flat Surface",0,DD143),0)</f>
        <v>0</v>
      </c>
      <c r="DE191" s="413"/>
      <c r="DF191" s="414"/>
      <c r="DH191" s="311"/>
      <c r="DI191" s="311"/>
      <c r="DJ191" s="311"/>
      <c r="DK191" s="311"/>
      <c r="DL191" s="321"/>
      <c r="DM191" s="321"/>
      <c r="DN191" s="321"/>
      <c r="DO191" s="321"/>
      <c r="DP191" s="321"/>
      <c r="DQ191" s="321"/>
      <c r="DR191" s="321"/>
      <c r="DS191" s="321"/>
    </row>
    <row r="192" spans="1:123" ht="7.4" customHeight="1" x14ac:dyDescent="0.5">
      <c r="A192" s="42"/>
      <c r="B192" s="42"/>
      <c r="C192" s="311"/>
      <c r="D192" s="311"/>
      <c r="E192" s="41"/>
      <c r="F192" s="42"/>
      <c r="G192" s="319"/>
      <c r="H192" s="319"/>
      <c r="I192" s="319"/>
      <c r="J192" s="319"/>
      <c r="K192" s="319"/>
      <c r="L192" s="319"/>
      <c r="M192" s="319"/>
      <c r="N192" s="319"/>
      <c r="O192" s="319"/>
      <c r="P192" s="319"/>
      <c r="Q192" s="319"/>
      <c r="R192" s="320"/>
      <c r="S192" s="42"/>
      <c r="T192" s="405"/>
      <c r="U192" s="405"/>
      <c r="V192" s="405"/>
      <c r="W192" s="405"/>
      <c r="X192" s="405"/>
      <c r="Y192" s="405"/>
      <c r="Z192" s="405"/>
      <c r="AA192" s="405"/>
      <c r="AB192" s="405"/>
      <c r="AC192" s="405"/>
      <c r="AD192" s="405"/>
      <c r="AE192" s="405"/>
      <c r="AF192" s="405"/>
      <c r="AG192" s="405"/>
      <c r="AH192" s="405"/>
      <c r="AI192" s="405"/>
      <c r="AJ192" s="411"/>
      <c r="AK192" s="42"/>
      <c r="AL192" s="311"/>
      <c r="AM192" s="311"/>
      <c r="AN192" s="311"/>
      <c r="AO192" s="311"/>
      <c r="AP192" s="43"/>
      <c r="AQ192" s="111"/>
      <c r="AR192" s="309"/>
      <c r="AS192" s="309"/>
      <c r="AT192" s="309"/>
      <c r="AU192" s="309"/>
      <c r="AV192" s="309"/>
      <c r="AW192" s="309"/>
      <c r="AX192" s="309"/>
      <c r="AY192" s="309"/>
      <c r="AZ192" s="309"/>
      <c r="BA192" s="309"/>
      <c r="BB192" s="309"/>
      <c r="BC192" s="309"/>
      <c r="BD192" s="309"/>
      <c r="BE192" s="309"/>
      <c r="BF192" s="309"/>
      <c r="BG192" s="309"/>
      <c r="BH192" s="124"/>
      <c r="BI192" s="41"/>
      <c r="BK192" s="412"/>
      <c r="BL192" s="413"/>
      <c r="BM192" s="414"/>
      <c r="BN192" s="412"/>
      <c r="BO192" s="413"/>
      <c r="BP192" s="414"/>
      <c r="BQ192" s="412"/>
      <c r="BR192" s="413"/>
      <c r="BS192" s="414"/>
      <c r="BT192" s="412"/>
      <c r="BU192" s="413"/>
      <c r="BV192" s="414"/>
      <c r="BW192" s="412"/>
      <c r="BX192" s="413"/>
      <c r="BY192" s="414"/>
      <c r="BZ192" s="412"/>
      <c r="CA192" s="413"/>
      <c r="CB192" s="414"/>
      <c r="CC192" s="412"/>
      <c r="CD192" s="413"/>
      <c r="CE192" s="414"/>
      <c r="CF192" s="412"/>
      <c r="CG192" s="413"/>
      <c r="CH192" s="414"/>
      <c r="CI192" s="412"/>
      <c r="CJ192" s="413"/>
      <c r="CK192" s="414"/>
      <c r="CL192" s="412"/>
      <c r="CM192" s="413"/>
      <c r="CN192" s="414"/>
      <c r="CO192" s="412"/>
      <c r="CP192" s="413"/>
      <c r="CQ192" s="414"/>
      <c r="CR192" s="412"/>
      <c r="CS192" s="413"/>
      <c r="CT192" s="414"/>
      <c r="CU192" s="412"/>
      <c r="CV192" s="413"/>
      <c r="CW192" s="414"/>
      <c r="CX192" s="412"/>
      <c r="CY192" s="413"/>
      <c r="CZ192" s="414"/>
      <c r="DA192" s="412"/>
      <c r="DB192" s="413"/>
      <c r="DC192" s="414"/>
      <c r="DD192" s="412"/>
      <c r="DE192" s="413"/>
      <c r="DF192" s="414"/>
      <c r="DH192" s="311"/>
      <c r="DI192" s="311"/>
      <c r="DJ192" s="311"/>
      <c r="DK192" s="311"/>
      <c r="DL192" s="321"/>
      <c r="DM192" s="321"/>
      <c r="DN192" s="321"/>
      <c r="DO192" s="321"/>
      <c r="DP192" s="321"/>
      <c r="DQ192" s="321"/>
      <c r="DR192" s="321"/>
      <c r="DS192" s="321"/>
    </row>
    <row r="193" spans="1:123" ht="7.4" customHeight="1" x14ac:dyDescent="0.5">
      <c r="A193" s="42"/>
      <c r="B193" s="42"/>
      <c r="C193" s="55"/>
      <c r="D193" s="55"/>
      <c r="E193" s="41"/>
      <c r="F193" s="42"/>
      <c r="G193" s="56"/>
      <c r="H193" s="56"/>
      <c r="I193" s="56"/>
      <c r="J193" s="56"/>
      <c r="K193" s="56"/>
      <c r="L193" s="56"/>
      <c r="M193" s="56"/>
      <c r="N193" s="56"/>
      <c r="O193" s="56"/>
      <c r="P193" s="56"/>
      <c r="Q193" s="56"/>
      <c r="R193" s="126"/>
      <c r="S193" s="42"/>
      <c r="T193" s="116" t="str">
        <f>VLOOKUP(G191,PL!$B$9:$BH$1265,33,FALSE)</f>
        <v>.</v>
      </c>
      <c r="AJ193" s="41"/>
      <c r="AK193" s="42"/>
      <c r="AL193" s="311"/>
      <c r="AM193" s="311"/>
      <c r="AN193" s="311"/>
      <c r="AO193" s="311"/>
      <c r="AP193" s="43"/>
      <c r="AQ193" s="42"/>
      <c r="AR193" s="119"/>
      <c r="AS193" s="119"/>
      <c r="AT193" s="119"/>
      <c r="AU193" s="119"/>
      <c r="AV193" s="119"/>
      <c r="AW193" s="119"/>
      <c r="AX193" s="105"/>
      <c r="AZ193" s="119"/>
      <c r="BA193" s="119"/>
      <c r="BB193" s="119"/>
      <c r="BC193" s="119"/>
      <c r="BD193" s="119"/>
      <c r="BE193" s="119"/>
      <c r="BF193" s="119"/>
      <c r="BG193" s="119"/>
      <c r="BH193" s="124"/>
      <c r="BI193" s="41"/>
      <c r="BK193" s="194"/>
      <c r="BL193" s="123"/>
      <c r="BM193" s="195"/>
      <c r="BN193" s="194"/>
      <c r="BO193" s="123"/>
      <c r="BP193" s="195"/>
      <c r="BQ193" s="194"/>
      <c r="BR193" s="123"/>
      <c r="BS193" s="195"/>
      <c r="BT193" s="194"/>
      <c r="BU193" s="123"/>
      <c r="BV193" s="195"/>
      <c r="BW193" s="194"/>
      <c r="BX193" s="123"/>
      <c r="BY193" s="195"/>
      <c r="BZ193" s="194"/>
      <c r="CA193" s="123"/>
      <c r="CB193" s="195"/>
      <c r="CC193" s="194"/>
      <c r="CD193" s="123"/>
      <c r="CE193" s="195"/>
      <c r="CF193" s="194"/>
      <c r="CG193" s="123"/>
      <c r="CH193" s="195"/>
      <c r="CI193" s="194"/>
      <c r="CJ193" s="123"/>
      <c r="CK193" s="195"/>
      <c r="CL193" s="194"/>
      <c r="CM193" s="123"/>
      <c r="CN193" s="195"/>
      <c r="CO193" s="194"/>
      <c r="CP193" s="123"/>
      <c r="CQ193" s="195"/>
      <c r="CR193" s="194"/>
      <c r="CS193" s="123"/>
      <c r="CT193" s="195"/>
      <c r="CU193" s="194"/>
      <c r="CV193" s="123"/>
      <c r="CW193" s="195"/>
      <c r="CX193" s="194"/>
      <c r="CY193" s="123"/>
      <c r="CZ193" s="195"/>
      <c r="DA193" s="194"/>
      <c r="DB193" s="123"/>
      <c r="DC193" s="195"/>
      <c r="DD193" s="194"/>
      <c r="DE193" s="123"/>
      <c r="DF193" s="195"/>
      <c r="DH193" s="311"/>
      <c r="DI193" s="311"/>
      <c r="DJ193" s="311"/>
      <c r="DK193" s="311"/>
      <c r="DL193" s="321"/>
      <c r="DM193" s="321"/>
      <c r="DN193" s="321"/>
      <c r="DO193" s="321"/>
      <c r="DP193" s="321"/>
      <c r="DQ193" s="321"/>
      <c r="DR193" s="321"/>
      <c r="DS193" s="321"/>
    </row>
    <row r="194" spans="1:123" ht="7.4" customHeight="1" x14ac:dyDescent="0.5">
      <c r="A194" s="42"/>
      <c r="B194" s="42"/>
      <c r="C194" s="55"/>
      <c r="D194" s="55"/>
      <c r="E194" s="41"/>
      <c r="F194" s="42"/>
      <c r="G194" s="56"/>
      <c r="H194" s="56"/>
      <c r="I194" s="56"/>
      <c r="J194" s="56"/>
      <c r="K194" s="56"/>
      <c r="L194" s="56"/>
      <c r="M194" s="56"/>
      <c r="N194" s="56"/>
      <c r="O194" s="56"/>
      <c r="P194" s="56"/>
      <c r="Q194" s="56"/>
      <c r="R194" s="126"/>
      <c r="S194" s="42"/>
      <c r="AJ194" s="41"/>
      <c r="AK194" s="42"/>
      <c r="AL194" s="311"/>
      <c r="AM194" s="311"/>
      <c r="AN194" s="311"/>
      <c r="AO194" s="311"/>
      <c r="AP194" s="43"/>
      <c r="AQ194" s="42"/>
      <c r="AR194" s="119"/>
      <c r="AS194" s="119"/>
      <c r="AT194" s="119"/>
      <c r="AU194" s="119"/>
      <c r="AV194" s="119"/>
      <c r="AW194" s="119"/>
      <c r="AX194" s="105"/>
      <c r="AZ194" s="119"/>
      <c r="BA194" s="119"/>
      <c r="BB194" s="119"/>
      <c r="BC194" s="119"/>
      <c r="BD194" s="119"/>
      <c r="BE194" s="119"/>
      <c r="BF194" s="119"/>
      <c r="BG194" s="119"/>
      <c r="BH194" s="124"/>
      <c r="BI194" s="41"/>
      <c r="BK194" s="194"/>
      <c r="BL194" s="123"/>
      <c r="BM194" s="195"/>
      <c r="BN194" s="194"/>
      <c r="BO194" s="123"/>
      <c r="BP194" s="195"/>
      <c r="BQ194" s="194"/>
      <c r="BR194" s="123"/>
      <c r="BS194" s="195"/>
      <c r="BT194" s="194"/>
      <c r="BU194" s="123"/>
      <c r="BV194" s="195"/>
      <c r="BW194" s="194"/>
      <c r="BX194" s="123"/>
      <c r="BY194" s="195"/>
      <c r="BZ194" s="194"/>
      <c r="CA194" s="123"/>
      <c r="CB194" s="195"/>
      <c r="CC194" s="194"/>
      <c r="CD194" s="123"/>
      <c r="CE194" s="195"/>
      <c r="CF194" s="194"/>
      <c r="CG194" s="123"/>
      <c r="CH194" s="195"/>
      <c r="CI194" s="194"/>
      <c r="CJ194" s="123"/>
      <c r="CK194" s="195"/>
      <c r="CL194" s="194"/>
      <c r="CM194" s="123"/>
      <c r="CN194" s="195"/>
      <c r="CO194" s="194"/>
      <c r="CP194" s="123"/>
      <c r="CQ194" s="195"/>
      <c r="CR194" s="194"/>
      <c r="CS194" s="123"/>
      <c r="CT194" s="195"/>
      <c r="CU194" s="194"/>
      <c r="CV194" s="123"/>
      <c r="CW194" s="195"/>
      <c r="CX194" s="194"/>
      <c r="CY194" s="123"/>
      <c r="CZ194" s="195"/>
      <c r="DA194" s="194"/>
      <c r="DB194" s="123"/>
      <c r="DC194" s="195"/>
      <c r="DD194" s="194"/>
      <c r="DE194" s="123"/>
      <c r="DF194" s="195"/>
      <c r="DH194" s="311"/>
      <c r="DI194" s="311"/>
      <c r="DJ194" s="311"/>
      <c r="DK194" s="311"/>
      <c r="DL194" s="321"/>
      <c r="DM194" s="321"/>
      <c r="DN194" s="321"/>
      <c r="DO194" s="321"/>
      <c r="DP194" s="321"/>
      <c r="DQ194" s="321"/>
      <c r="DR194" s="321"/>
      <c r="DS194" s="321"/>
    </row>
    <row r="195" spans="1:123" ht="7.4" customHeight="1" x14ac:dyDescent="0.5">
      <c r="A195" s="42"/>
      <c r="B195" s="42"/>
      <c r="C195" s="311">
        <f>C191+1</f>
        <v>20</v>
      </c>
      <c r="D195" s="311"/>
      <c r="E195" s="41"/>
      <c r="F195" s="42"/>
      <c r="G195" s="322" t="str">
        <f>IF(AL195=0,"N/A","Anti_Seize_S")</f>
        <v>N/A</v>
      </c>
      <c r="H195" s="322"/>
      <c r="I195" s="322"/>
      <c r="J195" s="322"/>
      <c r="K195" s="322"/>
      <c r="L195" s="322"/>
      <c r="M195" s="322"/>
      <c r="N195" s="322"/>
      <c r="O195" s="322"/>
      <c r="P195" s="322"/>
      <c r="Q195" s="322"/>
      <c r="R195" s="323"/>
      <c r="S195" s="42"/>
      <c r="T195" s="316" t="str">
        <f>VLOOKUP(G195,PL!$B$9:$BH$1265,14,FALSE)</f>
        <v>No Item</v>
      </c>
      <c r="U195" s="316"/>
      <c r="V195" s="316"/>
      <c r="W195" s="316"/>
      <c r="X195" s="316"/>
      <c r="Y195" s="316"/>
      <c r="Z195" s="316"/>
      <c r="AA195" s="316"/>
      <c r="AB195" s="316"/>
      <c r="AC195" s="316"/>
      <c r="AD195" s="316"/>
      <c r="AE195" s="316"/>
      <c r="AF195" s="316"/>
      <c r="AG195" s="316"/>
      <c r="AH195" s="316"/>
      <c r="AI195" s="316"/>
      <c r="AJ195" s="317"/>
      <c r="AK195" s="42"/>
      <c r="AL195" s="311">
        <f>SUM(BK195:DF195)</f>
        <v>0</v>
      </c>
      <c r="AM195" s="311"/>
      <c r="AN195" s="311"/>
      <c r="AO195" s="311"/>
      <c r="AP195" s="43"/>
      <c r="AQ195" s="111"/>
      <c r="AR195" s="308" t="str">
        <f>VLOOKUP(G195,PL!$B$9:$BH$818,52,FALSE)</f>
        <v>-</v>
      </c>
      <c r="AS195" s="309"/>
      <c r="AT195" s="309"/>
      <c r="AU195" s="309"/>
      <c r="AV195" s="309"/>
      <c r="AW195" s="309"/>
      <c r="AX195" s="309"/>
      <c r="AY195" s="309"/>
      <c r="AZ195" s="309"/>
      <c r="BA195" s="309"/>
      <c r="BB195" s="309"/>
      <c r="BC195" s="309"/>
      <c r="BD195" s="309"/>
      <c r="BE195" s="309"/>
      <c r="BF195" s="309"/>
      <c r="BG195" s="309"/>
      <c r="BH195" s="124"/>
      <c r="BI195" s="41"/>
      <c r="BK195" s="412">
        <f>IF($AI$78="Not Included",ROUNDUP((SUM(BK135:DF135)+SUM(BK139:DF139))/1000,0),0)</f>
        <v>0</v>
      </c>
      <c r="BL195" s="413"/>
      <c r="BM195" s="414"/>
      <c r="BN195" s="194"/>
      <c r="BO195" s="123"/>
      <c r="BP195" s="195"/>
      <c r="BQ195" s="194"/>
      <c r="BR195" s="123"/>
      <c r="BS195" s="195"/>
      <c r="BT195" s="194"/>
      <c r="BU195" s="123"/>
      <c r="BV195" s="195"/>
      <c r="BW195" s="194"/>
      <c r="BX195" s="123"/>
      <c r="BY195" s="195"/>
      <c r="BZ195" s="194"/>
      <c r="CA195" s="123"/>
      <c r="CB195" s="195"/>
      <c r="CC195" s="194"/>
      <c r="CD195" s="123"/>
      <c r="CE195" s="195"/>
      <c r="CF195" s="194"/>
      <c r="CG195" s="123"/>
      <c r="CH195" s="195"/>
      <c r="CI195" s="194"/>
      <c r="CJ195" s="123"/>
      <c r="CK195" s="195"/>
      <c r="CL195" s="194"/>
      <c r="CM195" s="123"/>
      <c r="CN195" s="195"/>
      <c r="CO195" s="194"/>
      <c r="CP195" s="123"/>
      <c r="CQ195" s="195"/>
      <c r="CR195" s="194"/>
      <c r="CS195" s="123"/>
      <c r="CT195" s="195"/>
      <c r="CU195" s="194"/>
      <c r="CV195" s="123"/>
      <c r="CW195" s="195"/>
      <c r="CX195" s="194"/>
      <c r="CY195" s="123"/>
      <c r="CZ195" s="195"/>
      <c r="DA195" s="194"/>
      <c r="DB195" s="123"/>
      <c r="DC195" s="195"/>
      <c r="DD195" s="194"/>
      <c r="DE195" s="123"/>
      <c r="DF195" s="195"/>
      <c r="DL195" s="105"/>
      <c r="DM195" s="105"/>
      <c r="DN195" s="105"/>
      <c r="DO195" s="105"/>
      <c r="DP195" s="105"/>
      <c r="DQ195" s="105"/>
      <c r="DR195" s="105"/>
      <c r="DS195" s="105"/>
    </row>
    <row r="196" spans="1:123" ht="7.4" customHeight="1" x14ac:dyDescent="0.5">
      <c r="A196" s="42"/>
      <c r="B196" s="42"/>
      <c r="C196" s="311"/>
      <c r="D196" s="311"/>
      <c r="E196" s="41"/>
      <c r="F196" s="42"/>
      <c r="G196" s="322"/>
      <c r="H196" s="322"/>
      <c r="I196" s="322"/>
      <c r="J196" s="322"/>
      <c r="K196" s="322"/>
      <c r="L196" s="322"/>
      <c r="M196" s="322"/>
      <c r="N196" s="322"/>
      <c r="O196" s="322"/>
      <c r="P196" s="322"/>
      <c r="Q196" s="322"/>
      <c r="R196" s="323"/>
      <c r="S196" s="42"/>
      <c r="T196" s="316"/>
      <c r="U196" s="316"/>
      <c r="V196" s="316"/>
      <c r="W196" s="316"/>
      <c r="X196" s="316"/>
      <c r="Y196" s="316"/>
      <c r="Z196" s="316"/>
      <c r="AA196" s="316"/>
      <c r="AB196" s="316"/>
      <c r="AC196" s="316"/>
      <c r="AD196" s="316"/>
      <c r="AE196" s="316"/>
      <c r="AF196" s="316"/>
      <c r="AG196" s="316"/>
      <c r="AH196" s="316"/>
      <c r="AI196" s="316"/>
      <c r="AJ196" s="317"/>
      <c r="AK196" s="42"/>
      <c r="AL196" s="311"/>
      <c r="AM196" s="311"/>
      <c r="AN196" s="311"/>
      <c r="AO196" s="311"/>
      <c r="AP196" s="43"/>
      <c r="AQ196" s="111"/>
      <c r="AR196" s="309"/>
      <c r="AS196" s="309"/>
      <c r="AT196" s="309"/>
      <c r="AU196" s="309"/>
      <c r="AV196" s="309"/>
      <c r="AW196" s="309"/>
      <c r="AX196" s="309"/>
      <c r="AY196" s="309"/>
      <c r="AZ196" s="309"/>
      <c r="BA196" s="309"/>
      <c r="BB196" s="309"/>
      <c r="BC196" s="309"/>
      <c r="BD196" s="309"/>
      <c r="BE196" s="309"/>
      <c r="BF196" s="309"/>
      <c r="BG196" s="309"/>
      <c r="BH196" s="124"/>
      <c r="BI196" s="41"/>
      <c r="BK196" s="412"/>
      <c r="BL196" s="413"/>
      <c r="BM196" s="414"/>
      <c r="BN196" s="194"/>
      <c r="BO196" s="123"/>
      <c r="BP196" s="195"/>
      <c r="BQ196" s="194"/>
      <c r="BR196" s="123"/>
      <c r="BS196" s="195"/>
      <c r="BT196" s="194"/>
      <c r="BU196" s="123"/>
      <c r="BV196" s="195"/>
      <c r="BW196" s="194"/>
      <c r="BX196" s="123"/>
      <c r="BY196" s="195"/>
      <c r="BZ196" s="194"/>
      <c r="CA196" s="123"/>
      <c r="CB196" s="195"/>
      <c r="CC196" s="194"/>
      <c r="CD196" s="123"/>
      <c r="CE196" s="195"/>
      <c r="CF196" s="194"/>
      <c r="CG196" s="123"/>
      <c r="CH196" s="195"/>
      <c r="CI196" s="194"/>
      <c r="CJ196" s="123"/>
      <c r="CK196" s="195"/>
      <c r="CL196" s="194"/>
      <c r="CM196" s="123"/>
      <c r="CN196" s="195"/>
      <c r="CO196" s="194"/>
      <c r="CP196" s="123"/>
      <c r="CQ196" s="195"/>
      <c r="CR196" s="194"/>
      <c r="CS196" s="123"/>
      <c r="CT196" s="195"/>
      <c r="CU196" s="194"/>
      <c r="CV196" s="123"/>
      <c r="CW196" s="195"/>
      <c r="CX196" s="194"/>
      <c r="CY196" s="123"/>
      <c r="CZ196" s="195"/>
      <c r="DA196" s="194"/>
      <c r="DB196" s="123"/>
      <c r="DC196" s="195"/>
      <c r="DD196" s="194"/>
      <c r="DE196" s="123"/>
      <c r="DF196" s="195"/>
      <c r="DL196" s="105"/>
      <c r="DM196" s="105"/>
      <c r="DN196" s="105"/>
      <c r="DO196" s="105"/>
      <c r="DP196" s="105"/>
      <c r="DQ196" s="105"/>
      <c r="DR196" s="105"/>
      <c r="DS196" s="105"/>
    </row>
    <row r="197" spans="1:123" ht="7.4" customHeight="1" x14ac:dyDescent="0.5">
      <c r="A197" s="42"/>
      <c r="B197" s="42"/>
      <c r="C197" s="75"/>
      <c r="D197" s="75"/>
      <c r="E197" s="41"/>
      <c r="F197" s="42"/>
      <c r="G197" s="56"/>
      <c r="H197" s="56"/>
      <c r="I197" s="56"/>
      <c r="J197" s="56"/>
      <c r="K197" s="56"/>
      <c r="L197" s="56"/>
      <c r="M197" s="56"/>
      <c r="N197" s="56"/>
      <c r="O197" s="56"/>
      <c r="P197" s="56"/>
      <c r="Q197" s="56"/>
      <c r="R197" s="126"/>
      <c r="S197" s="42"/>
      <c r="T197" s="116" t="str">
        <f>VLOOKUP(G195,PL!$B$9:$BH$1265,33,FALSE)</f>
        <v>.</v>
      </c>
      <c r="U197" s="49"/>
      <c r="V197" s="49"/>
      <c r="W197" s="49"/>
      <c r="X197" s="49"/>
      <c r="Y197" s="49"/>
      <c r="Z197" s="49"/>
      <c r="AA197" s="49"/>
      <c r="AB197" s="49"/>
      <c r="AC197" s="49"/>
      <c r="AD197" s="49"/>
      <c r="AE197" s="49"/>
      <c r="AF197" s="49"/>
      <c r="AG197" s="49"/>
      <c r="AH197" s="49"/>
      <c r="AI197" s="49"/>
      <c r="AJ197" s="110"/>
      <c r="AK197" s="42"/>
      <c r="AL197" s="127"/>
      <c r="AM197" s="127"/>
      <c r="AN197" s="127"/>
      <c r="AO197" s="127"/>
      <c r="AP197" s="43"/>
      <c r="AQ197" s="111"/>
      <c r="AR197" s="112"/>
      <c r="AS197" s="112"/>
      <c r="AT197" s="112"/>
      <c r="AU197" s="112"/>
      <c r="AV197" s="112"/>
      <c r="AW197" s="112"/>
      <c r="AX197" s="112"/>
      <c r="AY197" s="112"/>
      <c r="AZ197" s="112"/>
      <c r="BA197" s="112"/>
      <c r="BB197" s="112"/>
      <c r="BC197" s="112"/>
      <c r="BD197" s="112"/>
      <c r="BE197" s="112"/>
      <c r="BF197" s="112"/>
      <c r="BG197" s="112"/>
      <c r="BH197" s="124"/>
      <c r="BI197" s="41"/>
      <c r="BK197" s="194"/>
      <c r="BL197" s="123"/>
      <c r="BM197" s="195"/>
      <c r="BN197" s="194"/>
      <c r="BO197" s="123"/>
      <c r="BP197" s="195"/>
      <c r="BQ197" s="194"/>
      <c r="BR197" s="123"/>
      <c r="BS197" s="195"/>
      <c r="BT197" s="194"/>
      <c r="BU197" s="123"/>
      <c r="BV197" s="195"/>
      <c r="BW197" s="194"/>
      <c r="BX197" s="123"/>
      <c r="BY197" s="195"/>
      <c r="BZ197" s="194"/>
      <c r="CA197" s="123"/>
      <c r="CB197" s="195"/>
      <c r="CC197" s="194"/>
      <c r="CD197" s="123"/>
      <c r="CE197" s="195"/>
      <c r="CF197" s="194"/>
      <c r="CG197" s="123"/>
      <c r="CH197" s="195"/>
      <c r="CI197" s="194"/>
      <c r="CJ197" s="123"/>
      <c r="CK197" s="195"/>
      <c r="CL197" s="194"/>
      <c r="CM197" s="123"/>
      <c r="CN197" s="195"/>
      <c r="CO197" s="194"/>
      <c r="CP197" s="123"/>
      <c r="CQ197" s="195"/>
      <c r="CR197" s="194"/>
      <c r="CS197" s="123"/>
      <c r="CT197" s="195"/>
      <c r="CU197" s="194"/>
      <c r="CV197" s="123"/>
      <c r="CW197" s="195"/>
      <c r="CX197" s="194"/>
      <c r="CY197" s="123"/>
      <c r="CZ197" s="195"/>
      <c r="DA197" s="194"/>
      <c r="DB197" s="123"/>
      <c r="DC197" s="195"/>
      <c r="DD197" s="194"/>
      <c r="DE197" s="123"/>
      <c r="DF197" s="195"/>
      <c r="DL197" s="105"/>
      <c r="DM197" s="105"/>
      <c r="DN197" s="105"/>
      <c r="DO197" s="105"/>
      <c r="DP197" s="105"/>
      <c r="DQ197" s="105"/>
      <c r="DR197" s="105"/>
      <c r="DS197" s="105"/>
    </row>
    <row r="198" spans="1:123" ht="7.4" customHeight="1" x14ac:dyDescent="0.5">
      <c r="A198" s="42"/>
      <c r="B198" s="42"/>
      <c r="C198" s="55"/>
      <c r="D198" s="55"/>
      <c r="E198" s="41"/>
      <c r="F198" s="42"/>
      <c r="G198" s="56"/>
      <c r="H198" s="56"/>
      <c r="I198" s="56"/>
      <c r="J198" s="56"/>
      <c r="K198" s="56"/>
      <c r="L198" s="56"/>
      <c r="M198" s="56"/>
      <c r="N198" s="56"/>
      <c r="O198" s="56"/>
      <c r="P198" s="56"/>
      <c r="Q198" s="56"/>
      <c r="R198" s="126"/>
      <c r="S198" s="42"/>
      <c r="AJ198" s="41"/>
      <c r="AK198" s="42"/>
      <c r="AL198" s="75"/>
      <c r="AM198" s="75"/>
      <c r="AN198" s="75"/>
      <c r="AO198" s="75"/>
      <c r="AP198" s="43"/>
      <c r="AQ198" s="42"/>
      <c r="AR198" s="119"/>
      <c r="AS198" s="119"/>
      <c r="AT198" s="119"/>
      <c r="AU198" s="119"/>
      <c r="AV198" s="119"/>
      <c r="AW198" s="119"/>
      <c r="AX198" s="105"/>
      <c r="AZ198" s="119"/>
      <c r="BA198" s="119"/>
      <c r="BB198" s="119"/>
      <c r="BC198" s="119"/>
      <c r="BD198" s="119"/>
      <c r="BE198" s="119"/>
      <c r="BF198" s="119"/>
      <c r="BG198" s="119"/>
      <c r="BH198" s="124"/>
      <c r="BI198" s="41"/>
      <c r="BK198" s="194"/>
      <c r="BL198" s="123"/>
      <c r="BM198" s="195"/>
      <c r="BN198" s="194"/>
      <c r="BO198" s="123"/>
      <c r="BP198" s="195"/>
      <c r="BQ198" s="194"/>
      <c r="BR198" s="123"/>
      <c r="BS198" s="195"/>
      <c r="BT198" s="194"/>
      <c r="BU198" s="123"/>
      <c r="BV198" s="195"/>
      <c r="BW198" s="194"/>
      <c r="BX198" s="123"/>
      <c r="BY198" s="195"/>
      <c r="BZ198" s="194"/>
      <c r="CA198" s="123"/>
      <c r="CB198" s="195"/>
      <c r="CC198" s="194"/>
      <c r="CD198" s="123"/>
      <c r="CE198" s="195"/>
      <c r="CF198" s="194"/>
      <c r="CG198" s="123"/>
      <c r="CH198" s="195"/>
      <c r="CI198" s="194"/>
      <c r="CJ198" s="123"/>
      <c r="CK198" s="195"/>
      <c r="CL198" s="194"/>
      <c r="CM198" s="123"/>
      <c r="CN198" s="195"/>
      <c r="CO198" s="194"/>
      <c r="CP198" s="123"/>
      <c r="CQ198" s="195"/>
      <c r="CR198" s="194"/>
      <c r="CS198" s="123"/>
      <c r="CT198" s="195"/>
      <c r="CU198" s="194"/>
      <c r="CV198" s="123"/>
      <c r="CW198" s="195"/>
      <c r="CX198" s="194"/>
      <c r="CY198" s="123"/>
      <c r="CZ198" s="195"/>
      <c r="DA198" s="194"/>
      <c r="DB198" s="123"/>
      <c r="DC198" s="195"/>
      <c r="DD198" s="194"/>
      <c r="DE198" s="123"/>
      <c r="DF198" s="195"/>
      <c r="DL198" s="105"/>
      <c r="DM198" s="105"/>
      <c r="DN198" s="105"/>
      <c r="DO198" s="105"/>
      <c r="DP198" s="105"/>
      <c r="DQ198" s="105"/>
      <c r="DR198" s="105"/>
      <c r="DS198" s="105"/>
    </row>
    <row r="199" spans="1:123" ht="7.4" customHeight="1" x14ac:dyDescent="0.5">
      <c r="A199" s="42"/>
      <c r="B199" s="42"/>
      <c r="C199" s="311">
        <f>C195+1</f>
        <v>21</v>
      </c>
      <c r="D199" s="311"/>
      <c r="E199" s="41"/>
      <c r="F199" s="42"/>
      <c r="G199" s="314" t="s">
        <v>55</v>
      </c>
      <c r="H199" s="314"/>
      <c r="I199" s="314"/>
      <c r="J199" s="314"/>
      <c r="K199" s="314"/>
      <c r="L199" s="314"/>
      <c r="M199" s="314"/>
      <c r="N199" s="314"/>
      <c r="O199" s="314"/>
      <c r="P199" s="314"/>
      <c r="Q199" s="314"/>
      <c r="R199" s="315"/>
      <c r="S199" s="42"/>
      <c r="T199" s="316" t="str">
        <f>IF(AL199=1,"Transport estimate","Transport excluded")</f>
        <v>Transport excluded</v>
      </c>
      <c r="U199" s="316"/>
      <c r="V199" s="316"/>
      <c r="W199" s="316"/>
      <c r="X199" s="316"/>
      <c r="Y199" s="316"/>
      <c r="Z199" s="316"/>
      <c r="AA199" s="316"/>
      <c r="AB199" s="316"/>
      <c r="AC199" s="316"/>
      <c r="AD199" s="316"/>
      <c r="AE199" s="316"/>
      <c r="AF199" s="316"/>
      <c r="AG199" s="316"/>
      <c r="AH199" s="316"/>
      <c r="AI199" s="316"/>
      <c r="AJ199" s="317"/>
      <c r="AK199" s="42"/>
      <c r="AL199" s="318">
        <v>0</v>
      </c>
      <c r="AM199" s="318"/>
      <c r="AN199" s="318"/>
      <c r="AO199" s="318"/>
      <c r="AP199" s="43"/>
      <c r="AQ199" s="111"/>
      <c r="AR199" s="308" t="str">
        <f>VLOOKUP(G199,PL!$B$9:$BH$818,52,FALSE)</f>
        <v>-</v>
      </c>
      <c r="AS199" s="309"/>
      <c r="AT199" s="309"/>
      <c r="AU199" s="309"/>
      <c r="AV199" s="309"/>
      <c r="AW199" s="309"/>
      <c r="AX199" s="309"/>
      <c r="AY199" s="309"/>
      <c r="AZ199" s="309"/>
      <c r="BA199" s="309"/>
      <c r="BB199" s="309"/>
      <c r="BC199" s="309"/>
      <c r="BD199" s="309"/>
      <c r="BE199" s="309"/>
      <c r="BF199" s="309"/>
      <c r="BG199" s="309"/>
      <c r="BH199" s="124"/>
      <c r="BI199" s="41"/>
      <c r="BK199" s="194"/>
      <c r="BL199" s="123"/>
      <c r="BM199" s="195"/>
      <c r="BN199" s="194"/>
      <c r="BO199" s="123"/>
      <c r="BP199" s="195"/>
      <c r="BQ199" s="194"/>
      <c r="BR199" s="123"/>
      <c r="BS199" s="195"/>
      <c r="BT199" s="194"/>
      <c r="BU199" s="123"/>
      <c r="BV199" s="195"/>
      <c r="BW199" s="194"/>
      <c r="BX199" s="123"/>
      <c r="BY199" s="195"/>
      <c r="BZ199" s="194"/>
      <c r="CA199" s="123"/>
      <c r="CB199" s="195"/>
      <c r="CC199" s="194"/>
      <c r="CD199" s="123"/>
      <c r="CE199" s="195"/>
      <c r="CF199" s="194"/>
      <c r="CG199" s="123"/>
      <c r="CH199" s="195"/>
      <c r="CI199" s="194"/>
      <c r="CJ199" s="123"/>
      <c r="CK199" s="195"/>
      <c r="CL199" s="194"/>
      <c r="CM199" s="123"/>
      <c r="CN199" s="195"/>
      <c r="CO199" s="194"/>
      <c r="CP199" s="123"/>
      <c r="CQ199" s="195"/>
      <c r="CR199" s="194"/>
      <c r="CS199" s="123"/>
      <c r="CT199" s="195"/>
      <c r="CU199" s="194"/>
      <c r="CV199" s="123"/>
      <c r="CW199" s="195"/>
      <c r="CX199" s="194"/>
      <c r="CY199" s="123"/>
      <c r="CZ199" s="195"/>
      <c r="DA199" s="194"/>
      <c r="DB199" s="123"/>
      <c r="DC199" s="195"/>
      <c r="DD199" s="194"/>
      <c r="DE199" s="123"/>
      <c r="DF199" s="195"/>
      <c r="DH199" s="311"/>
      <c r="DI199" s="311"/>
      <c r="DJ199" s="311"/>
      <c r="DK199" s="311"/>
      <c r="DL199" s="321"/>
      <c r="DM199" s="321"/>
      <c r="DN199" s="321"/>
      <c r="DO199" s="321"/>
      <c r="DP199" s="321"/>
      <c r="DQ199" s="321"/>
      <c r="DR199" s="321"/>
      <c r="DS199" s="321"/>
    </row>
    <row r="200" spans="1:123" ht="7.4" customHeight="1" x14ac:dyDescent="0.5">
      <c r="A200" s="42"/>
      <c r="B200" s="42"/>
      <c r="C200" s="311"/>
      <c r="D200" s="311"/>
      <c r="E200" s="41"/>
      <c r="F200" s="42"/>
      <c r="G200" s="314"/>
      <c r="H200" s="314"/>
      <c r="I200" s="314"/>
      <c r="J200" s="314"/>
      <c r="K200" s="314"/>
      <c r="L200" s="314"/>
      <c r="M200" s="314"/>
      <c r="N200" s="314"/>
      <c r="O200" s="314"/>
      <c r="P200" s="314"/>
      <c r="Q200" s="314"/>
      <c r="R200" s="315"/>
      <c r="S200" s="42"/>
      <c r="T200" s="316"/>
      <c r="U200" s="316"/>
      <c r="V200" s="316"/>
      <c r="W200" s="316"/>
      <c r="X200" s="316"/>
      <c r="Y200" s="316"/>
      <c r="Z200" s="316"/>
      <c r="AA200" s="316"/>
      <c r="AB200" s="316"/>
      <c r="AC200" s="316"/>
      <c r="AD200" s="316"/>
      <c r="AE200" s="316"/>
      <c r="AF200" s="316"/>
      <c r="AG200" s="316"/>
      <c r="AH200" s="316"/>
      <c r="AI200" s="316"/>
      <c r="AJ200" s="317"/>
      <c r="AK200" s="42"/>
      <c r="AL200" s="318"/>
      <c r="AM200" s="318"/>
      <c r="AN200" s="318"/>
      <c r="AO200" s="318"/>
      <c r="AP200" s="43"/>
      <c r="AQ200" s="111"/>
      <c r="AR200" s="309"/>
      <c r="AS200" s="309"/>
      <c r="AT200" s="309"/>
      <c r="AU200" s="309"/>
      <c r="AV200" s="309"/>
      <c r="AW200" s="309"/>
      <c r="AX200" s="309"/>
      <c r="AY200" s="309"/>
      <c r="AZ200" s="309"/>
      <c r="BA200" s="309"/>
      <c r="BB200" s="309"/>
      <c r="BC200" s="309"/>
      <c r="BD200" s="309"/>
      <c r="BE200" s="309"/>
      <c r="BF200" s="309"/>
      <c r="BG200" s="309"/>
      <c r="BH200" s="124"/>
      <c r="BI200" s="41"/>
      <c r="BK200" s="194"/>
      <c r="BL200" s="123"/>
      <c r="BM200" s="195"/>
      <c r="BN200" s="194"/>
      <c r="BO200" s="123"/>
      <c r="BP200" s="195"/>
      <c r="BQ200" s="194"/>
      <c r="BR200" s="123"/>
      <c r="BS200" s="195"/>
      <c r="BT200" s="194"/>
      <c r="BU200" s="123"/>
      <c r="BV200" s="195"/>
      <c r="BW200" s="194"/>
      <c r="BX200" s="123"/>
      <c r="BY200" s="195"/>
      <c r="BZ200" s="194"/>
      <c r="CA200" s="123"/>
      <c r="CB200" s="195"/>
      <c r="CC200" s="194"/>
      <c r="CD200" s="123"/>
      <c r="CE200" s="195"/>
      <c r="CF200" s="194"/>
      <c r="CG200" s="123"/>
      <c r="CH200" s="195"/>
      <c r="CI200" s="194"/>
      <c r="CJ200" s="123"/>
      <c r="CK200" s="195"/>
      <c r="CL200" s="194"/>
      <c r="CM200" s="123"/>
      <c r="CN200" s="195"/>
      <c r="CO200" s="194"/>
      <c r="CP200" s="123"/>
      <c r="CQ200" s="195"/>
      <c r="CR200" s="194"/>
      <c r="CS200" s="123"/>
      <c r="CT200" s="195"/>
      <c r="CU200" s="194"/>
      <c r="CV200" s="123"/>
      <c r="CW200" s="195"/>
      <c r="CX200" s="194"/>
      <c r="CY200" s="123"/>
      <c r="CZ200" s="195"/>
      <c r="DA200" s="194"/>
      <c r="DB200" s="123"/>
      <c r="DC200" s="195"/>
      <c r="DD200" s="194"/>
      <c r="DE200" s="123"/>
      <c r="DF200" s="195"/>
      <c r="DL200" s="321"/>
      <c r="DM200" s="321"/>
      <c r="DN200" s="321"/>
      <c r="DO200" s="321"/>
      <c r="DP200" s="321"/>
      <c r="DQ200" s="321"/>
      <c r="DR200" s="321"/>
      <c r="DS200" s="321"/>
    </row>
    <row r="201" spans="1:123" ht="7.4" customHeight="1" x14ac:dyDescent="0.5">
      <c r="A201" s="42"/>
      <c r="B201" s="42"/>
      <c r="C201" s="75"/>
      <c r="D201" s="75"/>
      <c r="E201" s="41"/>
      <c r="F201" s="42"/>
      <c r="G201" s="56"/>
      <c r="H201" s="56"/>
      <c r="I201" s="56"/>
      <c r="J201" s="56"/>
      <c r="K201" s="56"/>
      <c r="L201" s="56"/>
      <c r="M201" s="56"/>
      <c r="N201" s="56"/>
      <c r="O201" s="56"/>
      <c r="P201" s="56"/>
      <c r="Q201" s="56"/>
      <c r="R201" s="126"/>
      <c r="S201" s="42"/>
      <c r="T201" s="49"/>
      <c r="U201" s="49"/>
      <c r="V201" s="49"/>
      <c r="W201" s="49"/>
      <c r="X201" s="49"/>
      <c r="Y201" s="49"/>
      <c r="Z201" s="49"/>
      <c r="AA201" s="49"/>
      <c r="AB201" s="49"/>
      <c r="AC201" s="49"/>
      <c r="AD201" s="49"/>
      <c r="AE201" s="49"/>
      <c r="AF201" s="49"/>
      <c r="AG201" s="49"/>
      <c r="AH201" s="49"/>
      <c r="AI201" s="49"/>
      <c r="AJ201" s="110"/>
      <c r="AK201" s="42"/>
      <c r="AL201" s="127"/>
      <c r="AM201" s="127"/>
      <c r="AN201" s="127"/>
      <c r="AO201" s="127"/>
      <c r="AP201" s="43"/>
      <c r="AQ201" s="128"/>
      <c r="AR201" s="129"/>
      <c r="AS201" s="129"/>
      <c r="AT201" s="129"/>
      <c r="AU201" s="129"/>
      <c r="AV201" s="129"/>
      <c r="AW201" s="129"/>
      <c r="AX201" s="105"/>
      <c r="AY201" s="130"/>
      <c r="AZ201" s="131"/>
      <c r="BA201" s="131"/>
      <c r="BB201" s="131"/>
      <c r="BC201" s="131"/>
      <c r="BD201" s="131"/>
      <c r="BE201" s="131"/>
      <c r="BF201" s="131"/>
      <c r="BG201" s="131"/>
      <c r="BH201" s="124"/>
      <c r="BI201" s="41"/>
      <c r="BK201" s="194"/>
      <c r="BL201" s="123"/>
      <c r="BM201" s="195"/>
      <c r="BN201" s="194"/>
      <c r="BO201" s="123"/>
      <c r="BP201" s="195"/>
      <c r="BQ201" s="194"/>
      <c r="BR201" s="123"/>
      <c r="BS201" s="195"/>
      <c r="BT201" s="194"/>
      <c r="BU201" s="123"/>
      <c r="BV201" s="195"/>
      <c r="BW201" s="194"/>
      <c r="BX201" s="123"/>
      <c r="BY201" s="195"/>
      <c r="BZ201" s="194"/>
      <c r="CA201" s="123"/>
      <c r="CB201" s="195"/>
      <c r="CC201" s="194"/>
      <c r="CD201" s="123"/>
      <c r="CE201" s="195"/>
      <c r="CF201" s="194"/>
      <c r="CG201" s="123"/>
      <c r="CH201" s="195"/>
      <c r="CI201" s="194"/>
      <c r="CJ201" s="123"/>
      <c r="CK201" s="195"/>
      <c r="CL201" s="194"/>
      <c r="CM201" s="123"/>
      <c r="CN201" s="195"/>
      <c r="CO201" s="194"/>
      <c r="CP201" s="123"/>
      <c r="CQ201" s="195"/>
      <c r="CR201" s="194"/>
      <c r="CS201" s="123"/>
      <c r="CT201" s="195"/>
      <c r="CU201" s="194"/>
      <c r="CV201" s="123"/>
      <c r="CW201" s="195"/>
      <c r="CX201" s="194"/>
      <c r="CY201" s="123"/>
      <c r="CZ201" s="195"/>
      <c r="DA201" s="194"/>
      <c r="DB201" s="123"/>
      <c r="DC201" s="195"/>
      <c r="DD201" s="194"/>
      <c r="DE201" s="123"/>
      <c r="DF201" s="195"/>
      <c r="DL201" s="105"/>
      <c r="DM201" s="105"/>
      <c r="DN201" s="105"/>
      <c r="DO201" s="105"/>
      <c r="DP201" s="105"/>
      <c r="DQ201" s="105"/>
      <c r="DR201" s="105"/>
      <c r="DS201" s="105"/>
    </row>
    <row r="202" spans="1:123" ht="7.4" customHeight="1" x14ac:dyDescent="0.5">
      <c r="A202" s="42"/>
      <c r="B202" s="50"/>
      <c r="C202" s="51"/>
      <c r="D202" s="51"/>
      <c r="E202" s="52"/>
      <c r="F202" s="50"/>
      <c r="G202" s="132"/>
      <c r="H202" s="132"/>
      <c r="I202" s="132"/>
      <c r="J202" s="132"/>
      <c r="K202" s="132"/>
      <c r="L202" s="132"/>
      <c r="M202" s="132"/>
      <c r="N202" s="132"/>
      <c r="O202" s="132"/>
      <c r="P202" s="132"/>
      <c r="Q202" s="132"/>
      <c r="R202" s="204"/>
      <c r="S202" s="50"/>
      <c r="T202" s="51"/>
      <c r="U202" s="51"/>
      <c r="V202" s="51"/>
      <c r="W202" s="51"/>
      <c r="X202" s="51"/>
      <c r="Y202" s="51"/>
      <c r="Z202" s="51"/>
      <c r="AA202" s="51"/>
      <c r="AB202" s="51"/>
      <c r="AC202" s="51"/>
      <c r="AD202" s="51"/>
      <c r="AE202" s="51"/>
      <c r="AF202" s="51"/>
      <c r="AG202" s="51"/>
      <c r="AH202" s="51"/>
      <c r="AI202" s="51"/>
      <c r="AJ202" s="52"/>
      <c r="AK202" s="50"/>
      <c r="AL202" s="355"/>
      <c r="AM202" s="355"/>
      <c r="AN202" s="355"/>
      <c r="AO202" s="355"/>
      <c r="AP202" s="84"/>
      <c r="AQ202" s="50"/>
      <c r="AR202" s="135"/>
      <c r="AS202" s="135"/>
      <c r="AT202" s="135"/>
      <c r="AU202" s="135"/>
      <c r="AV202" s="135"/>
      <c r="AW202" s="135"/>
      <c r="AX202" s="135"/>
      <c r="AY202" s="51"/>
      <c r="AZ202" s="135"/>
      <c r="BA202" s="135"/>
      <c r="BB202" s="135"/>
      <c r="BC202" s="135"/>
      <c r="BD202" s="135"/>
      <c r="BE202" s="135"/>
      <c r="BF202" s="135"/>
      <c r="BG202" s="135"/>
      <c r="BH202" s="158"/>
      <c r="BI202" s="41"/>
      <c r="BK202" s="205"/>
      <c r="BL202" s="206"/>
      <c r="BM202" s="207"/>
      <c r="BN202" s="205"/>
      <c r="BO202" s="206"/>
      <c r="BP202" s="207"/>
      <c r="BQ202" s="205"/>
      <c r="BR202" s="206"/>
      <c r="BS202" s="207"/>
      <c r="BT202" s="205"/>
      <c r="BU202" s="206"/>
      <c r="BV202" s="207"/>
      <c r="BW202" s="205"/>
      <c r="BX202" s="206"/>
      <c r="BY202" s="207"/>
      <c r="BZ202" s="205"/>
      <c r="CA202" s="206"/>
      <c r="CB202" s="207"/>
      <c r="CC202" s="205"/>
      <c r="CD202" s="206"/>
      <c r="CE202" s="207"/>
      <c r="CF202" s="205"/>
      <c r="CG202" s="206"/>
      <c r="CH202" s="207"/>
      <c r="CI202" s="205"/>
      <c r="CJ202" s="206"/>
      <c r="CK202" s="207"/>
      <c r="CL202" s="205"/>
      <c r="CM202" s="206"/>
      <c r="CN202" s="207"/>
      <c r="CO202" s="205"/>
      <c r="CP202" s="206"/>
      <c r="CQ202" s="207"/>
      <c r="CR202" s="205"/>
      <c r="CS202" s="206"/>
      <c r="CT202" s="207"/>
      <c r="CU202" s="205"/>
      <c r="CV202" s="206"/>
      <c r="CW202" s="207"/>
      <c r="CX202" s="205"/>
      <c r="CY202" s="206"/>
      <c r="CZ202" s="207"/>
      <c r="DA202" s="205"/>
      <c r="DB202" s="206"/>
      <c r="DC202" s="207"/>
      <c r="DD202" s="205"/>
      <c r="DE202" s="206"/>
      <c r="DF202" s="207"/>
      <c r="DH202" s="311"/>
      <c r="DI202" s="311"/>
      <c r="DJ202" s="311"/>
      <c r="DK202" s="311"/>
      <c r="DL202" s="321"/>
      <c r="DM202" s="321"/>
      <c r="DN202" s="321"/>
      <c r="DO202" s="321"/>
      <c r="DP202" s="321"/>
      <c r="DQ202" s="321"/>
      <c r="DR202" s="321"/>
      <c r="DS202" s="321"/>
    </row>
    <row r="203" spans="1:123" ht="7.4" customHeight="1" x14ac:dyDescent="0.5">
      <c r="A203" s="50"/>
      <c r="B203" s="51"/>
      <c r="C203" s="51"/>
      <c r="D203" s="51"/>
      <c r="E203" s="51"/>
      <c r="F203" s="51"/>
      <c r="G203" s="51"/>
      <c r="H203" s="51"/>
      <c r="I203" s="51"/>
      <c r="J203" s="51"/>
      <c r="K203" s="51"/>
      <c r="L203" s="51"/>
      <c r="M203" s="51"/>
      <c r="N203" s="51"/>
      <c r="O203" s="51"/>
      <c r="P203" s="51"/>
      <c r="Q203" s="51"/>
      <c r="R203" s="51"/>
      <c r="S203" s="51"/>
      <c r="T203" s="51"/>
      <c r="U203" s="51"/>
      <c r="V203" s="51"/>
      <c r="W203" s="208"/>
      <c r="X203" s="208"/>
      <c r="Y203" s="208"/>
      <c r="Z203" s="208"/>
      <c r="AA203" s="208"/>
      <c r="AB203" s="51"/>
      <c r="AC203" s="51"/>
      <c r="AD203" s="208"/>
      <c r="AE203" s="208"/>
      <c r="AF203" s="208"/>
      <c r="AG203" s="208"/>
      <c r="AH203" s="208"/>
      <c r="AI203" s="51"/>
      <c r="AJ203" s="51"/>
      <c r="AK203" s="51"/>
      <c r="AL203" s="51"/>
      <c r="AM203" s="51"/>
      <c r="AN203" s="51"/>
      <c r="AO203" s="51"/>
      <c r="AP203" s="51"/>
      <c r="AQ203" s="51"/>
      <c r="AR203" s="51"/>
      <c r="AS203" s="51"/>
      <c r="AT203" s="51"/>
      <c r="AU203" s="51"/>
      <c r="AV203" s="51"/>
      <c r="AW203" s="51"/>
      <c r="AX203" s="51"/>
      <c r="AY203" s="51"/>
      <c r="AZ203" s="51"/>
      <c r="BA203" s="51"/>
      <c r="BB203" s="51"/>
      <c r="BC203" s="51"/>
      <c r="BD203" s="51"/>
      <c r="BE203" s="51"/>
      <c r="BF203" s="51"/>
      <c r="BG203" s="51"/>
      <c r="BH203" s="51"/>
      <c r="BI203" s="52"/>
    </row>
    <row r="204" spans="1:123" ht="7.4" customHeight="1" x14ac:dyDescent="0.5">
      <c r="A204" s="222"/>
      <c r="B204" s="222"/>
      <c r="C204" s="222"/>
      <c r="D204" s="222"/>
      <c r="E204" s="222"/>
      <c r="F204" s="222"/>
      <c r="G204" s="222"/>
      <c r="H204" s="222"/>
      <c r="I204" s="222"/>
      <c r="J204" s="222"/>
      <c r="K204" s="222"/>
      <c r="L204" s="222"/>
      <c r="M204" s="222"/>
      <c r="N204" s="222"/>
      <c r="O204" s="222"/>
      <c r="P204" s="222"/>
      <c r="Q204" s="222"/>
      <c r="R204" s="222"/>
      <c r="S204" s="222"/>
      <c r="T204" s="222"/>
      <c r="U204" s="222"/>
      <c r="V204" s="222"/>
      <c r="W204" s="222"/>
      <c r="X204" s="222"/>
      <c r="Y204" s="222"/>
      <c r="Z204" s="222"/>
      <c r="AA204" s="222"/>
      <c r="AB204" s="222"/>
      <c r="AC204" s="222"/>
      <c r="AD204" s="222"/>
      <c r="AE204" s="222"/>
      <c r="AF204" s="222"/>
      <c r="AG204" s="222"/>
      <c r="AH204" s="222"/>
      <c r="AI204" s="222"/>
      <c r="AJ204" s="222"/>
      <c r="AK204" s="222"/>
      <c r="AL204" s="222"/>
      <c r="AM204" s="222"/>
      <c r="AN204" s="222"/>
      <c r="AO204" s="222"/>
      <c r="AP204" s="222"/>
      <c r="AQ204" s="222"/>
      <c r="AR204" s="222"/>
      <c r="AS204" s="222"/>
      <c r="AT204" s="222"/>
      <c r="AU204" s="222"/>
      <c r="AV204" s="222"/>
      <c r="AW204" s="222"/>
      <c r="AX204" s="222"/>
      <c r="AY204" s="222"/>
      <c r="AZ204" s="222"/>
      <c r="BA204" s="222"/>
      <c r="BB204" s="222"/>
      <c r="BC204" s="222"/>
      <c r="BD204" s="222"/>
      <c r="BE204" s="222"/>
      <c r="BF204" s="222"/>
      <c r="BG204" s="222"/>
      <c r="BH204" s="222"/>
      <c r="BI204" s="222"/>
    </row>
    <row r="205" spans="1:123" ht="7.4" customHeight="1" x14ac:dyDescent="0.5">
      <c r="A205" s="505" t="s">
        <v>56</v>
      </c>
      <c r="B205" s="505"/>
      <c r="C205" s="505"/>
      <c r="D205" s="505"/>
      <c r="E205" s="505"/>
      <c r="F205" s="505"/>
      <c r="G205" s="505"/>
      <c r="H205" s="505"/>
      <c r="I205" s="505"/>
      <c r="J205" s="505"/>
      <c r="K205" s="505"/>
      <c r="L205" s="505"/>
      <c r="M205" s="505"/>
      <c r="N205" s="505"/>
      <c r="O205" s="505"/>
      <c r="P205" s="505"/>
      <c r="Q205" s="505"/>
      <c r="R205" s="505"/>
      <c r="S205" s="505"/>
      <c r="T205" s="505"/>
      <c r="U205" s="505"/>
      <c r="V205" s="505"/>
      <c r="W205" s="505"/>
      <c r="X205" s="505"/>
      <c r="Y205" s="505"/>
      <c r="Z205" s="505"/>
      <c r="AA205" s="505"/>
      <c r="AB205" s="505"/>
      <c r="AC205" s="505"/>
      <c r="AD205" s="505"/>
      <c r="AE205" s="505"/>
      <c r="AF205" s="505"/>
      <c r="AG205" s="505"/>
      <c r="AH205" s="505"/>
      <c r="AI205" s="505"/>
      <c r="AJ205" s="505"/>
      <c r="AK205" s="505"/>
      <c r="AL205" s="505"/>
      <c r="AM205" s="505"/>
      <c r="AN205" s="505"/>
      <c r="AO205" s="505"/>
      <c r="AP205" s="505"/>
      <c r="AQ205" s="505"/>
      <c r="AR205" s="505"/>
      <c r="AS205" s="505"/>
      <c r="AT205" s="505"/>
      <c r="AU205" s="505"/>
      <c r="AV205" s="505"/>
      <c r="AW205" s="505"/>
      <c r="AX205" s="505"/>
      <c r="AY205" s="505"/>
      <c r="AZ205" s="505"/>
      <c r="BA205" s="505"/>
      <c r="BB205" s="505"/>
      <c r="BC205" s="505"/>
      <c r="BD205" s="505"/>
      <c r="BE205" s="505"/>
      <c r="BF205" s="505"/>
      <c r="BG205" s="505"/>
      <c r="BH205" s="505"/>
      <c r="BI205" s="505"/>
    </row>
    <row r="206" spans="1:123" ht="7.4" customHeight="1" x14ac:dyDescent="0.5">
      <c r="A206" s="505"/>
      <c r="B206" s="505"/>
      <c r="C206" s="505"/>
      <c r="D206" s="505"/>
      <c r="E206" s="505"/>
      <c r="F206" s="505"/>
      <c r="G206" s="505"/>
      <c r="H206" s="505"/>
      <c r="I206" s="505"/>
      <c r="J206" s="505"/>
      <c r="K206" s="505"/>
      <c r="L206" s="505"/>
      <c r="M206" s="505"/>
      <c r="N206" s="505"/>
      <c r="O206" s="505"/>
      <c r="P206" s="505"/>
      <c r="Q206" s="505"/>
      <c r="R206" s="505"/>
      <c r="S206" s="505"/>
      <c r="T206" s="505"/>
      <c r="U206" s="505"/>
      <c r="V206" s="505"/>
      <c r="W206" s="505"/>
      <c r="X206" s="505"/>
      <c r="Y206" s="505"/>
      <c r="Z206" s="505"/>
      <c r="AA206" s="505"/>
      <c r="AB206" s="505"/>
      <c r="AC206" s="505"/>
      <c r="AD206" s="505"/>
      <c r="AE206" s="505"/>
      <c r="AF206" s="505"/>
      <c r="AG206" s="505"/>
      <c r="AH206" s="505"/>
      <c r="AI206" s="505"/>
      <c r="AJ206" s="505"/>
      <c r="AK206" s="505"/>
      <c r="AL206" s="505"/>
      <c r="AM206" s="505"/>
      <c r="AN206" s="505"/>
      <c r="AO206" s="505"/>
      <c r="AP206" s="505"/>
      <c r="AQ206" s="505"/>
      <c r="AR206" s="505"/>
      <c r="AS206" s="505"/>
      <c r="AT206" s="505"/>
      <c r="AU206" s="505"/>
      <c r="AV206" s="505"/>
      <c r="AW206" s="505"/>
      <c r="AX206" s="505"/>
      <c r="AY206" s="505"/>
      <c r="AZ206" s="505"/>
      <c r="BA206" s="505"/>
      <c r="BB206" s="505"/>
      <c r="BC206" s="505"/>
      <c r="BD206" s="505"/>
      <c r="BE206" s="505"/>
      <c r="BF206" s="505"/>
      <c r="BG206" s="505"/>
      <c r="BH206" s="505"/>
      <c r="BI206" s="505"/>
    </row>
    <row r="207" spans="1:123" ht="7.4" customHeight="1" x14ac:dyDescent="0.5">
      <c r="A207" s="222"/>
      <c r="B207" s="222"/>
      <c r="C207" s="222"/>
      <c r="D207" s="222"/>
      <c r="E207" s="222"/>
      <c r="F207" s="222"/>
      <c r="G207" s="222"/>
      <c r="H207" s="222"/>
      <c r="I207" s="222"/>
      <c r="J207" s="222"/>
      <c r="K207" s="222"/>
      <c r="L207" s="222"/>
      <c r="M207" s="222"/>
      <c r="N207" s="222"/>
      <c r="O207" s="222"/>
      <c r="P207" s="222"/>
      <c r="Q207" s="222"/>
      <c r="R207" s="222"/>
      <c r="S207" s="222"/>
      <c r="T207" s="222"/>
      <c r="U207" s="222"/>
      <c r="V207" s="222"/>
      <c r="W207" s="222"/>
      <c r="X207" s="222"/>
      <c r="Y207" s="222"/>
      <c r="Z207" s="222"/>
      <c r="AA207" s="222"/>
      <c r="AB207" s="222"/>
      <c r="AC207" s="222"/>
      <c r="AD207" s="222"/>
      <c r="AE207" s="222"/>
      <c r="AF207" s="222"/>
      <c r="AG207" s="222"/>
      <c r="AH207" s="222"/>
      <c r="AI207" s="222"/>
      <c r="AJ207" s="222"/>
      <c r="AK207" s="222"/>
      <c r="AL207" s="222"/>
      <c r="AM207" s="222"/>
      <c r="AN207" s="222"/>
      <c r="AO207" s="222"/>
      <c r="AP207" s="222"/>
      <c r="AQ207" s="222"/>
      <c r="AR207" s="222"/>
      <c r="AS207" s="222"/>
      <c r="AT207" s="222"/>
      <c r="AU207" s="222"/>
      <c r="AV207" s="222"/>
      <c r="AW207" s="222"/>
      <c r="AX207" s="222"/>
      <c r="AY207" s="222"/>
      <c r="AZ207" s="222"/>
      <c r="BA207" s="222"/>
      <c r="BB207" s="222"/>
      <c r="BC207" s="222"/>
      <c r="BD207" s="222"/>
      <c r="BE207" s="222"/>
      <c r="BF207" s="222"/>
      <c r="BG207" s="222"/>
      <c r="BH207" s="222"/>
      <c r="BI207" s="222"/>
    </row>
    <row r="208" spans="1:123" ht="7.4" customHeight="1" x14ac:dyDescent="0.5">
      <c r="A208" s="506" t="s">
        <v>57</v>
      </c>
      <c r="B208" s="506"/>
      <c r="C208" s="506"/>
      <c r="D208" s="506"/>
      <c r="E208" s="506"/>
      <c r="F208" s="506"/>
      <c r="G208" s="506"/>
      <c r="H208" s="506"/>
      <c r="I208" s="506"/>
      <c r="J208" s="506"/>
      <c r="K208" s="506"/>
      <c r="L208" s="506"/>
      <c r="M208" s="506"/>
      <c r="N208" s="506"/>
      <c r="O208" s="506"/>
      <c r="P208" s="506"/>
      <c r="Q208" s="506"/>
      <c r="R208" s="506"/>
      <c r="S208" s="506"/>
      <c r="T208" s="506"/>
      <c r="U208" s="506"/>
      <c r="V208" s="506"/>
      <c r="W208" s="506"/>
      <c r="X208" s="506"/>
      <c r="Y208" s="506"/>
      <c r="Z208" s="506"/>
      <c r="AA208" s="506"/>
      <c r="AB208" s="506"/>
      <c r="AC208" s="506"/>
      <c r="AD208" s="506"/>
      <c r="AE208" s="506"/>
      <c r="AF208" s="506"/>
      <c r="AG208" s="506"/>
      <c r="AH208" s="506"/>
      <c r="AI208" s="506"/>
      <c r="AJ208" s="506"/>
      <c r="AK208" s="506"/>
      <c r="AL208" s="506"/>
      <c r="AM208" s="506"/>
      <c r="AN208" s="506"/>
      <c r="AO208" s="506"/>
      <c r="AP208" s="506"/>
      <c r="AQ208" s="506"/>
      <c r="AR208" s="506"/>
      <c r="AS208" s="506"/>
      <c r="AT208" s="506"/>
      <c r="AU208" s="506"/>
      <c r="AV208" s="506"/>
      <c r="AW208" s="506"/>
      <c r="AX208" s="506"/>
      <c r="AY208" s="506"/>
      <c r="AZ208" s="506"/>
      <c r="BA208" s="506"/>
      <c r="BB208" s="506"/>
      <c r="BC208" s="506"/>
      <c r="BD208" s="506"/>
      <c r="BE208" s="506"/>
      <c r="BF208" s="506"/>
      <c r="BG208" s="506"/>
      <c r="BH208" s="506"/>
      <c r="BI208" s="506"/>
    </row>
    <row r="209" spans="1:61" ht="7.4" customHeight="1" x14ac:dyDescent="0.5">
      <c r="A209" s="506"/>
      <c r="B209" s="506"/>
      <c r="C209" s="506"/>
      <c r="D209" s="506"/>
      <c r="E209" s="506"/>
      <c r="F209" s="506"/>
      <c r="G209" s="506"/>
      <c r="H209" s="506"/>
      <c r="I209" s="506"/>
      <c r="J209" s="506"/>
      <c r="K209" s="506"/>
      <c r="L209" s="506"/>
      <c r="M209" s="506"/>
      <c r="N209" s="506"/>
      <c r="O209" s="506"/>
      <c r="P209" s="506"/>
      <c r="Q209" s="506"/>
      <c r="R209" s="506"/>
      <c r="S209" s="506"/>
      <c r="T209" s="506"/>
      <c r="U209" s="506"/>
      <c r="V209" s="506"/>
      <c r="W209" s="506"/>
      <c r="X209" s="506"/>
      <c r="Y209" s="506"/>
      <c r="Z209" s="506"/>
      <c r="AA209" s="506"/>
      <c r="AB209" s="506"/>
      <c r="AC209" s="506"/>
      <c r="AD209" s="506"/>
      <c r="AE209" s="506"/>
      <c r="AF209" s="506"/>
      <c r="AG209" s="506"/>
      <c r="AH209" s="506"/>
      <c r="AI209" s="506"/>
      <c r="AJ209" s="506"/>
      <c r="AK209" s="506"/>
      <c r="AL209" s="506"/>
      <c r="AM209" s="506"/>
      <c r="AN209" s="506"/>
      <c r="AO209" s="506"/>
      <c r="AP209" s="506"/>
      <c r="AQ209" s="506"/>
      <c r="AR209" s="506"/>
      <c r="AS209" s="506"/>
      <c r="AT209" s="506"/>
      <c r="AU209" s="506"/>
      <c r="AV209" s="506"/>
      <c r="AW209" s="506"/>
      <c r="AX209" s="506"/>
      <c r="AY209" s="506"/>
      <c r="AZ209" s="506"/>
      <c r="BA209" s="506"/>
      <c r="BB209" s="506"/>
      <c r="BC209" s="506"/>
      <c r="BD209" s="506"/>
      <c r="BE209" s="506"/>
      <c r="BF209" s="506"/>
      <c r="BG209" s="506"/>
      <c r="BH209" s="506"/>
      <c r="BI209" s="506"/>
    </row>
    <row r="210" spans="1:61" ht="7.4" customHeight="1" x14ac:dyDescent="0.5">
      <c r="A210" s="228"/>
      <c r="B210" s="228"/>
      <c r="C210" s="228"/>
      <c r="D210" s="228"/>
      <c r="E210" s="228"/>
      <c r="F210" s="228"/>
      <c r="G210" s="228"/>
      <c r="H210" s="228"/>
      <c r="I210" s="228"/>
      <c r="J210" s="228"/>
      <c r="K210" s="228"/>
      <c r="L210" s="228"/>
      <c r="M210" s="228"/>
      <c r="N210" s="228"/>
      <c r="O210" s="228"/>
      <c r="P210" s="228"/>
      <c r="Q210" s="228"/>
      <c r="R210" s="228"/>
      <c r="S210" s="228"/>
      <c r="T210" s="228"/>
      <c r="U210" s="228"/>
      <c r="V210" s="228"/>
      <c r="W210" s="228"/>
      <c r="X210" s="228"/>
      <c r="Y210" s="228"/>
      <c r="Z210" s="228"/>
      <c r="AA210" s="228"/>
      <c r="AB210" s="228"/>
      <c r="AC210" s="228"/>
      <c r="AD210" s="228"/>
      <c r="AE210" s="228"/>
      <c r="AF210" s="228"/>
      <c r="AG210" s="228"/>
      <c r="AH210" s="228"/>
      <c r="AI210" s="228"/>
      <c r="AJ210" s="228"/>
      <c r="AK210" s="228"/>
      <c r="AL210" s="228"/>
      <c r="AM210" s="228"/>
      <c r="AN210" s="228"/>
      <c r="AO210" s="228"/>
      <c r="AP210" s="228"/>
      <c r="AQ210" s="228"/>
      <c r="AR210" s="228"/>
      <c r="AS210" s="228"/>
      <c r="AT210" s="228"/>
      <c r="AU210" s="228"/>
      <c r="AV210" s="228"/>
      <c r="AW210" s="228"/>
      <c r="AX210" s="228"/>
      <c r="AY210" s="228"/>
      <c r="AZ210" s="228"/>
      <c r="BA210" s="228"/>
      <c r="BB210" s="228"/>
      <c r="BC210" s="228"/>
      <c r="BD210" s="228"/>
      <c r="BE210" s="228"/>
      <c r="BF210" s="228"/>
      <c r="BG210" s="228"/>
      <c r="BH210" s="228"/>
      <c r="BI210" s="228"/>
    </row>
    <row r="211" spans="1:61" ht="7.4" customHeight="1" x14ac:dyDescent="0.5">
      <c r="A211" s="228"/>
      <c r="B211" s="228"/>
      <c r="C211" s="228"/>
      <c r="D211" s="228"/>
      <c r="E211" s="228"/>
      <c r="F211" s="228"/>
      <c r="G211" s="228"/>
      <c r="H211" s="228"/>
      <c r="I211" s="228"/>
      <c r="J211" s="228"/>
      <c r="K211" s="228"/>
      <c r="L211" s="228"/>
      <c r="M211" s="228"/>
      <c r="N211" s="228"/>
      <c r="O211" s="228"/>
      <c r="P211" s="228"/>
      <c r="Q211" s="228"/>
      <c r="R211" s="228"/>
      <c r="S211" s="228"/>
      <c r="T211" s="228"/>
      <c r="U211" s="228"/>
      <c r="V211" s="228"/>
      <c r="W211" s="228"/>
      <c r="X211" s="228"/>
      <c r="Y211" s="228"/>
      <c r="Z211" s="228"/>
      <c r="AA211" s="228"/>
      <c r="AB211" s="228"/>
      <c r="AC211" s="228"/>
      <c r="AD211" s="228"/>
      <c r="AE211" s="228"/>
      <c r="AF211" s="228"/>
      <c r="AG211" s="228"/>
      <c r="AH211" s="228"/>
      <c r="AI211" s="228"/>
      <c r="AJ211" s="228"/>
      <c r="AK211" s="228"/>
      <c r="AL211" s="228"/>
      <c r="AM211" s="228"/>
      <c r="AN211" s="228"/>
      <c r="AO211" s="228"/>
      <c r="AP211" s="228"/>
      <c r="AQ211" s="228"/>
      <c r="AR211" s="228"/>
      <c r="AS211" s="228"/>
      <c r="AT211" s="228"/>
      <c r="AU211" s="228"/>
      <c r="AV211" s="228"/>
      <c r="AW211" s="228"/>
      <c r="AX211" s="228"/>
      <c r="AY211" s="228"/>
      <c r="AZ211" s="228"/>
      <c r="BA211" s="228"/>
      <c r="BB211" s="228"/>
      <c r="BC211" s="228"/>
      <c r="BD211" s="228"/>
      <c r="BE211" s="228"/>
      <c r="BF211" s="228"/>
      <c r="BG211" s="228"/>
      <c r="BH211" s="228"/>
      <c r="BI211" s="228"/>
    </row>
    <row r="212" spans="1:61" ht="7.4" customHeight="1" x14ac:dyDescent="0.5">
      <c r="A212" s="223"/>
      <c r="B212" s="223"/>
      <c r="C212" s="223"/>
      <c r="D212" s="223"/>
      <c r="E212" s="223"/>
      <c r="F212" s="223"/>
      <c r="G212" s="223"/>
      <c r="H212" s="223"/>
      <c r="I212" s="223"/>
      <c r="J212" s="223"/>
      <c r="K212" s="223"/>
      <c r="L212" s="223"/>
      <c r="M212" s="223"/>
      <c r="N212" s="223"/>
      <c r="O212" s="223"/>
      <c r="P212" s="223"/>
      <c r="Q212" s="223"/>
      <c r="R212" s="223"/>
      <c r="S212" s="223"/>
      <c r="T212" s="223"/>
      <c r="U212" s="223"/>
      <c r="V212" s="223"/>
      <c r="W212" s="223"/>
      <c r="X212" s="223"/>
      <c r="Y212" s="223"/>
      <c r="Z212" s="223"/>
      <c r="AA212" s="223"/>
      <c r="AB212" s="223"/>
      <c r="AC212" s="223"/>
      <c r="AD212" s="223"/>
      <c r="AE212" s="223"/>
      <c r="AF212" s="223"/>
      <c r="AG212" s="223"/>
      <c r="AH212" s="223"/>
      <c r="AI212" s="223"/>
      <c r="AJ212" s="223"/>
      <c r="AK212" s="223"/>
      <c r="AL212" s="223"/>
      <c r="AM212" s="223"/>
      <c r="AN212" s="223"/>
      <c r="AO212" s="223"/>
      <c r="AP212" s="223"/>
      <c r="AQ212" s="223"/>
      <c r="AR212" s="223"/>
      <c r="AS212" s="223"/>
      <c r="AT212" s="223"/>
      <c r="AU212" s="223"/>
      <c r="AV212" s="223"/>
      <c r="AW212" s="223"/>
      <c r="AX212" s="223"/>
      <c r="AY212" s="223"/>
      <c r="AZ212" s="223"/>
      <c r="BA212" s="223"/>
      <c r="BB212" s="223"/>
      <c r="BC212" s="223"/>
      <c r="BD212" s="223"/>
      <c r="BE212" s="223"/>
      <c r="BF212" s="223"/>
      <c r="BG212" s="223"/>
      <c r="BH212" s="223"/>
      <c r="BI212" s="223"/>
    </row>
    <row r="213" spans="1:61" ht="7.4" customHeight="1" x14ac:dyDescent="0.5">
      <c r="A213" s="223"/>
      <c r="B213" s="223"/>
      <c r="C213" s="223"/>
      <c r="D213" s="223"/>
      <c r="E213" s="223"/>
      <c r="F213" s="223"/>
      <c r="G213" s="223"/>
      <c r="H213" s="223"/>
      <c r="I213" s="223"/>
      <c r="J213" s="223"/>
      <c r="K213" s="223"/>
      <c r="L213" s="223"/>
      <c r="M213" s="223"/>
      <c r="N213" s="223"/>
      <c r="O213" s="223"/>
      <c r="P213" s="223"/>
      <c r="Q213" s="223"/>
      <c r="R213" s="223"/>
      <c r="S213" s="223"/>
      <c r="T213" s="223"/>
      <c r="U213" s="223"/>
      <c r="V213" s="223"/>
      <c r="W213" s="223"/>
      <c r="X213" s="223"/>
      <c r="Y213" s="223"/>
      <c r="Z213" s="223"/>
      <c r="AA213" s="223"/>
      <c r="AB213" s="223"/>
      <c r="AC213" s="223"/>
      <c r="AD213" s="223"/>
      <c r="AE213" s="223"/>
      <c r="AF213" s="223"/>
      <c r="AG213" s="223"/>
      <c r="AH213" s="223"/>
      <c r="AI213" s="223"/>
      <c r="AJ213" s="223"/>
      <c r="AK213" s="223"/>
      <c r="AL213" s="223"/>
      <c r="AM213" s="223"/>
      <c r="AN213" s="223"/>
      <c r="AO213" s="223"/>
      <c r="AP213" s="223"/>
      <c r="AQ213" s="223"/>
      <c r="AR213" s="223"/>
      <c r="AS213" s="223"/>
      <c r="AT213" s="223"/>
      <c r="AU213" s="223"/>
      <c r="AV213" s="223"/>
      <c r="AW213" s="223"/>
      <c r="AX213" s="223"/>
      <c r="AY213" s="223"/>
      <c r="AZ213" s="223"/>
      <c r="BA213" s="223"/>
      <c r="BB213" s="223"/>
      <c r="BC213" s="223"/>
      <c r="BD213" s="223"/>
      <c r="BE213" s="223"/>
      <c r="BF213" s="223"/>
      <c r="BG213" s="223"/>
      <c r="BH213" s="223"/>
      <c r="BI213" s="223"/>
    </row>
    <row r="214" spans="1:61" ht="7.4" customHeight="1" x14ac:dyDescent="0.5">
      <c r="A214" s="223"/>
      <c r="B214" s="223"/>
      <c r="C214" s="223"/>
      <c r="D214" s="223"/>
      <c r="E214" s="223"/>
      <c r="F214" s="223"/>
      <c r="G214" s="223"/>
      <c r="H214" s="223"/>
      <c r="I214" s="223"/>
      <c r="J214" s="223"/>
      <c r="K214" s="223"/>
      <c r="L214" s="223"/>
      <c r="M214" s="223"/>
      <c r="N214" s="223"/>
      <c r="O214" s="223"/>
      <c r="P214" s="223"/>
      <c r="Q214" s="223"/>
      <c r="R214" s="223"/>
      <c r="S214" s="223"/>
      <c r="T214" s="223"/>
      <c r="U214" s="223"/>
      <c r="V214" s="223"/>
      <c r="W214" s="223"/>
      <c r="X214" s="223"/>
      <c r="Y214" s="223"/>
      <c r="Z214" s="223"/>
      <c r="AA214" s="223"/>
      <c r="AB214" s="223"/>
      <c r="AC214" s="223"/>
      <c r="AD214" s="223"/>
      <c r="AE214" s="223"/>
      <c r="AF214" s="223"/>
      <c r="AG214" s="223"/>
      <c r="AH214" s="223"/>
      <c r="AI214" s="223"/>
      <c r="AJ214" s="223"/>
      <c r="AK214" s="223"/>
      <c r="AL214" s="223"/>
      <c r="AM214" s="223"/>
      <c r="AN214" s="223"/>
      <c r="AO214" s="223"/>
      <c r="AP214" s="223"/>
      <c r="AQ214" s="223"/>
      <c r="AR214" s="223"/>
      <c r="AS214" s="223"/>
      <c r="AT214" s="223"/>
      <c r="AU214" s="223"/>
      <c r="AV214" s="223"/>
      <c r="AW214" s="223"/>
      <c r="AX214" s="223"/>
      <c r="AY214" s="223"/>
      <c r="AZ214" s="223"/>
      <c r="BA214" s="223"/>
      <c r="BB214" s="223"/>
      <c r="BC214" s="223"/>
      <c r="BD214" s="223"/>
      <c r="BE214" s="223"/>
      <c r="BF214" s="223"/>
      <c r="BG214" s="223"/>
      <c r="BH214" s="223"/>
      <c r="BI214" s="223"/>
    </row>
    <row r="215" spans="1:61" ht="7.4" customHeight="1" x14ac:dyDescent="0.5">
      <c r="A215" s="223"/>
      <c r="B215" s="223"/>
      <c r="C215" s="223"/>
      <c r="D215" s="223"/>
      <c r="E215" s="223"/>
      <c r="F215" s="223"/>
      <c r="G215" s="223"/>
      <c r="H215" s="223"/>
      <c r="I215" s="223"/>
      <c r="J215" s="223"/>
      <c r="K215" s="223"/>
      <c r="L215" s="223"/>
      <c r="M215" s="223"/>
      <c r="N215" s="223"/>
      <c r="O215" s="223"/>
      <c r="P215" s="223"/>
      <c r="Q215" s="223"/>
      <c r="R215" s="223"/>
      <c r="S215" s="223"/>
      <c r="T215" s="223"/>
      <c r="U215" s="223"/>
      <c r="V215" s="223"/>
      <c r="W215" s="223"/>
      <c r="X215" s="223"/>
      <c r="Y215" s="223"/>
      <c r="Z215" s="223"/>
      <c r="AA215" s="223"/>
      <c r="AB215" s="223"/>
      <c r="AC215" s="223"/>
      <c r="AD215" s="223"/>
      <c r="AE215" s="223"/>
      <c r="AF215" s="223"/>
      <c r="AG215" s="223"/>
      <c r="AH215" s="223"/>
      <c r="AI215" s="223"/>
      <c r="AJ215" s="223"/>
      <c r="AK215" s="223"/>
      <c r="AL215" s="223"/>
      <c r="AM215" s="223"/>
      <c r="AN215" s="223"/>
      <c r="AO215" s="223"/>
      <c r="AP215" s="223"/>
      <c r="AQ215" s="223"/>
      <c r="AR215" s="223"/>
      <c r="AS215" s="223"/>
      <c r="AT215" s="223"/>
      <c r="AU215" s="223"/>
      <c r="AV215" s="223"/>
      <c r="AW215" s="223"/>
      <c r="AX215" s="223"/>
      <c r="AY215" s="223"/>
      <c r="AZ215" s="223"/>
      <c r="BA215" s="223"/>
      <c r="BB215" s="223"/>
      <c r="BC215" s="223"/>
      <c r="BD215" s="223"/>
      <c r="BE215" s="223"/>
      <c r="BF215" s="223"/>
      <c r="BG215" s="223"/>
      <c r="BH215" s="223"/>
      <c r="BI215" s="223"/>
    </row>
    <row r="216" spans="1:61" ht="7.4" customHeight="1" x14ac:dyDescent="0.5">
      <c r="A216" s="223"/>
      <c r="B216" s="223"/>
      <c r="C216" s="223"/>
      <c r="D216" s="223"/>
      <c r="E216" s="223"/>
      <c r="F216" s="223"/>
      <c r="G216" s="223"/>
      <c r="H216" s="223"/>
      <c r="I216" s="223"/>
      <c r="J216" s="223"/>
      <c r="K216" s="223"/>
      <c r="L216" s="223"/>
      <c r="M216" s="223"/>
      <c r="N216" s="223"/>
      <c r="O216" s="223"/>
      <c r="P216" s="223"/>
      <c r="Q216" s="223"/>
      <c r="R216" s="223"/>
      <c r="S216" s="223"/>
      <c r="T216" s="223"/>
      <c r="U216" s="223"/>
      <c r="V216" s="223"/>
      <c r="W216" s="223"/>
      <c r="X216" s="223"/>
      <c r="Y216" s="223"/>
      <c r="Z216" s="223"/>
      <c r="AA216" s="223"/>
      <c r="AB216" s="223"/>
      <c r="AC216" s="223"/>
      <c r="AD216" s="223"/>
      <c r="AE216" s="223"/>
      <c r="AF216" s="223"/>
      <c r="AG216" s="223"/>
      <c r="AH216" s="223"/>
      <c r="AI216" s="223"/>
      <c r="AJ216" s="223"/>
      <c r="AK216" s="223"/>
      <c r="AL216" s="223"/>
      <c r="AM216" s="223"/>
      <c r="AN216" s="223"/>
      <c r="AO216" s="223"/>
      <c r="AP216" s="223"/>
      <c r="AQ216" s="223"/>
      <c r="AR216" s="223"/>
      <c r="AS216" s="223"/>
      <c r="AT216" s="223"/>
      <c r="AU216" s="223"/>
      <c r="AV216" s="223"/>
      <c r="AW216" s="223"/>
      <c r="AX216" s="223"/>
      <c r="AY216" s="223"/>
      <c r="AZ216" s="223"/>
      <c r="BA216" s="223"/>
      <c r="BB216" s="223"/>
      <c r="BC216" s="223"/>
      <c r="BD216" s="223"/>
      <c r="BE216" s="223"/>
      <c r="BF216" s="223"/>
      <c r="BG216" s="223"/>
      <c r="BH216" s="223"/>
      <c r="BI216" s="223"/>
    </row>
    <row r="217" spans="1:61" ht="7.4" customHeight="1" x14ac:dyDescent="0.5">
      <c r="A217" s="223"/>
      <c r="B217" s="223"/>
      <c r="C217" s="223"/>
      <c r="D217" s="223"/>
      <c r="E217" s="223"/>
      <c r="F217" s="223"/>
      <c r="G217" s="223"/>
      <c r="H217" s="223"/>
      <c r="I217" s="223"/>
      <c r="J217" s="223"/>
      <c r="K217" s="223"/>
      <c r="L217" s="223"/>
      <c r="M217" s="223"/>
      <c r="N217" s="223"/>
      <c r="O217" s="223"/>
      <c r="P217" s="223"/>
      <c r="Q217" s="223"/>
      <c r="R217" s="223"/>
      <c r="S217" s="223"/>
      <c r="T217" s="223"/>
      <c r="U217" s="223"/>
      <c r="V217" s="223"/>
      <c r="W217" s="223"/>
      <c r="X217" s="223"/>
      <c r="Y217" s="223"/>
      <c r="Z217" s="223"/>
      <c r="AA217" s="223"/>
      <c r="AB217" s="223"/>
      <c r="AC217" s="223"/>
      <c r="AD217" s="223"/>
      <c r="AE217" s="223"/>
      <c r="AF217" s="223"/>
      <c r="AG217" s="223"/>
      <c r="AH217" s="223"/>
      <c r="AI217" s="223"/>
      <c r="AJ217" s="223"/>
      <c r="AK217" s="223"/>
      <c r="AL217" s="223"/>
      <c r="AM217" s="223"/>
      <c r="AN217" s="223"/>
      <c r="AO217" s="223"/>
      <c r="AP217" s="223"/>
      <c r="AQ217" s="223"/>
      <c r="AR217" s="223"/>
      <c r="AS217" s="223"/>
      <c r="AT217" s="223"/>
      <c r="AU217" s="223"/>
      <c r="AV217" s="223"/>
      <c r="AW217" s="223"/>
      <c r="AX217" s="223"/>
      <c r="AY217" s="223"/>
      <c r="AZ217" s="223"/>
      <c r="BA217" s="223"/>
      <c r="BB217" s="223"/>
      <c r="BC217" s="223"/>
      <c r="BD217" s="223"/>
      <c r="BE217" s="223"/>
      <c r="BF217" s="223"/>
      <c r="BG217" s="223"/>
      <c r="BH217" s="223"/>
      <c r="BI217" s="223"/>
    </row>
    <row r="218" spans="1:61" ht="7.4" customHeight="1" x14ac:dyDescent="0.5">
      <c r="A218" s="223"/>
      <c r="B218" s="223"/>
      <c r="C218" s="223"/>
      <c r="D218" s="223"/>
      <c r="E218" s="223"/>
      <c r="F218" s="223"/>
      <c r="G218" s="223"/>
      <c r="H218" s="223"/>
      <c r="I218" s="223"/>
      <c r="J218" s="223"/>
      <c r="K218" s="223"/>
      <c r="L218" s="223"/>
      <c r="M218" s="223"/>
      <c r="N218" s="223"/>
      <c r="O218" s="223"/>
      <c r="P218" s="223"/>
      <c r="Q218" s="223"/>
      <c r="R218" s="223"/>
      <c r="S218" s="223"/>
      <c r="T218" s="223"/>
      <c r="U218" s="223"/>
      <c r="V218" s="223"/>
      <c r="W218" s="223"/>
      <c r="X218" s="223"/>
      <c r="Y218" s="223"/>
      <c r="Z218" s="223"/>
      <c r="AA218" s="223"/>
      <c r="AB218" s="223"/>
      <c r="AC218" s="223"/>
      <c r="AD218" s="223"/>
      <c r="AE218" s="223"/>
      <c r="AF218" s="223"/>
      <c r="AG218" s="223"/>
      <c r="AH218" s="223"/>
      <c r="AI218" s="223"/>
      <c r="AJ218" s="223"/>
      <c r="AK218" s="223"/>
      <c r="AL218" s="223"/>
      <c r="AM218" s="223"/>
      <c r="AN218" s="223"/>
      <c r="AO218" s="223"/>
      <c r="AP218" s="223"/>
      <c r="AQ218" s="223"/>
      <c r="AR218" s="223"/>
      <c r="AS218" s="223"/>
      <c r="AT218" s="223"/>
      <c r="AU218" s="223"/>
      <c r="AV218" s="223"/>
      <c r="AW218" s="223"/>
      <c r="AX218" s="223"/>
      <c r="AY218" s="223"/>
      <c r="AZ218" s="223"/>
      <c r="BA218" s="223"/>
      <c r="BB218" s="223"/>
      <c r="BC218" s="223"/>
      <c r="BD218" s="223"/>
      <c r="BE218" s="223"/>
      <c r="BF218" s="223"/>
      <c r="BG218" s="223"/>
      <c r="BH218" s="223"/>
      <c r="BI218" s="223"/>
    </row>
    <row r="219" spans="1:61" ht="7.4" customHeight="1" x14ac:dyDescent="0.5">
      <c r="A219" s="223"/>
      <c r="B219" s="223"/>
      <c r="C219" s="223"/>
      <c r="D219" s="223"/>
      <c r="E219" s="223"/>
      <c r="F219" s="223"/>
      <c r="G219" s="223"/>
      <c r="H219" s="223"/>
      <c r="I219" s="223"/>
      <c r="J219" s="223"/>
      <c r="K219" s="223"/>
      <c r="L219" s="223"/>
      <c r="M219" s="223"/>
      <c r="N219" s="223"/>
      <c r="O219" s="223"/>
      <c r="P219" s="223"/>
      <c r="Q219" s="223"/>
      <c r="R219" s="223"/>
      <c r="S219" s="223"/>
      <c r="T219" s="223"/>
      <c r="U219" s="223"/>
      <c r="V219" s="223"/>
      <c r="W219" s="223"/>
      <c r="X219" s="223"/>
      <c r="Y219" s="223"/>
      <c r="Z219" s="223"/>
      <c r="AA219" s="223"/>
      <c r="AB219" s="223"/>
      <c r="AC219" s="223"/>
      <c r="AD219" s="223"/>
      <c r="AE219" s="223"/>
      <c r="AF219" s="223"/>
      <c r="AG219" s="223"/>
      <c r="AH219" s="223"/>
      <c r="AI219" s="223"/>
      <c r="AJ219" s="223"/>
      <c r="AK219" s="223"/>
      <c r="AL219" s="223"/>
      <c r="AM219" s="223"/>
      <c r="AN219" s="223"/>
      <c r="AO219" s="223"/>
      <c r="AP219" s="223"/>
      <c r="AQ219" s="223"/>
      <c r="AR219" s="223"/>
      <c r="AS219" s="223"/>
      <c r="AT219" s="223"/>
      <c r="AU219" s="223"/>
      <c r="AV219" s="223"/>
      <c r="AW219" s="223"/>
      <c r="AX219" s="223"/>
      <c r="AY219" s="223"/>
      <c r="AZ219" s="223"/>
      <c r="BA219" s="223"/>
      <c r="BB219" s="223"/>
      <c r="BC219" s="223"/>
      <c r="BD219" s="223"/>
      <c r="BE219" s="223"/>
      <c r="BF219" s="223"/>
      <c r="BG219" s="223"/>
      <c r="BH219" s="223"/>
      <c r="BI219" s="223"/>
    </row>
    <row r="220" spans="1:61" ht="7.4" customHeight="1" x14ac:dyDescent="0.5">
      <c r="A220" s="223"/>
      <c r="B220" s="223"/>
      <c r="C220" s="223"/>
      <c r="D220" s="223"/>
      <c r="E220" s="223"/>
      <c r="F220" s="223"/>
      <c r="G220" s="223"/>
      <c r="H220" s="223"/>
      <c r="I220" s="223"/>
      <c r="J220" s="223"/>
      <c r="K220" s="223"/>
      <c r="L220" s="223"/>
      <c r="M220" s="223"/>
      <c r="N220" s="223"/>
      <c r="O220" s="223"/>
      <c r="P220" s="223"/>
      <c r="Q220" s="223"/>
      <c r="R220" s="223"/>
      <c r="S220" s="223"/>
      <c r="T220" s="223"/>
      <c r="U220" s="223"/>
      <c r="V220" s="223"/>
      <c r="W220" s="223"/>
      <c r="X220" s="223"/>
      <c r="Y220" s="223"/>
      <c r="Z220" s="223"/>
      <c r="AA220" s="223"/>
      <c r="AB220" s="223"/>
      <c r="AC220" s="223"/>
      <c r="AD220" s="223"/>
      <c r="AE220" s="223"/>
      <c r="AF220" s="223"/>
      <c r="AG220" s="223"/>
      <c r="AH220" s="223"/>
      <c r="AI220" s="223"/>
      <c r="AJ220" s="223"/>
      <c r="AK220" s="223"/>
      <c r="AL220" s="223"/>
      <c r="AM220" s="223"/>
      <c r="AN220" s="223"/>
      <c r="AO220" s="223"/>
      <c r="AP220" s="223"/>
      <c r="AQ220" s="223"/>
      <c r="AR220" s="223"/>
      <c r="AS220" s="223"/>
      <c r="AT220" s="223"/>
      <c r="AU220" s="223"/>
      <c r="AV220" s="223"/>
      <c r="AW220" s="223"/>
      <c r="AX220" s="223"/>
      <c r="AY220" s="223"/>
      <c r="AZ220" s="223"/>
      <c r="BA220" s="223"/>
      <c r="BB220" s="223"/>
      <c r="BC220" s="223"/>
      <c r="BD220" s="223"/>
      <c r="BE220" s="223"/>
      <c r="BF220" s="223"/>
      <c r="BG220" s="223"/>
      <c r="BH220" s="223"/>
      <c r="BI220" s="223"/>
    </row>
    <row r="221" spans="1:61" ht="7.4" customHeight="1" x14ac:dyDescent="0.5">
      <c r="A221" s="223"/>
      <c r="B221" s="223"/>
      <c r="C221" s="223"/>
      <c r="D221" s="223"/>
      <c r="E221" s="223"/>
      <c r="F221" s="223"/>
      <c r="G221" s="223"/>
      <c r="H221" s="223"/>
      <c r="I221" s="223"/>
      <c r="J221" s="223"/>
      <c r="K221" s="223"/>
      <c r="L221" s="223"/>
      <c r="M221" s="223"/>
      <c r="N221" s="223"/>
      <c r="O221" s="223"/>
      <c r="P221" s="223"/>
      <c r="Q221" s="223"/>
      <c r="R221" s="223"/>
      <c r="S221" s="223"/>
      <c r="T221" s="223"/>
      <c r="U221" s="223"/>
      <c r="V221" s="223"/>
      <c r="W221" s="223"/>
      <c r="X221" s="223"/>
      <c r="Y221" s="223"/>
      <c r="Z221" s="223"/>
      <c r="AA221" s="223"/>
      <c r="AB221" s="223"/>
      <c r="AC221" s="223"/>
      <c r="AD221" s="223"/>
      <c r="AE221" s="223"/>
      <c r="AF221" s="223"/>
      <c r="AG221" s="223"/>
      <c r="AH221" s="223"/>
      <c r="AI221" s="223"/>
      <c r="AJ221" s="223"/>
      <c r="AK221" s="223"/>
      <c r="AL221" s="223"/>
      <c r="AM221" s="223"/>
      <c r="AN221" s="223"/>
      <c r="AO221" s="223"/>
      <c r="AP221" s="223"/>
      <c r="AQ221" s="223"/>
      <c r="AR221" s="223"/>
      <c r="AS221" s="223"/>
      <c r="AT221" s="223"/>
      <c r="AU221" s="223"/>
      <c r="AV221" s="223"/>
      <c r="AW221" s="223"/>
      <c r="AX221" s="223"/>
      <c r="AY221" s="223"/>
      <c r="AZ221" s="223"/>
      <c r="BA221" s="223"/>
      <c r="BB221" s="223"/>
      <c r="BC221" s="223"/>
      <c r="BD221" s="223"/>
      <c r="BE221" s="223"/>
      <c r="BF221" s="223"/>
      <c r="BG221" s="223"/>
      <c r="BH221" s="223"/>
      <c r="BI221" s="223"/>
    </row>
    <row r="222" spans="1:61" ht="7.4" customHeight="1" x14ac:dyDescent="0.5">
      <c r="A222" s="223"/>
      <c r="B222" s="223"/>
      <c r="C222" s="223"/>
      <c r="D222" s="223"/>
      <c r="E222" s="223"/>
      <c r="F222" s="223"/>
      <c r="G222" s="223"/>
      <c r="H222" s="223"/>
      <c r="I222" s="223"/>
      <c r="J222" s="223"/>
      <c r="K222" s="223"/>
      <c r="L222" s="223"/>
      <c r="M222" s="223"/>
      <c r="N222" s="223"/>
      <c r="O222" s="223"/>
      <c r="P222" s="223"/>
      <c r="Q222" s="223"/>
      <c r="R222" s="223"/>
      <c r="S222" s="223"/>
      <c r="T222" s="223"/>
      <c r="U222" s="223"/>
      <c r="V222" s="223"/>
      <c r="W222" s="223"/>
      <c r="X222" s="223"/>
      <c r="Y222" s="223"/>
      <c r="Z222" s="223"/>
      <c r="AA222" s="223"/>
      <c r="AB222" s="223"/>
      <c r="AC222" s="223"/>
      <c r="AD222" s="223"/>
      <c r="AE222" s="223"/>
      <c r="AF222" s="223"/>
      <c r="AG222" s="223"/>
      <c r="AH222" s="223"/>
      <c r="AI222" s="223"/>
      <c r="AJ222" s="223"/>
      <c r="AK222" s="223"/>
      <c r="AL222" s="223"/>
      <c r="AM222" s="223"/>
      <c r="AN222" s="223"/>
      <c r="AO222" s="223"/>
      <c r="AP222" s="223"/>
      <c r="AQ222" s="223"/>
      <c r="AR222" s="223"/>
      <c r="AS222" s="223"/>
      <c r="AT222" s="223"/>
      <c r="AU222" s="223"/>
      <c r="AV222" s="223"/>
      <c r="AW222" s="223"/>
      <c r="AX222" s="223"/>
      <c r="AY222" s="223"/>
      <c r="AZ222" s="223"/>
      <c r="BA222" s="223"/>
      <c r="BB222" s="223"/>
      <c r="BC222" s="223"/>
      <c r="BD222" s="223"/>
      <c r="BE222" s="223"/>
      <c r="BF222" s="223"/>
      <c r="BG222" s="223"/>
      <c r="BH222" s="223"/>
      <c r="BI222" s="223"/>
    </row>
    <row r="223" spans="1:61" ht="7.4" customHeight="1" x14ac:dyDescent="0.5">
      <c r="A223" s="223"/>
      <c r="B223" s="223"/>
      <c r="C223" s="223"/>
      <c r="D223" s="223"/>
      <c r="E223" s="223"/>
      <c r="F223" s="223"/>
      <c r="G223" s="223"/>
      <c r="H223" s="223"/>
      <c r="I223" s="223"/>
      <c r="J223" s="223"/>
      <c r="K223" s="223"/>
      <c r="L223" s="223"/>
      <c r="M223" s="223"/>
      <c r="N223" s="223"/>
      <c r="O223" s="223"/>
      <c r="P223" s="223"/>
      <c r="Q223" s="223"/>
      <c r="R223" s="223"/>
      <c r="S223" s="223"/>
      <c r="T223" s="223"/>
      <c r="U223" s="223"/>
      <c r="V223" s="223"/>
      <c r="W223" s="223"/>
      <c r="X223" s="223"/>
      <c r="Y223" s="223"/>
      <c r="Z223" s="223"/>
      <c r="AA223" s="223"/>
      <c r="AB223" s="223"/>
      <c r="AC223" s="223"/>
      <c r="AD223" s="223"/>
      <c r="AE223" s="223"/>
      <c r="AF223" s="223"/>
      <c r="AG223" s="223"/>
      <c r="AH223" s="223"/>
      <c r="AI223" s="223"/>
      <c r="AJ223" s="223"/>
      <c r="AK223" s="223"/>
      <c r="AL223" s="223"/>
      <c r="AM223" s="223"/>
      <c r="AN223" s="223"/>
      <c r="AO223" s="223"/>
      <c r="AP223" s="223"/>
      <c r="AQ223" s="223"/>
      <c r="AR223" s="223"/>
      <c r="AS223" s="223"/>
      <c r="AT223" s="223"/>
      <c r="AU223" s="223"/>
      <c r="AV223" s="223"/>
      <c r="AW223" s="223"/>
      <c r="AX223" s="223"/>
      <c r="AY223" s="223"/>
      <c r="AZ223" s="223"/>
      <c r="BA223" s="223"/>
      <c r="BB223" s="223"/>
      <c r="BC223" s="223"/>
      <c r="BD223" s="223"/>
      <c r="BE223" s="223"/>
      <c r="BF223" s="223"/>
      <c r="BG223" s="223"/>
      <c r="BH223" s="223"/>
      <c r="BI223" s="223"/>
    </row>
    <row r="224" spans="1:61" ht="7.4" customHeight="1" x14ac:dyDescent="0.5">
      <c r="A224" s="223"/>
      <c r="B224" s="223"/>
      <c r="C224" s="223"/>
      <c r="D224" s="223"/>
      <c r="E224" s="223"/>
      <c r="F224" s="223"/>
      <c r="G224" s="223"/>
      <c r="H224" s="223"/>
      <c r="I224" s="223"/>
      <c r="J224" s="223"/>
      <c r="K224" s="223"/>
      <c r="L224" s="223"/>
      <c r="M224" s="223"/>
      <c r="N224" s="223"/>
      <c r="O224" s="223"/>
      <c r="P224" s="223"/>
      <c r="Q224" s="223"/>
      <c r="R224" s="223"/>
      <c r="S224" s="223"/>
      <c r="T224" s="223"/>
      <c r="U224" s="223"/>
      <c r="V224" s="223"/>
      <c r="W224" s="223"/>
      <c r="X224" s="223"/>
      <c r="Y224" s="223"/>
      <c r="Z224" s="223"/>
      <c r="AA224" s="223"/>
      <c r="AB224" s="223"/>
      <c r="AC224" s="223"/>
      <c r="AD224" s="223"/>
      <c r="AE224" s="223"/>
      <c r="AF224" s="223"/>
      <c r="AG224" s="223"/>
      <c r="AH224" s="223"/>
      <c r="AI224" s="223"/>
      <c r="AJ224" s="223"/>
      <c r="AK224" s="223"/>
      <c r="AL224" s="223"/>
      <c r="AM224" s="223"/>
      <c r="AN224" s="223"/>
      <c r="AO224" s="223"/>
      <c r="AP224" s="223"/>
      <c r="AQ224" s="223"/>
      <c r="AR224" s="223"/>
      <c r="AS224" s="223"/>
      <c r="AT224" s="223"/>
      <c r="AU224" s="223"/>
      <c r="AV224" s="223"/>
      <c r="AW224" s="223"/>
      <c r="AX224" s="223"/>
      <c r="AY224" s="223"/>
      <c r="AZ224" s="223"/>
      <c r="BA224" s="223"/>
      <c r="BB224" s="223"/>
      <c r="BC224" s="223"/>
      <c r="BD224" s="223"/>
      <c r="BE224" s="223"/>
      <c r="BF224" s="223"/>
      <c r="BG224" s="223"/>
      <c r="BH224" s="223"/>
      <c r="BI224" s="223"/>
    </row>
    <row r="225" spans="1:61" ht="7.4" customHeight="1" x14ac:dyDescent="0.5">
      <c r="A225" s="223"/>
      <c r="B225" s="223"/>
      <c r="C225" s="223"/>
      <c r="D225" s="223"/>
      <c r="E225" s="223"/>
      <c r="F225" s="223"/>
      <c r="G225" s="223"/>
      <c r="H225" s="223"/>
      <c r="I225" s="223"/>
      <c r="J225" s="223"/>
      <c r="K225" s="223"/>
      <c r="L225" s="223"/>
      <c r="M225" s="223"/>
      <c r="N225" s="223"/>
      <c r="O225" s="223"/>
      <c r="P225" s="223"/>
      <c r="Q225" s="223"/>
      <c r="R225" s="223"/>
      <c r="S225" s="223"/>
      <c r="T225" s="223"/>
      <c r="U225" s="223"/>
      <c r="V225" s="223"/>
      <c r="W225" s="223"/>
      <c r="X225" s="223"/>
      <c r="Y225" s="223"/>
      <c r="Z225" s="223"/>
      <c r="AA225" s="223"/>
      <c r="AB225" s="223"/>
      <c r="AC225" s="223"/>
      <c r="AD225" s="223"/>
      <c r="AE225" s="223"/>
      <c r="AF225" s="223"/>
      <c r="AG225" s="223"/>
      <c r="AH225" s="223"/>
      <c r="AI225" s="223"/>
      <c r="AJ225" s="223"/>
      <c r="AK225" s="223"/>
      <c r="AL225" s="223"/>
      <c r="AM225" s="223"/>
      <c r="AN225" s="223"/>
      <c r="AO225" s="223"/>
      <c r="AP225" s="223"/>
      <c r="AQ225" s="223"/>
      <c r="AR225" s="223"/>
      <c r="AS225" s="223"/>
      <c r="AT225" s="223"/>
      <c r="AU225" s="223"/>
      <c r="AV225" s="223"/>
      <c r="AW225" s="223"/>
      <c r="AX225" s="223"/>
      <c r="AY225" s="223"/>
      <c r="AZ225" s="223"/>
      <c r="BA225" s="223"/>
      <c r="BB225" s="223"/>
      <c r="BC225" s="223"/>
      <c r="BD225" s="223"/>
      <c r="BE225" s="223"/>
      <c r="BF225" s="223"/>
      <c r="BG225" s="223"/>
      <c r="BH225" s="223"/>
      <c r="BI225" s="223"/>
    </row>
    <row r="226" spans="1:61" ht="7.4" customHeight="1" x14ac:dyDescent="0.5">
      <c r="A226" s="223"/>
      <c r="B226" s="223"/>
      <c r="C226" s="223"/>
      <c r="D226" s="223"/>
      <c r="E226" s="223"/>
      <c r="F226" s="223"/>
      <c r="G226" s="223"/>
      <c r="H226" s="223"/>
      <c r="I226" s="223"/>
      <c r="J226" s="223"/>
      <c r="K226" s="223"/>
      <c r="L226" s="223"/>
      <c r="M226" s="223"/>
      <c r="N226" s="223"/>
      <c r="O226" s="223"/>
      <c r="P226" s="223"/>
      <c r="Q226" s="223"/>
      <c r="R226" s="223"/>
      <c r="S226" s="223"/>
      <c r="T226" s="223"/>
      <c r="U226" s="223"/>
      <c r="V226" s="223"/>
      <c r="W226" s="223"/>
      <c r="X226" s="223"/>
      <c r="Y226" s="223"/>
      <c r="Z226" s="223"/>
      <c r="AA226" s="223"/>
      <c r="AB226" s="223"/>
      <c r="AC226" s="223"/>
      <c r="AD226" s="223"/>
      <c r="AE226" s="223"/>
      <c r="AF226" s="223"/>
      <c r="AG226" s="223"/>
      <c r="AH226" s="223"/>
      <c r="AI226" s="223"/>
      <c r="AJ226" s="223"/>
      <c r="AK226" s="223"/>
      <c r="AL226" s="223"/>
      <c r="AM226" s="223"/>
      <c r="AN226" s="223"/>
      <c r="AO226" s="223"/>
      <c r="AP226" s="223"/>
      <c r="AQ226" s="223"/>
      <c r="AR226" s="223"/>
      <c r="AS226" s="223"/>
      <c r="AT226" s="223"/>
      <c r="AU226" s="223"/>
      <c r="AV226" s="223"/>
      <c r="AW226" s="223"/>
      <c r="AX226" s="223"/>
      <c r="AY226" s="223"/>
      <c r="AZ226" s="223"/>
      <c r="BA226" s="223"/>
      <c r="BB226" s="223"/>
      <c r="BC226" s="223"/>
      <c r="BD226" s="223"/>
      <c r="BE226" s="223"/>
      <c r="BF226" s="223"/>
      <c r="BG226" s="223"/>
      <c r="BH226" s="223"/>
      <c r="BI226" s="223"/>
    </row>
    <row r="227" spans="1:61" ht="7.4" customHeight="1" x14ac:dyDescent="0.5">
      <c r="A227" s="223"/>
      <c r="B227" s="223"/>
      <c r="C227" s="223"/>
      <c r="D227" s="223"/>
      <c r="E227" s="223"/>
      <c r="F227" s="223"/>
      <c r="G227" s="223"/>
      <c r="H227" s="223"/>
      <c r="I227" s="223"/>
      <c r="J227" s="223"/>
      <c r="K227" s="223"/>
      <c r="L227" s="223"/>
      <c r="M227" s="223"/>
      <c r="N227" s="223"/>
      <c r="O227" s="223"/>
      <c r="P227" s="223"/>
      <c r="Q227" s="223"/>
      <c r="R227" s="223"/>
      <c r="S227" s="223"/>
      <c r="T227" s="223"/>
      <c r="U227" s="223"/>
      <c r="V227" s="223"/>
      <c r="W227" s="223"/>
      <c r="X227" s="223"/>
      <c r="Y227" s="223"/>
      <c r="Z227" s="223"/>
      <c r="AA227" s="223"/>
      <c r="AB227" s="223"/>
      <c r="AC227" s="223"/>
      <c r="AD227" s="223"/>
      <c r="AE227" s="223"/>
      <c r="AF227" s="223"/>
      <c r="AG227" s="223"/>
      <c r="AH227" s="223"/>
      <c r="AI227" s="223"/>
      <c r="AJ227" s="223"/>
      <c r="AK227" s="223"/>
      <c r="AL227" s="223"/>
      <c r="AM227" s="223"/>
      <c r="AN227" s="223"/>
      <c r="AO227" s="223"/>
      <c r="AP227" s="223"/>
      <c r="AQ227" s="223"/>
      <c r="AR227" s="223"/>
      <c r="AS227" s="223"/>
      <c r="AT227" s="223"/>
      <c r="AU227" s="223"/>
      <c r="AV227" s="223"/>
      <c r="AW227" s="223"/>
      <c r="AX227" s="223"/>
      <c r="AY227" s="223"/>
      <c r="AZ227" s="223"/>
      <c r="BA227" s="223"/>
      <c r="BB227" s="223"/>
      <c r="BC227" s="223"/>
      <c r="BD227" s="223"/>
      <c r="BE227" s="223"/>
      <c r="BF227" s="223"/>
      <c r="BG227" s="223"/>
      <c r="BH227" s="223"/>
      <c r="BI227" s="223"/>
    </row>
    <row r="232" spans="1:61" ht="7.4" customHeight="1" x14ac:dyDescent="0.5">
      <c r="A232" s="223"/>
      <c r="B232" s="223"/>
      <c r="C232" s="223"/>
      <c r="D232" s="223"/>
      <c r="E232" s="223"/>
      <c r="F232" s="223"/>
      <c r="G232" s="223"/>
      <c r="H232" s="223"/>
      <c r="I232" s="223"/>
      <c r="J232" s="223"/>
      <c r="K232" s="223"/>
      <c r="L232" s="223"/>
      <c r="M232" s="223"/>
      <c r="N232" s="223"/>
      <c r="O232" s="223"/>
      <c r="P232" s="223"/>
      <c r="Q232" s="223"/>
      <c r="R232" s="223"/>
      <c r="S232" s="223"/>
      <c r="T232" s="223"/>
      <c r="U232" s="223"/>
      <c r="V232" s="223"/>
      <c r="W232" s="223"/>
      <c r="X232" s="223"/>
      <c r="Y232" s="223"/>
      <c r="Z232" s="223"/>
      <c r="AA232" s="223"/>
      <c r="AB232" s="223"/>
      <c r="AC232" s="223"/>
      <c r="AD232" s="223"/>
      <c r="AE232" s="223"/>
      <c r="AF232" s="223"/>
      <c r="AG232" s="223"/>
      <c r="AH232" s="223"/>
      <c r="AI232" s="223"/>
      <c r="AJ232" s="223"/>
      <c r="AK232" s="223"/>
      <c r="AL232" s="223"/>
      <c r="AM232" s="223"/>
      <c r="AN232" s="223"/>
      <c r="AO232" s="223"/>
      <c r="AP232" s="223"/>
      <c r="AQ232" s="223"/>
      <c r="AR232" s="223"/>
      <c r="AS232" s="223"/>
      <c r="AT232" s="223"/>
      <c r="AU232" s="223"/>
      <c r="AV232" s="223"/>
      <c r="AW232" s="223"/>
      <c r="AX232" s="223"/>
      <c r="AY232" s="223"/>
      <c r="AZ232" s="223"/>
      <c r="BA232" s="223"/>
      <c r="BB232" s="223"/>
      <c r="BC232" s="223"/>
      <c r="BD232" s="223"/>
      <c r="BE232" s="223"/>
      <c r="BF232" s="223"/>
      <c r="BG232" s="223"/>
      <c r="BH232" s="223"/>
      <c r="BI232" s="223"/>
    </row>
    <row r="233" spans="1:61" ht="7.4" customHeight="1" x14ac:dyDescent="0.5">
      <c r="A233" s="223"/>
      <c r="B233" s="223"/>
      <c r="C233" s="223"/>
      <c r="D233" s="223"/>
      <c r="E233" s="223"/>
      <c r="F233" s="223"/>
      <c r="G233" s="223"/>
      <c r="H233" s="223"/>
      <c r="I233" s="223"/>
      <c r="J233" s="223"/>
      <c r="K233" s="223"/>
      <c r="L233" s="223"/>
      <c r="M233" s="223"/>
      <c r="N233" s="223"/>
      <c r="O233" s="223"/>
      <c r="P233" s="223"/>
      <c r="Q233" s="223"/>
      <c r="R233" s="223"/>
      <c r="S233" s="223"/>
      <c r="T233" s="223"/>
      <c r="U233" s="223"/>
      <c r="V233" s="223"/>
      <c r="W233" s="223"/>
      <c r="X233" s="223"/>
      <c r="Y233" s="223"/>
      <c r="Z233" s="223"/>
      <c r="AA233" s="223"/>
      <c r="AB233" s="223"/>
      <c r="AC233" s="223"/>
      <c r="AD233" s="223"/>
      <c r="AE233" s="223"/>
      <c r="AF233" s="223"/>
      <c r="AG233" s="223"/>
      <c r="AH233" s="223"/>
      <c r="AI233" s="223"/>
      <c r="AJ233" s="223"/>
      <c r="AK233" s="223"/>
      <c r="AL233" s="223"/>
      <c r="AM233" s="223"/>
      <c r="AN233" s="223"/>
      <c r="AO233" s="223"/>
      <c r="AP233" s="223"/>
      <c r="AQ233" s="223"/>
      <c r="AR233" s="223"/>
      <c r="AS233" s="223"/>
      <c r="AT233" s="223"/>
      <c r="AU233" s="223"/>
      <c r="AV233" s="223"/>
      <c r="AW233" s="223"/>
      <c r="AX233" s="223"/>
      <c r="AY233" s="223"/>
      <c r="AZ233" s="223"/>
      <c r="BA233" s="223"/>
      <c r="BB233" s="223"/>
      <c r="BC233" s="223"/>
      <c r="BD233" s="223"/>
      <c r="BE233" s="223"/>
      <c r="BF233" s="223"/>
      <c r="BG233" s="223"/>
      <c r="BH233" s="223"/>
      <c r="BI233" s="223"/>
    </row>
    <row r="234" spans="1:61" ht="7.4" customHeight="1" x14ac:dyDescent="0.5">
      <c r="A234" s="223"/>
      <c r="B234" s="223"/>
      <c r="C234" s="223"/>
      <c r="D234" s="223"/>
      <c r="E234" s="223"/>
      <c r="F234" s="223"/>
      <c r="G234" s="223"/>
      <c r="H234" s="223"/>
      <c r="I234" s="223"/>
      <c r="J234" s="223"/>
      <c r="K234" s="223"/>
      <c r="L234" s="223"/>
      <c r="M234" s="223"/>
      <c r="N234" s="223"/>
      <c r="O234" s="223"/>
      <c r="P234" s="223"/>
      <c r="Q234" s="223"/>
      <c r="R234" s="223"/>
      <c r="S234" s="223"/>
      <c r="T234" s="223"/>
      <c r="U234" s="223"/>
      <c r="V234" s="223"/>
      <c r="W234" s="223"/>
      <c r="X234" s="223"/>
      <c r="Y234" s="223"/>
      <c r="Z234" s="223"/>
      <c r="AA234" s="223"/>
      <c r="AB234" s="223"/>
      <c r="AC234" s="223"/>
      <c r="AD234" s="223"/>
      <c r="AE234" s="223"/>
      <c r="AF234" s="223"/>
      <c r="AG234" s="223"/>
      <c r="AH234" s="223"/>
      <c r="AI234" s="223"/>
      <c r="AJ234" s="223"/>
      <c r="AK234" s="223"/>
      <c r="AL234" s="223"/>
      <c r="AM234" s="223"/>
      <c r="AN234" s="223"/>
      <c r="AO234" s="223"/>
      <c r="AP234" s="223"/>
      <c r="AQ234" s="223"/>
      <c r="AR234" s="223"/>
      <c r="AS234" s="223"/>
      <c r="AT234" s="223"/>
      <c r="AU234" s="223"/>
      <c r="AV234" s="223"/>
      <c r="AW234" s="223"/>
      <c r="AX234" s="223"/>
      <c r="AY234" s="223"/>
      <c r="AZ234" s="223"/>
      <c r="BA234" s="223"/>
      <c r="BB234" s="223"/>
      <c r="BC234" s="223"/>
      <c r="BD234" s="223"/>
      <c r="BE234" s="223"/>
      <c r="BF234" s="223"/>
      <c r="BG234" s="223"/>
      <c r="BH234" s="223"/>
      <c r="BI234" s="223"/>
    </row>
    <row r="235" spans="1:61" ht="7.4" customHeight="1" x14ac:dyDescent="0.5">
      <c r="A235" s="223"/>
      <c r="B235" s="223"/>
      <c r="C235" s="223"/>
      <c r="D235" s="223"/>
      <c r="E235" s="223"/>
      <c r="F235" s="223"/>
      <c r="G235" s="223"/>
      <c r="H235" s="223"/>
      <c r="I235" s="223"/>
      <c r="J235" s="223"/>
      <c r="K235" s="223"/>
      <c r="L235" s="223"/>
      <c r="M235" s="223"/>
      <c r="N235" s="223"/>
      <c r="O235" s="223"/>
      <c r="P235" s="223"/>
      <c r="Q235" s="223"/>
      <c r="R235" s="223"/>
      <c r="S235" s="223"/>
      <c r="T235" s="223"/>
      <c r="U235" s="223"/>
      <c r="V235" s="223"/>
      <c r="W235" s="223"/>
      <c r="X235" s="223"/>
      <c r="Y235" s="223"/>
      <c r="Z235" s="223"/>
      <c r="AA235" s="223"/>
      <c r="AB235" s="223"/>
      <c r="AC235" s="223"/>
      <c r="AD235" s="223"/>
      <c r="AE235" s="223"/>
      <c r="AF235" s="223"/>
      <c r="AG235" s="223"/>
      <c r="AH235" s="223"/>
      <c r="AI235" s="223"/>
      <c r="AJ235" s="223"/>
      <c r="AK235" s="223"/>
      <c r="AL235" s="223"/>
      <c r="AM235" s="223"/>
      <c r="AN235" s="223"/>
      <c r="AO235" s="223"/>
      <c r="AP235" s="223"/>
      <c r="AQ235" s="223"/>
      <c r="AR235" s="223"/>
      <c r="AS235" s="223"/>
      <c r="AT235" s="223"/>
      <c r="AU235" s="223"/>
      <c r="AV235" s="223"/>
      <c r="AW235" s="223"/>
      <c r="AX235" s="223"/>
      <c r="AY235" s="223"/>
      <c r="AZ235" s="223"/>
      <c r="BA235" s="223"/>
      <c r="BB235" s="223"/>
      <c r="BC235" s="223"/>
      <c r="BD235" s="223"/>
      <c r="BE235" s="223"/>
      <c r="BF235" s="223"/>
      <c r="BG235" s="223"/>
      <c r="BH235" s="223"/>
      <c r="BI235" s="223"/>
    </row>
    <row r="236" spans="1:61" ht="7.4" customHeight="1" x14ac:dyDescent="0.5">
      <c r="A236" s="223"/>
      <c r="B236" s="223"/>
      <c r="C236" s="223"/>
      <c r="D236" s="223"/>
      <c r="E236" s="223"/>
      <c r="F236" s="223"/>
      <c r="G236" s="223"/>
      <c r="H236" s="223"/>
      <c r="I236" s="223"/>
      <c r="J236" s="223"/>
      <c r="K236" s="223"/>
      <c r="L236" s="223"/>
      <c r="M236" s="223"/>
      <c r="N236" s="223"/>
      <c r="O236" s="223"/>
      <c r="P236" s="223"/>
      <c r="Q236" s="223"/>
      <c r="R236" s="223"/>
      <c r="S236" s="223"/>
      <c r="T236" s="223"/>
      <c r="U236" s="223"/>
      <c r="V236" s="223"/>
      <c r="W236" s="223"/>
      <c r="X236" s="223"/>
      <c r="Y236" s="223"/>
      <c r="Z236" s="223"/>
      <c r="AA236" s="223"/>
      <c r="AB236" s="223"/>
      <c r="AC236" s="223"/>
      <c r="AD236" s="223"/>
      <c r="AE236" s="223"/>
      <c r="AF236" s="223"/>
      <c r="AG236" s="223"/>
      <c r="AH236" s="223"/>
      <c r="AI236" s="223"/>
      <c r="AJ236" s="223"/>
      <c r="AK236" s="223"/>
      <c r="AL236" s="223"/>
      <c r="AM236" s="223"/>
      <c r="AN236" s="223"/>
      <c r="AO236" s="223"/>
      <c r="AP236" s="223"/>
      <c r="AQ236" s="223"/>
      <c r="AR236" s="223"/>
      <c r="AS236" s="223"/>
      <c r="AT236" s="223"/>
      <c r="AU236" s="223"/>
      <c r="AV236" s="223"/>
      <c r="AW236" s="223"/>
      <c r="AX236" s="223"/>
      <c r="AY236" s="223"/>
      <c r="AZ236" s="223"/>
      <c r="BA236" s="223"/>
      <c r="BB236" s="223"/>
      <c r="BC236" s="223"/>
      <c r="BD236" s="223"/>
      <c r="BE236" s="223"/>
      <c r="BF236" s="223"/>
      <c r="BG236" s="223"/>
      <c r="BH236" s="223"/>
      <c r="BI236" s="223"/>
    </row>
    <row r="237" spans="1:61" ht="7.4" customHeight="1" x14ac:dyDescent="0.5">
      <c r="A237" s="223"/>
      <c r="B237" s="223"/>
      <c r="C237" s="223"/>
      <c r="D237" s="223"/>
      <c r="E237" s="223"/>
      <c r="F237" s="223"/>
      <c r="G237" s="223"/>
      <c r="H237" s="223"/>
      <c r="I237" s="223"/>
      <c r="J237" s="223"/>
      <c r="K237" s="223"/>
      <c r="L237" s="223"/>
      <c r="M237" s="223"/>
      <c r="N237" s="223"/>
      <c r="O237" s="223"/>
      <c r="P237" s="223"/>
      <c r="Q237" s="223"/>
      <c r="R237" s="223"/>
      <c r="S237" s="223"/>
      <c r="T237" s="223"/>
      <c r="U237" s="223"/>
      <c r="V237" s="223"/>
      <c r="W237" s="223"/>
      <c r="X237" s="223"/>
      <c r="Y237" s="223"/>
      <c r="Z237" s="223"/>
      <c r="AA237" s="223"/>
      <c r="AB237" s="223"/>
      <c r="AC237" s="223"/>
      <c r="AD237" s="223"/>
      <c r="AE237" s="223"/>
      <c r="AF237" s="223"/>
      <c r="AG237" s="223"/>
      <c r="AH237" s="223"/>
      <c r="AI237" s="223"/>
      <c r="AJ237" s="223"/>
      <c r="AK237" s="223"/>
      <c r="AL237" s="223"/>
      <c r="AM237" s="223"/>
      <c r="AN237" s="223"/>
      <c r="AO237" s="223"/>
      <c r="AP237" s="223"/>
      <c r="AQ237" s="223"/>
      <c r="AR237" s="223"/>
      <c r="AS237" s="223"/>
      <c r="AT237" s="223"/>
      <c r="AU237" s="223"/>
      <c r="AV237" s="223"/>
      <c r="AW237" s="223"/>
      <c r="AX237" s="223"/>
      <c r="AY237" s="223"/>
      <c r="AZ237" s="223"/>
      <c r="BA237" s="223"/>
      <c r="BB237" s="223"/>
      <c r="BC237" s="223"/>
      <c r="BD237" s="223"/>
      <c r="BE237" s="223"/>
      <c r="BF237" s="223"/>
      <c r="BG237" s="223"/>
      <c r="BH237" s="223"/>
      <c r="BI237" s="223"/>
    </row>
    <row r="238" spans="1:61" ht="7.4" customHeight="1" x14ac:dyDescent="0.5">
      <c r="A238" s="223"/>
      <c r="B238" s="223"/>
      <c r="C238" s="223"/>
      <c r="D238" s="223"/>
      <c r="E238" s="223"/>
      <c r="F238" s="223"/>
      <c r="G238" s="223"/>
      <c r="H238" s="223"/>
      <c r="I238" s="223"/>
      <c r="J238" s="223"/>
      <c r="K238" s="223"/>
      <c r="L238" s="223"/>
      <c r="M238" s="223"/>
      <c r="N238" s="223"/>
      <c r="O238" s="223"/>
      <c r="P238" s="223"/>
      <c r="Q238" s="223"/>
      <c r="R238" s="223"/>
      <c r="S238" s="223"/>
      <c r="T238" s="223"/>
      <c r="U238" s="223"/>
      <c r="V238" s="223"/>
      <c r="W238" s="223"/>
      <c r="X238" s="223"/>
      <c r="Y238" s="223"/>
      <c r="Z238" s="223"/>
      <c r="AA238" s="223"/>
      <c r="AB238" s="223"/>
      <c r="AC238" s="223"/>
      <c r="AD238" s="223"/>
      <c r="AE238" s="223"/>
      <c r="AF238" s="223"/>
      <c r="AG238" s="223"/>
      <c r="AH238" s="223"/>
      <c r="AI238" s="223"/>
      <c r="AJ238" s="223"/>
      <c r="AK238" s="223"/>
      <c r="AL238" s="223"/>
      <c r="AM238" s="223"/>
      <c r="AN238" s="223"/>
      <c r="AO238" s="223"/>
      <c r="AP238" s="223"/>
      <c r="AQ238" s="223"/>
      <c r="AR238" s="223"/>
      <c r="AS238" s="223"/>
      <c r="AT238" s="223"/>
      <c r="AU238" s="223"/>
      <c r="AV238" s="223"/>
      <c r="AW238" s="223"/>
      <c r="AX238" s="223"/>
      <c r="AY238" s="223"/>
      <c r="AZ238" s="223"/>
      <c r="BA238" s="223"/>
      <c r="BB238" s="223"/>
      <c r="BC238" s="223"/>
      <c r="BD238" s="223"/>
      <c r="BE238" s="223"/>
      <c r="BF238" s="223"/>
      <c r="BG238" s="223"/>
      <c r="BH238" s="223"/>
      <c r="BI238" s="223"/>
    </row>
    <row r="239" spans="1:61" ht="7.4" customHeight="1" x14ac:dyDescent="0.5">
      <c r="A239" s="223"/>
      <c r="B239" s="223"/>
      <c r="C239" s="223"/>
      <c r="D239" s="223"/>
      <c r="E239" s="223"/>
      <c r="F239" s="223"/>
      <c r="G239" s="223"/>
      <c r="H239" s="223"/>
      <c r="I239" s="223"/>
      <c r="J239" s="223"/>
      <c r="K239" s="223"/>
      <c r="L239" s="223"/>
      <c r="M239" s="223"/>
      <c r="N239" s="223"/>
      <c r="O239" s="223"/>
      <c r="P239" s="223"/>
      <c r="Q239" s="223"/>
      <c r="R239" s="223"/>
      <c r="S239" s="223"/>
      <c r="T239" s="223"/>
      <c r="U239" s="223"/>
      <c r="V239" s="223"/>
      <c r="W239" s="223"/>
      <c r="X239" s="223"/>
      <c r="Y239" s="223"/>
      <c r="Z239" s="223"/>
      <c r="AA239" s="223"/>
      <c r="AB239" s="223"/>
      <c r="AC239" s="223"/>
      <c r="AD239" s="223"/>
      <c r="AE239" s="223"/>
      <c r="AF239" s="223"/>
      <c r="AG239" s="223"/>
      <c r="AH239" s="223"/>
      <c r="AI239" s="223"/>
      <c r="AJ239" s="223"/>
      <c r="AK239" s="223"/>
      <c r="AL239" s="223"/>
      <c r="AM239" s="223"/>
      <c r="AN239" s="223"/>
      <c r="AO239" s="223"/>
      <c r="AP239" s="223"/>
      <c r="AQ239" s="223"/>
      <c r="AR239" s="223"/>
      <c r="AS239" s="223"/>
      <c r="AT239" s="223"/>
      <c r="AU239" s="223"/>
      <c r="AV239" s="223"/>
      <c r="AW239" s="223"/>
      <c r="AX239" s="223"/>
      <c r="AY239" s="223"/>
      <c r="AZ239" s="223"/>
      <c r="BA239" s="223"/>
      <c r="BB239" s="223"/>
      <c r="BC239" s="223"/>
      <c r="BD239" s="223"/>
      <c r="BE239" s="223"/>
      <c r="BF239" s="223"/>
      <c r="BG239" s="223"/>
      <c r="BH239" s="223"/>
      <c r="BI239" s="223"/>
    </row>
    <row r="240" spans="1:61" ht="7.4" customHeight="1" x14ac:dyDescent="0.5">
      <c r="A240" s="223"/>
      <c r="B240" s="223"/>
      <c r="C240" s="223"/>
      <c r="D240" s="223"/>
      <c r="E240" s="223"/>
      <c r="F240" s="223"/>
      <c r="G240" s="223"/>
      <c r="H240" s="223"/>
      <c r="I240" s="223"/>
      <c r="J240" s="223"/>
      <c r="K240" s="223"/>
      <c r="L240" s="223"/>
      <c r="M240" s="223"/>
      <c r="N240" s="223"/>
      <c r="O240" s="223"/>
      <c r="P240" s="223"/>
      <c r="Q240" s="223"/>
      <c r="R240" s="223"/>
      <c r="S240" s="223"/>
      <c r="T240" s="223"/>
      <c r="U240" s="223"/>
      <c r="V240" s="223"/>
      <c r="W240" s="223"/>
      <c r="X240" s="223"/>
      <c r="Y240" s="223"/>
      <c r="Z240" s="223"/>
      <c r="AA240" s="223"/>
      <c r="AB240" s="223"/>
      <c r="AC240" s="223"/>
      <c r="AD240" s="223"/>
      <c r="AE240" s="223"/>
      <c r="AF240" s="223"/>
      <c r="AG240" s="223"/>
      <c r="AH240" s="223"/>
      <c r="AI240" s="223"/>
      <c r="AJ240" s="223"/>
      <c r="AK240" s="223"/>
      <c r="AL240" s="223"/>
      <c r="AM240" s="223"/>
      <c r="AN240" s="223"/>
      <c r="AO240" s="223"/>
      <c r="AP240" s="223"/>
      <c r="AQ240" s="223"/>
      <c r="AR240" s="223"/>
      <c r="AS240" s="223"/>
      <c r="AT240" s="223"/>
      <c r="AU240" s="223"/>
      <c r="AV240" s="223"/>
      <c r="AW240" s="223"/>
      <c r="AX240" s="223"/>
      <c r="AY240" s="223"/>
      <c r="AZ240" s="223"/>
      <c r="BA240" s="223"/>
      <c r="BB240" s="223"/>
      <c r="BC240" s="223"/>
      <c r="BD240" s="223"/>
      <c r="BE240" s="223"/>
      <c r="BF240" s="223"/>
      <c r="BG240" s="223"/>
      <c r="BH240" s="223"/>
      <c r="BI240" s="223"/>
    </row>
    <row r="241" spans="1:61" ht="7.4" customHeight="1" x14ac:dyDescent="0.5">
      <c r="A241" s="223"/>
      <c r="B241" s="223"/>
      <c r="C241" s="223"/>
      <c r="D241" s="223"/>
      <c r="E241" s="223"/>
      <c r="F241" s="223"/>
      <c r="G241" s="223"/>
      <c r="H241" s="223"/>
      <c r="I241" s="223"/>
      <c r="J241" s="223"/>
      <c r="K241" s="223"/>
      <c r="L241" s="223"/>
      <c r="M241" s="223"/>
      <c r="N241" s="223"/>
      <c r="O241" s="223"/>
      <c r="P241" s="223"/>
      <c r="Q241" s="223"/>
      <c r="R241" s="223"/>
      <c r="S241" s="223"/>
      <c r="T241" s="223"/>
      <c r="U241" s="223"/>
      <c r="V241" s="223"/>
      <c r="W241" s="223"/>
      <c r="X241" s="223"/>
      <c r="Y241" s="223"/>
      <c r="Z241" s="223"/>
      <c r="AA241" s="223"/>
      <c r="AB241" s="223"/>
      <c r="AC241" s="223"/>
      <c r="AD241" s="223"/>
      <c r="AE241" s="223"/>
      <c r="AF241" s="223"/>
      <c r="AG241" s="223"/>
      <c r="AH241" s="223"/>
      <c r="AI241" s="223"/>
      <c r="AJ241" s="223"/>
      <c r="AK241" s="223"/>
      <c r="AL241" s="223"/>
      <c r="AM241" s="223"/>
      <c r="AN241" s="223"/>
      <c r="AO241" s="223"/>
      <c r="AP241" s="223"/>
      <c r="AQ241" s="223"/>
      <c r="AR241" s="223"/>
      <c r="BI241" s="223"/>
    </row>
    <row r="242" spans="1:61" ht="7.4" customHeight="1" x14ac:dyDescent="0.5">
      <c r="A242" s="223"/>
      <c r="B242" s="223"/>
      <c r="C242" s="223"/>
      <c r="D242" s="223"/>
      <c r="E242" s="223"/>
      <c r="F242" s="223"/>
      <c r="G242" s="223"/>
      <c r="H242" s="223"/>
      <c r="I242" s="223"/>
      <c r="J242" s="223"/>
      <c r="K242" s="223"/>
      <c r="L242" s="223"/>
      <c r="M242" s="223"/>
      <c r="N242" s="223"/>
      <c r="O242" s="223"/>
      <c r="P242" s="223"/>
      <c r="Q242" s="223"/>
      <c r="R242" s="223"/>
      <c r="S242" s="223"/>
      <c r="T242" s="223"/>
      <c r="U242" s="223"/>
      <c r="V242" s="223"/>
      <c r="W242" s="223"/>
      <c r="X242" s="223"/>
      <c r="Y242" s="223"/>
      <c r="Z242" s="223"/>
      <c r="AA242" s="223"/>
      <c r="AB242" s="223"/>
      <c r="AC242" s="223"/>
      <c r="AD242" s="223"/>
      <c r="AE242" s="223"/>
      <c r="AF242" s="223"/>
      <c r="AG242" s="223"/>
      <c r="AH242" s="223"/>
      <c r="AI242" s="223"/>
      <c r="AJ242" s="223"/>
      <c r="AK242" s="223"/>
      <c r="AL242" s="223"/>
      <c r="AM242" s="223"/>
      <c r="AN242" s="223"/>
      <c r="AO242" s="223"/>
      <c r="AP242" s="223"/>
      <c r="AQ242" s="223"/>
      <c r="AR242" s="223"/>
      <c r="BI242" s="223"/>
    </row>
    <row r="243" spans="1:61" ht="7.4" customHeight="1" x14ac:dyDescent="0.5">
      <c r="A243" s="223"/>
      <c r="B243" s="223"/>
      <c r="C243" s="223"/>
      <c r="D243" s="223"/>
      <c r="E243" s="223"/>
      <c r="F243" s="223"/>
      <c r="G243" s="223"/>
      <c r="H243" s="223"/>
      <c r="I243" s="223"/>
      <c r="J243" s="223"/>
      <c r="K243" s="223"/>
      <c r="L243" s="223"/>
      <c r="M243" s="223"/>
      <c r="N243" s="223"/>
      <c r="O243" s="223"/>
      <c r="P243" s="223"/>
      <c r="Q243" s="223"/>
      <c r="R243" s="223"/>
      <c r="S243" s="223"/>
      <c r="T243" s="223"/>
      <c r="U243" s="223"/>
      <c r="V243" s="223"/>
      <c r="W243" s="223"/>
      <c r="X243" s="223"/>
      <c r="Y243" s="223"/>
      <c r="Z243" s="223"/>
      <c r="AA243" s="223"/>
      <c r="AB243" s="223"/>
      <c r="AC243" s="223"/>
      <c r="AD243" s="223"/>
      <c r="AE243" s="223"/>
      <c r="AF243" s="223"/>
      <c r="AG243" s="223"/>
      <c r="AH243" s="223"/>
      <c r="AI243" s="223"/>
      <c r="AJ243" s="223"/>
      <c r="AK243" s="223"/>
      <c r="AL243" s="223"/>
      <c r="AM243" s="223"/>
      <c r="AN243" s="223"/>
      <c r="AO243" s="223"/>
      <c r="AP243" s="223"/>
      <c r="AQ243" s="223"/>
      <c r="AR243" s="223"/>
      <c r="BI243" s="223"/>
    </row>
    <row r="244" spans="1:61" ht="7.4" customHeight="1" x14ac:dyDescent="0.5">
      <c r="A244" s="223"/>
      <c r="B244" s="223"/>
      <c r="C244" s="223"/>
      <c r="D244" s="223"/>
      <c r="E244" s="223"/>
      <c r="F244" s="223"/>
      <c r="G244" s="223"/>
      <c r="H244" s="223"/>
      <c r="I244" s="223"/>
      <c r="J244" s="223"/>
      <c r="K244" s="223"/>
      <c r="L244" s="223"/>
      <c r="M244" s="223"/>
      <c r="N244" s="223"/>
      <c r="O244" s="223"/>
      <c r="P244" s="223"/>
      <c r="Q244" s="223"/>
      <c r="R244" s="223"/>
      <c r="S244" s="223"/>
      <c r="T244" s="223"/>
      <c r="U244" s="223"/>
      <c r="V244" s="223"/>
      <c r="W244" s="223"/>
      <c r="X244" s="223"/>
      <c r="Y244" s="223"/>
      <c r="Z244" s="223"/>
      <c r="AA244" s="223"/>
      <c r="AB244" s="223"/>
      <c r="AC244" s="223"/>
      <c r="AD244" s="223"/>
      <c r="AE244" s="223"/>
      <c r="AF244" s="223"/>
      <c r="AG244" s="223"/>
      <c r="AH244" s="223"/>
      <c r="AI244" s="223"/>
      <c r="AJ244" s="223"/>
      <c r="AK244" s="223"/>
      <c r="AL244" s="223"/>
      <c r="AM244" s="223"/>
      <c r="AN244" s="223"/>
      <c r="AO244" s="223"/>
      <c r="AP244" s="223"/>
      <c r="AQ244" s="223"/>
      <c r="AR244" s="223"/>
      <c r="BI244" s="223"/>
    </row>
    <row r="245" spans="1:61" ht="7.4" customHeight="1" x14ac:dyDescent="0.5">
      <c r="A245" s="223"/>
      <c r="B245" s="223"/>
      <c r="C245" s="223"/>
      <c r="D245" s="223"/>
      <c r="E245" s="223"/>
      <c r="F245" s="223"/>
      <c r="G245" s="223"/>
      <c r="H245" s="223"/>
      <c r="I245" s="223"/>
      <c r="J245" s="223"/>
      <c r="K245" s="223"/>
      <c r="L245" s="223"/>
      <c r="M245" s="223"/>
      <c r="N245" s="223"/>
      <c r="O245" s="223"/>
      <c r="P245" s="223"/>
      <c r="Q245" s="223"/>
      <c r="R245" s="223"/>
      <c r="S245" s="223"/>
      <c r="T245" s="223"/>
      <c r="U245" s="223"/>
      <c r="V245" s="223"/>
      <c r="W245" s="223"/>
      <c r="X245" s="223"/>
      <c r="Y245" s="223"/>
      <c r="Z245" s="223"/>
      <c r="AA245" s="223"/>
      <c r="AB245" s="223"/>
      <c r="AC245" s="223"/>
      <c r="AD245" s="223"/>
      <c r="AE245" s="223"/>
      <c r="AF245" s="223"/>
      <c r="AG245" s="223"/>
      <c r="AH245" s="223"/>
      <c r="AI245" s="223"/>
      <c r="AJ245" s="223"/>
      <c r="AK245" s="223"/>
      <c r="AL245" s="223"/>
      <c r="AM245" s="223"/>
      <c r="AN245" s="223"/>
      <c r="AO245" s="223"/>
      <c r="AP245" s="223"/>
      <c r="AQ245" s="223"/>
      <c r="AR245" s="223"/>
      <c r="AS245" s="223"/>
      <c r="AT245" s="223"/>
      <c r="AU245" s="223"/>
      <c r="AV245" s="223"/>
      <c r="AW245" s="223"/>
      <c r="AX245" s="223"/>
      <c r="AY245" s="223"/>
      <c r="AZ245" s="223"/>
      <c r="BA245" s="223"/>
      <c r="BB245" s="223"/>
      <c r="BC245" s="223"/>
      <c r="BD245" s="223"/>
      <c r="BE245" s="223"/>
      <c r="BF245" s="223"/>
      <c r="BG245" s="223"/>
      <c r="BH245" s="223"/>
      <c r="BI245" s="223"/>
    </row>
    <row r="246" spans="1:61" ht="7.4" customHeight="1" x14ac:dyDescent="0.5">
      <c r="A246" s="223"/>
      <c r="B246" s="223"/>
      <c r="C246" s="223"/>
      <c r="D246" s="223"/>
      <c r="E246" s="223"/>
      <c r="F246" s="223"/>
      <c r="G246" s="223"/>
      <c r="H246" s="223"/>
      <c r="I246" s="223"/>
      <c r="J246" s="223"/>
      <c r="K246" s="223"/>
      <c r="L246" s="223"/>
      <c r="M246" s="223"/>
      <c r="N246" s="223"/>
      <c r="O246" s="223"/>
      <c r="P246" s="223"/>
      <c r="Q246" s="223"/>
      <c r="R246" s="223"/>
      <c r="S246" s="223"/>
      <c r="T246" s="223"/>
      <c r="U246" s="223"/>
      <c r="V246" s="223"/>
      <c r="W246" s="223"/>
      <c r="X246" s="223"/>
      <c r="Y246" s="223"/>
      <c r="Z246" s="223"/>
      <c r="AA246" s="223"/>
      <c r="AB246" s="223"/>
      <c r="AC246" s="223"/>
      <c r="AD246" s="223"/>
      <c r="AE246" s="223"/>
      <c r="AF246" s="223"/>
      <c r="AG246" s="223"/>
      <c r="AH246" s="223"/>
      <c r="AI246" s="223"/>
      <c r="AJ246" s="223"/>
      <c r="AK246" s="223"/>
      <c r="AL246" s="223"/>
      <c r="AM246" s="223"/>
      <c r="AN246" s="223"/>
      <c r="AO246" s="223"/>
      <c r="AP246" s="223"/>
      <c r="AQ246" s="223"/>
      <c r="AR246" s="223"/>
      <c r="AS246" s="223"/>
      <c r="AT246" s="223"/>
      <c r="AU246" s="223"/>
      <c r="AV246" s="223"/>
      <c r="AW246" s="223"/>
      <c r="AX246" s="223"/>
      <c r="AY246" s="223"/>
      <c r="AZ246" s="223"/>
      <c r="BA246" s="223"/>
      <c r="BB246" s="223"/>
      <c r="BC246" s="223"/>
      <c r="BD246" s="223"/>
      <c r="BE246" s="223"/>
      <c r="BF246" s="223"/>
      <c r="BG246" s="223"/>
      <c r="BH246" s="223"/>
      <c r="BI246" s="223"/>
    </row>
    <row r="247" spans="1:61" ht="7.4" customHeight="1" x14ac:dyDescent="0.5">
      <c r="A247" s="223"/>
      <c r="B247" s="223"/>
      <c r="C247" s="223"/>
      <c r="D247" s="223"/>
      <c r="E247" s="223"/>
      <c r="F247" s="223"/>
      <c r="G247" s="223"/>
      <c r="H247" s="223"/>
      <c r="I247" s="223"/>
      <c r="J247" s="223"/>
      <c r="K247" s="223"/>
      <c r="L247" s="223"/>
      <c r="M247" s="223"/>
      <c r="N247" s="223"/>
      <c r="O247" s="223"/>
      <c r="P247" s="223"/>
      <c r="Q247" s="223"/>
      <c r="R247" s="223"/>
      <c r="S247" s="223"/>
      <c r="T247" s="223"/>
      <c r="U247" s="223"/>
      <c r="V247" s="223"/>
      <c r="W247" s="223"/>
      <c r="X247" s="223"/>
      <c r="Y247" s="223"/>
      <c r="Z247" s="223"/>
      <c r="AA247" s="223"/>
      <c r="AB247" s="223"/>
      <c r="AC247" s="223"/>
      <c r="AD247" s="223"/>
      <c r="AE247" s="223"/>
      <c r="AF247" s="223"/>
      <c r="AG247" s="223"/>
      <c r="AH247" s="223"/>
      <c r="AI247" s="223"/>
      <c r="AJ247" s="223"/>
      <c r="AK247" s="223"/>
      <c r="AL247" s="223"/>
      <c r="AM247" s="223"/>
      <c r="AN247" s="223"/>
      <c r="AO247" s="223"/>
      <c r="AP247" s="223"/>
      <c r="AQ247" s="223"/>
      <c r="AR247" s="223"/>
      <c r="AS247" s="223"/>
      <c r="AT247" s="223"/>
      <c r="AU247" s="223"/>
      <c r="AV247" s="223"/>
      <c r="AW247" s="223"/>
      <c r="AX247" s="223"/>
      <c r="AY247" s="223"/>
      <c r="AZ247" s="223"/>
      <c r="BA247" s="223"/>
      <c r="BB247" s="223"/>
      <c r="BC247" s="223"/>
      <c r="BD247" s="223"/>
      <c r="BE247" s="223"/>
      <c r="BF247" s="223"/>
      <c r="BG247" s="223"/>
      <c r="BH247" s="223"/>
      <c r="BI247" s="223"/>
    </row>
    <row r="248" spans="1:61" ht="7.4" customHeight="1" x14ac:dyDescent="0.5">
      <c r="A248" s="223"/>
      <c r="B248" s="223"/>
      <c r="C248" s="223"/>
      <c r="D248" s="223"/>
      <c r="E248" s="223"/>
      <c r="F248" s="223"/>
      <c r="G248" s="223"/>
      <c r="H248" s="223"/>
      <c r="I248" s="223"/>
      <c r="J248" s="223"/>
      <c r="K248" s="223"/>
      <c r="L248" s="223"/>
      <c r="M248" s="223"/>
      <c r="N248" s="223"/>
      <c r="O248" s="223"/>
      <c r="P248" s="223"/>
      <c r="Q248" s="223"/>
      <c r="R248" s="223"/>
      <c r="S248" s="223"/>
      <c r="T248" s="223"/>
      <c r="U248" s="223"/>
      <c r="V248" s="223"/>
      <c r="W248" s="223"/>
      <c r="X248" s="223"/>
      <c r="Y248" s="223"/>
      <c r="Z248" s="223"/>
      <c r="AA248" s="223"/>
      <c r="AB248" s="223"/>
      <c r="AC248" s="223"/>
      <c r="AD248" s="223"/>
      <c r="AE248" s="223"/>
      <c r="AF248" s="223"/>
      <c r="AG248" s="223"/>
      <c r="AH248" s="223"/>
      <c r="AI248" s="223"/>
      <c r="AJ248" s="223"/>
      <c r="AK248" s="223"/>
      <c r="AL248" s="223"/>
      <c r="AM248" s="223"/>
      <c r="AN248" s="223"/>
      <c r="AO248" s="223"/>
      <c r="AP248" s="223"/>
      <c r="AQ248" s="223"/>
      <c r="AR248" s="223"/>
      <c r="AS248" s="223"/>
      <c r="AT248" s="223"/>
      <c r="AU248" s="223"/>
      <c r="AV248" s="223"/>
      <c r="AW248" s="223"/>
      <c r="AX248" s="223"/>
      <c r="AY248" s="223"/>
      <c r="AZ248" s="223"/>
      <c r="BA248" s="223"/>
      <c r="BB248" s="223"/>
      <c r="BC248" s="223"/>
      <c r="BD248" s="223"/>
      <c r="BE248" s="223"/>
      <c r="BF248" s="223"/>
      <c r="BG248" s="223"/>
      <c r="BH248" s="223"/>
      <c r="BI248" s="223"/>
    </row>
    <row r="249" spans="1:61" ht="7.4" customHeight="1" x14ac:dyDescent="0.5">
      <c r="A249" s="223"/>
      <c r="B249" s="223"/>
      <c r="C249" s="223"/>
      <c r="D249" s="223"/>
      <c r="E249" s="223"/>
      <c r="F249" s="223"/>
      <c r="G249" s="223"/>
      <c r="H249" s="223"/>
      <c r="I249" s="223"/>
      <c r="J249" s="223"/>
      <c r="K249" s="223"/>
      <c r="L249" s="223"/>
      <c r="M249" s="223"/>
      <c r="N249" s="223"/>
      <c r="O249" s="223"/>
      <c r="P249" s="223"/>
      <c r="Q249" s="223"/>
      <c r="R249" s="223"/>
      <c r="S249" s="223"/>
      <c r="T249" s="223"/>
      <c r="U249" s="223"/>
      <c r="V249" s="223"/>
      <c r="W249" s="223"/>
      <c r="X249" s="223"/>
      <c r="Y249" s="223"/>
      <c r="Z249" s="223"/>
      <c r="AA249" s="223"/>
      <c r="AB249" s="223"/>
      <c r="AC249" s="223"/>
      <c r="AD249" s="223"/>
      <c r="AE249" s="223"/>
      <c r="AF249" s="223"/>
      <c r="AG249" s="223"/>
      <c r="AH249" s="223"/>
      <c r="AI249" s="223"/>
      <c r="AJ249" s="223"/>
      <c r="AK249" s="223"/>
      <c r="AL249" s="223"/>
      <c r="AM249" s="223"/>
      <c r="AN249" s="223"/>
      <c r="AO249" s="223"/>
      <c r="AP249" s="223"/>
      <c r="AQ249" s="223"/>
      <c r="AR249" s="223"/>
      <c r="AS249" s="223"/>
      <c r="AT249" s="223"/>
      <c r="AU249" s="223"/>
      <c r="AV249" s="223"/>
      <c r="AW249" s="223"/>
      <c r="AX249" s="223"/>
      <c r="AY249" s="223"/>
      <c r="AZ249" s="223"/>
      <c r="BA249" s="223"/>
      <c r="BB249" s="223"/>
      <c r="BC249" s="223"/>
      <c r="BD249" s="223"/>
      <c r="BE249" s="223"/>
      <c r="BF249" s="223"/>
      <c r="BG249" s="223"/>
      <c r="BH249" s="223"/>
      <c r="BI249" s="223"/>
    </row>
    <row r="250" spans="1:61" ht="7.4" customHeight="1" x14ac:dyDescent="0.5">
      <c r="A250" s="223"/>
      <c r="B250" s="223"/>
      <c r="C250" s="223"/>
      <c r="D250" s="223"/>
      <c r="E250" s="223"/>
      <c r="F250" s="223"/>
      <c r="G250" s="223"/>
      <c r="H250" s="223"/>
      <c r="I250" s="223"/>
      <c r="J250" s="223"/>
      <c r="K250" s="223"/>
      <c r="L250" s="223"/>
      <c r="M250" s="223"/>
      <c r="N250" s="223"/>
      <c r="O250" s="223"/>
      <c r="P250" s="223"/>
      <c r="Q250" s="223"/>
      <c r="R250" s="223"/>
      <c r="S250" s="223"/>
      <c r="T250" s="223"/>
      <c r="U250" s="223"/>
      <c r="V250" s="223"/>
      <c r="W250" s="223"/>
      <c r="X250" s="223"/>
      <c r="Y250" s="223"/>
      <c r="Z250" s="223"/>
      <c r="AA250" s="223"/>
      <c r="AB250" s="223"/>
      <c r="AC250" s="223"/>
      <c r="AD250" s="223"/>
      <c r="AE250" s="223"/>
      <c r="AF250" s="223"/>
      <c r="AG250" s="223"/>
      <c r="AH250" s="223"/>
      <c r="AI250" s="223"/>
      <c r="AJ250" s="223"/>
      <c r="AK250" s="223"/>
      <c r="AL250" s="223"/>
      <c r="AM250" s="223"/>
      <c r="AN250" s="223"/>
      <c r="AO250" s="223"/>
      <c r="AP250" s="223"/>
      <c r="AQ250" s="223"/>
      <c r="AR250" s="223"/>
      <c r="AS250" s="223"/>
      <c r="AT250" s="223"/>
      <c r="AU250" s="223"/>
      <c r="AV250" s="223"/>
      <c r="AW250" s="223"/>
      <c r="AX250" s="223"/>
      <c r="AY250" s="223"/>
      <c r="AZ250" s="223"/>
      <c r="BA250" s="223"/>
      <c r="BB250" s="223"/>
      <c r="BC250" s="223"/>
      <c r="BD250" s="223"/>
      <c r="BE250" s="223"/>
      <c r="BF250" s="223"/>
      <c r="BG250" s="223"/>
      <c r="BH250" s="223"/>
      <c r="BI250" s="223"/>
    </row>
    <row r="251" spans="1:61" ht="7.4" customHeight="1" x14ac:dyDescent="0.5">
      <c r="A251" s="223"/>
      <c r="B251" s="223"/>
      <c r="C251" s="223"/>
      <c r="D251" s="223"/>
      <c r="E251" s="223"/>
      <c r="F251" s="223"/>
      <c r="G251" s="223"/>
      <c r="H251" s="223"/>
      <c r="I251" s="223"/>
      <c r="J251" s="223"/>
      <c r="K251" s="223"/>
      <c r="L251" s="223"/>
      <c r="M251" s="223"/>
      <c r="N251" s="223"/>
      <c r="O251" s="223"/>
      <c r="P251" s="223"/>
      <c r="Q251" s="223"/>
      <c r="R251" s="223"/>
      <c r="S251" s="223"/>
      <c r="T251" s="223"/>
      <c r="U251" s="223"/>
      <c r="V251" s="223"/>
      <c r="W251" s="223"/>
      <c r="X251" s="223"/>
      <c r="Y251" s="223"/>
      <c r="Z251" s="223"/>
      <c r="AA251" s="223"/>
      <c r="AB251" s="223"/>
      <c r="AC251" s="223"/>
      <c r="AD251" s="223"/>
      <c r="AE251" s="223"/>
      <c r="AF251" s="223"/>
      <c r="AG251" s="223"/>
      <c r="AH251" s="223"/>
      <c r="AI251" s="223"/>
      <c r="AJ251" s="223"/>
      <c r="AK251" s="223"/>
      <c r="AL251" s="223"/>
      <c r="AM251" s="223"/>
      <c r="AN251" s="223"/>
      <c r="AO251" s="223"/>
      <c r="AP251" s="223"/>
      <c r="AQ251" s="223"/>
      <c r="AR251" s="223"/>
      <c r="AS251" s="223"/>
      <c r="AT251" s="223"/>
      <c r="AU251" s="223"/>
      <c r="AV251" s="223"/>
      <c r="AW251" s="223"/>
      <c r="AX251" s="223"/>
      <c r="AY251" s="223"/>
      <c r="AZ251" s="223"/>
      <c r="BA251" s="223"/>
      <c r="BB251" s="223"/>
      <c r="BC251" s="223"/>
      <c r="BD251" s="223"/>
      <c r="BE251" s="223"/>
      <c r="BF251" s="223"/>
      <c r="BG251" s="223"/>
      <c r="BH251" s="223"/>
      <c r="BI251" s="223"/>
    </row>
    <row r="252" spans="1:61" ht="7.4" customHeight="1" x14ac:dyDescent="0.5">
      <c r="A252" s="223"/>
      <c r="B252" s="223"/>
      <c r="C252" s="223"/>
      <c r="D252" s="223"/>
      <c r="E252" s="223"/>
      <c r="F252" s="223"/>
      <c r="G252" s="223"/>
      <c r="H252" s="223"/>
      <c r="I252" s="223"/>
      <c r="J252" s="223"/>
      <c r="K252" s="223"/>
      <c r="L252" s="223"/>
      <c r="M252" s="223"/>
      <c r="N252" s="223"/>
      <c r="O252" s="223"/>
      <c r="P252" s="223"/>
      <c r="Q252" s="223"/>
      <c r="R252" s="223"/>
      <c r="S252" s="223"/>
      <c r="T252" s="223"/>
      <c r="U252" s="223"/>
      <c r="V252" s="223"/>
      <c r="W252" s="223"/>
      <c r="X252" s="223"/>
      <c r="Y252" s="223"/>
      <c r="Z252" s="223"/>
      <c r="AA252" s="223"/>
      <c r="AB252" s="223"/>
      <c r="AC252" s="223"/>
      <c r="AD252" s="223"/>
      <c r="AE252" s="223"/>
      <c r="AF252" s="223"/>
      <c r="AG252" s="223"/>
      <c r="AH252" s="223"/>
      <c r="AI252" s="223"/>
      <c r="AJ252" s="223"/>
      <c r="AK252" s="223"/>
      <c r="AL252" s="223"/>
      <c r="AM252" s="223"/>
      <c r="AN252" s="223"/>
      <c r="AO252" s="223"/>
      <c r="AP252" s="223"/>
      <c r="AQ252" s="223"/>
      <c r="AR252" s="223"/>
      <c r="AS252" s="223"/>
      <c r="AT252" s="223"/>
      <c r="AU252" s="223"/>
      <c r="AV252" s="223"/>
      <c r="AW252" s="223"/>
      <c r="AX252" s="223"/>
      <c r="AY252" s="223"/>
      <c r="AZ252" s="223"/>
      <c r="BA252" s="223"/>
      <c r="BB252" s="223"/>
      <c r="BC252" s="223"/>
      <c r="BD252" s="223"/>
      <c r="BE252" s="223"/>
      <c r="BF252" s="223"/>
      <c r="BG252" s="223"/>
      <c r="BH252" s="223"/>
      <c r="BI252" s="223"/>
    </row>
    <row r="253" spans="1:61" ht="7.4" customHeight="1" x14ac:dyDescent="0.5">
      <c r="A253" s="223"/>
      <c r="B253" s="223"/>
      <c r="C253" s="223"/>
      <c r="D253" s="223"/>
      <c r="E253" s="223"/>
      <c r="F253" s="223"/>
      <c r="G253" s="223"/>
      <c r="H253" s="223"/>
      <c r="I253" s="223"/>
      <c r="J253" s="223"/>
      <c r="K253" s="223"/>
      <c r="L253" s="223"/>
      <c r="M253" s="223"/>
      <c r="N253" s="223"/>
      <c r="O253" s="223"/>
      <c r="P253" s="223"/>
      <c r="Q253" s="223"/>
      <c r="R253" s="223"/>
      <c r="S253" s="223"/>
      <c r="T253" s="223"/>
      <c r="U253" s="223"/>
      <c r="V253" s="223"/>
      <c r="W253" s="223"/>
      <c r="X253" s="223"/>
      <c r="Y253" s="223"/>
      <c r="Z253" s="223"/>
      <c r="AA253" s="223"/>
      <c r="AB253" s="223"/>
      <c r="AC253" s="223"/>
      <c r="AD253" s="223"/>
      <c r="AE253" s="223"/>
      <c r="AF253" s="223"/>
      <c r="AG253" s="223"/>
      <c r="AH253" s="223"/>
      <c r="AI253" s="223"/>
      <c r="AJ253" s="223"/>
      <c r="AK253" s="223"/>
      <c r="AL253" s="223"/>
      <c r="AM253" s="223"/>
      <c r="AN253" s="223"/>
      <c r="AO253" s="223"/>
      <c r="AP253" s="223"/>
      <c r="AQ253" s="223"/>
      <c r="AR253" s="223"/>
      <c r="AS253" s="223"/>
      <c r="AT253" s="223"/>
      <c r="AU253" s="223"/>
      <c r="AV253" s="223"/>
      <c r="AW253" s="223"/>
      <c r="AX253" s="223"/>
      <c r="AY253" s="223"/>
      <c r="AZ253" s="223"/>
      <c r="BA253" s="223"/>
      <c r="BB253" s="223"/>
      <c r="BC253" s="223"/>
      <c r="BD253" s="223"/>
      <c r="BE253" s="223"/>
      <c r="BF253" s="223"/>
      <c r="BG253" s="223"/>
      <c r="BH253" s="223"/>
      <c r="BI253" s="223"/>
    </row>
    <row r="254" spans="1:61" ht="7.4" customHeight="1" x14ac:dyDescent="0.5">
      <c r="A254" s="223"/>
      <c r="B254" s="223"/>
      <c r="C254" s="223"/>
      <c r="D254" s="223"/>
      <c r="E254" s="223"/>
      <c r="F254" s="223"/>
      <c r="G254" s="223"/>
      <c r="H254" s="223"/>
      <c r="I254" s="223"/>
      <c r="J254" s="223"/>
      <c r="K254" s="223"/>
      <c r="L254" s="223"/>
      <c r="M254" s="223"/>
      <c r="N254" s="223"/>
      <c r="O254" s="223"/>
      <c r="P254" s="223"/>
      <c r="Q254" s="223"/>
      <c r="R254" s="223"/>
      <c r="S254" s="223"/>
      <c r="T254" s="223"/>
      <c r="U254" s="223"/>
      <c r="V254" s="223"/>
      <c r="W254" s="223"/>
      <c r="X254" s="223"/>
      <c r="Y254" s="223"/>
      <c r="Z254" s="223"/>
      <c r="AA254" s="223"/>
      <c r="AB254" s="223"/>
      <c r="AC254" s="223"/>
      <c r="AD254" s="223"/>
      <c r="AE254" s="223"/>
      <c r="AF254" s="223"/>
      <c r="AG254" s="223"/>
      <c r="AH254" s="223"/>
      <c r="AI254" s="223"/>
      <c r="AJ254" s="223"/>
      <c r="AK254" s="223"/>
      <c r="AL254" s="223"/>
      <c r="AM254" s="223"/>
      <c r="AN254" s="223"/>
      <c r="AO254" s="223"/>
      <c r="AP254" s="223"/>
      <c r="AQ254" s="223"/>
      <c r="AR254" s="223"/>
      <c r="AS254" s="223"/>
      <c r="AT254" s="223"/>
      <c r="AU254" s="223"/>
      <c r="AV254" s="223"/>
      <c r="AW254" s="223"/>
      <c r="AX254" s="223"/>
      <c r="AY254" s="223"/>
      <c r="AZ254" s="223"/>
      <c r="BA254" s="223"/>
      <c r="BB254" s="223"/>
      <c r="BC254" s="223"/>
      <c r="BD254" s="223"/>
      <c r="BE254" s="223"/>
      <c r="BF254" s="223"/>
      <c r="BG254" s="223"/>
      <c r="BH254" s="223"/>
      <c r="BI254" s="223"/>
    </row>
    <row r="255" spans="1:61" ht="7.4" customHeight="1" x14ac:dyDescent="0.5">
      <c r="A255" s="223"/>
      <c r="B255" s="223"/>
      <c r="C255" s="223"/>
      <c r="D255" s="223"/>
      <c r="E255" s="223"/>
      <c r="F255" s="223"/>
      <c r="G255" s="223"/>
      <c r="H255" s="223"/>
      <c r="I255" s="223"/>
      <c r="J255" s="223"/>
      <c r="K255" s="223"/>
      <c r="L255" s="223"/>
      <c r="M255" s="223"/>
      <c r="N255" s="223"/>
      <c r="O255" s="223"/>
      <c r="P255" s="223"/>
      <c r="Q255" s="223"/>
      <c r="R255" s="223"/>
      <c r="S255" s="223"/>
      <c r="T255" s="223"/>
      <c r="U255" s="223"/>
      <c r="V255" s="223"/>
      <c r="W255" s="223"/>
      <c r="X255" s="223"/>
      <c r="Y255" s="223"/>
      <c r="Z255" s="223"/>
      <c r="AA255" s="223"/>
      <c r="AB255" s="223"/>
      <c r="AC255" s="223"/>
      <c r="AD255" s="223"/>
      <c r="AE255" s="223"/>
      <c r="AF255" s="223"/>
      <c r="AG255" s="223"/>
      <c r="AH255" s="223"/>
      <c r="AI255" s="223"/>
      <c r="AJ255" s="223"/>
      <c r="AK255" s="223"/>
      <c r="AL255" s="223"/>
      <c r="AM255" s="223"/>
      <c r="AN255" s="223"/>
      <c r="AO255" s="223"/>
      <c r="AP255" s="223"/>
      <c r="AQ255" s="223"/>
      <c r="AR255" s="223"/>
      <c r="AS255" s="223"/>
      <c r="AT255" s="223"/>
      <c r="AU255" s="223"/>
      <c r="AV255" s="223"/>
      <c r="AW255" s="223"/>
      <c r="AX255" s="223"/>
      <c r="AY255" s="223"/>
      <c r="AZ255" s="223"/>
      <c r="BA255" s="223"/>
      <c r="BB255" s="223"/>
      <c r="BC255" s="223"/>
      <c r="BD255" s="223"/>
      <c r="BE255" s="223"/>
      <c r="BF255" s="223"/>
      <c r="BG255" s="223"/>
      <c r="BH255" s="223"/>
      <c r="BI255" s="223"/>
    </row>
    <row r="256" spans="1:61" ht="7.4" customHeight="1" x14ac:dyDescent="0.5">
      <c r="A256" s="223"/>
      <c r="B256" s="223"/>
      <c r="C256" s="223"/>
      <c r="D256" s="223"/>
      <c r="E256" s="223"/>
      <c r="F256" s="223"/>
      <c r="G256" s="223"/>
      <c r="H256" s="223"/>
      <c r="I256" s="223"/>
      <c r="J256" s="223"/>
      <c r="K256" s="223"/>
      <c r="L256" s="223"/>
      <c r="M256" s="223"/>
      <c r="N256" s="223"/>
      <c r="O256" s="223"/>
      <c r="P256" s="223"/>
      <c r="Q256" s="223"/>
      <c r="R256" s="223"/>
      <c r="S256" s="223"/>
      <c r="T256" s="223"/>
      <c r="U256" s="223"/>
      <c r="V256" s="223"/>
      <c r="W256" s="223"/>
      <c r="X256" s="223"/>
      <c r="Y256" s="223"/>
      <c r="Z256" s="223"/>
      <c r="AA256" s="223"/>
      <c r="AB256" s="223"/>
      <c r="AC256" s="223"/>
      <c r="AD256" s="223"/>
      <c r="AE256" s="223"/>
      <c r="AF256" s="223"/>
      <c r="AG256" s="223"/>
      <c r="AH256" s="223"/>
      <c r="AI256" s="223"/>
      <c r="AJ256" s="223"/>
      <c r="AK256" s="223"/>
      <c r="AL256" s="223"/>
      <c r="AM256" s="223"/>
      <c r="AN256" s="223"/>
      <c r="AO256" s="223"/>
      <c r="AP256" s="223"/>
      <c r="AQ256" s="223"/>
      <c r="AR256" s="223"/>
      <c r="AS256" s="223"/>
      <c r="AT256" s="223"/>
      <c r="AU256" s="223"/>
      <c r="AV256" s="223"/>
      <c r="AW256" s="223"/>
      <c r="AX256" s="223"/>
      <c r="AY256" s="223"/>
      <c r="AZ256" s="223"/>
      <c r="BA256" s="223"/>
      <c r="BB256" s="223"/>
      <c r="BC256" s="223"/>
      <c r="BD256" s="223"/>
      <c r="BE256" s="223"/>
      <c r="BF256" s="223"/>
      <c r="BG256" s="223"/>
      <c r="BH256" s="223"/>
      <c r="BI256" s="223"/>
    </row>
    <row r="257" spans="1:61" ht="7.4" customHeight="1" x14ac:dyDescent="0.5">
      <c r="A257" s="223"/>
      <c r="B257" s="223"/>
      <c r="C257" s="223"/>
      <c r="D257" s="223"/>
      <c r="E257" s="223"/>
      <c r="F257" s="223"/>
      <c r="G257" s="223"/>
      <c r="H257" s="223"/>
      <c r="I257" s="223"/>
      <c r="J257" s="223"/>
      <c r="K257" s="223"/>
      <c r="L257" s="223"/>
      <c r="M257" s="223"/>
      <c r="N257" s="223"/>
      <c r="O257" s="223"/>
      <c r="P257" s="223"/>
      <c r="Q257" s="223"/>
      <c r="R257" s="223"/>
      <c r="S257" s="223"/>
      <c r="T257" s="223"/>
      <c r="U257" s="223"/>
      <c r="V257" s="223"/>
      <c r="W257" s="223"/>
      <c r="X257" s="223"/>
      <c r="Y257" s="223"/>
      <c r="Z257" s="223"/>
      <c r="AA257" s="223"/>
      <c r="AB257" s="223"/>
      <c r="AC257" s="223"/>
      <c r="AD257" s="223"/>
      <c r="AE257" s="223"/>
      <c r="AF257" s="223"/>
      <c r="AG257" s="223"/>
      <c r="AH257" s="223"/>
      <c r="AI257" s="223"/>
      <c r="AJ257" s="223"/>
      <c r="AK257" s="223"/>
      <c r="AL257" s="223"/>
      <c r="AM257" s="223"/>
      <c r="AN257" s="223"/>
      <c r="AO257" s="223"/>
      <c r="AP257" s="223"/>
      <c r="AQ257" s="223"/>
      <c r="AR257" s="223"/>
      <c r="AS257" s="223"/>
      <c r="AT257" s="223"/>
      <c r="AU257" s="223"/>
      <c r="AV257" s="223"/>
      <c r="AW257" s="223"/>
      <c r="AX257" s="223"/>
      <c r="AY257" s="223"/>
      <c r="AZ257" s="223"/>
      <c r="BA257" s="223"/>
      <c r="BB257" s="223"/>
      <c r="BC257" s="223"/>
      <c r="BD257" s="223"/>
      <c r="BE257" s="223"/>
      <c r="BF257" s="223"/>
      <c r="BG257" s="223"/>
      <c r="BH257" s="223"/>
      <c r="BI257" s="223"/>
    </row>
    <row r="258" spans="1:61" ht="7.4" customHeight="1" x14ac:dyDescent="0.5">
      <c r="A258" s="223"/>
      <c r="B258" s="223"/>
      <c r="C258" s="223"/>
      <c r="D258" s="223"/>
      <c r="E258" s="223"/>
      <c r="F258" s="223"/>
      <c r="G258" s="223"/>
      <c r="H258" s="223"/>
      <c r="I258" s="223"/>
      <c r="J258" s="223"/>
      <c r="K258" s="223"/>
      <c r="L258" s="223"/>
      <c r="M258" s="223"/>
      <c r="N258" s="223"/>
      <c r="O258" s="223"/>
      <c r="P258" s="223"/>
      <c r="Q258" s="223"/>
      <c r="R258" s="223"/>
      <c r="S258" s="223"/>
      <c r="T258" s="223"/>
      <c r="U258" s="223"/>
      <c r="V258" s="223"/>
      <c r="W258" s="223"/>
      <c r="X258" s="223"/>
      <c r="Y258" s="223"/>
      <c r="Z258" s="223"/>
      <c r="AA258" s="223"/>
      <c r="AB258" s="223"/>
      <c r="AC258" s="223"/>
      <c r="AD258" s="223"/>
      <c r="AE258" s="223"/>
      <c r="AF258" s="223"/>
      <c r="AG258" s="223"/>
      <c r="AH258" s="223"/>
      <c r="AI258" s="223"/>
      <c r="AJ258" s="223"/>
      <c r="AK258" s="223"/>
      <c r="AL258" s="223"/>
      <c r="AM258" s="223"/>
      <c r="AN258" s="223"/>
      <c r="AO258" s="223"/>
      <c r="AP258" s="223"/>
      <c r="AQ258" s="223"/>
      <c r="AR258" s="223"/>
      <c r="AS258" s="223"/>
      <c r="AT258" s="223"/>
      <c r="AU258" s="223"/>
      <c r="AV258" s="223"/>
      <c r="AW258" s="223"/>
      <c r="AX258" s="223"/>
      <c r="AY258" s="223"/>
      <c r="AZ258" s="223"/>
      <c r="BA258" s="223"/>
      <c r="BB258" s="223"/>
      <c r="BC258" s="223"/>
      <c r="BD258" s="223"/>
      <c r="BE258" s="223"/>
      <c r="BF258" s="223"/>
      <c r="BG258" s="223"/>
      <c r="BH258" s="223"/>
      <c r="BI258" s="223"/>
    </row>
    <row r="259" spans="1:61" ht="7.4" customHeight="1" x14ac:dyDescent="0.5">
      <c r="A259" s="223"/>
      <c r="B259" s="223"/>
      <c r="C259" s="223"/>
      <c r="D259" s="223"/>
      <c r="E259" s="223"/>
      <c r="F259" s="223"/>
      <c r="G259" s="223"/>
      <c r="H259" s="223"/>
      <c r="I259" s="223"/>
      <c r="J259" s="223"/>
      <c r="K259" s="223"/>
      <c r="L259" s="223"/>
      <c r="M259" s="223"/>
      <c r="N259" s="223"/>
      <c r="O259" s="223"/>
      <c r="P259" s="223"/>
      <c r="Q259" s="223"/>
      <c r="R259" s="223"/>
      <c r="S259" s="223"/>
      <c r="T259" s="223"/>
      <c r="U259" s="223"/>
      <c r="V259" s="223"/>
      <c r="W259" s="223"/>
      <c r="X259" s="223"/>
      <c r="Y259" s="223"/>
      <c r="Z259" s="223"/>
      <c r="AA259" s="223"/>
      <c r="AB259" s="223"/>
      <c r="AC259" s="223"/>
      <c r="AD259" s="223"/>
      <c r="AE259" s="223"/>
      <c r="AF259" s="223"/>
      <c r="AG259" s="223"/>
      <c r="AH259" s="223"/>
      <c r="AI259" s="223"/>
      <c r="AJ259" s="223"/>
      <c r="AK259" s="223"/>
      <c r="AL259" s="223"/>
      <c r="AM259" s="223"/>
      <c r="AN259" s="223"/>
      <c r="AO259" s="223"/>
      <c r="AP259" s="223"/>
      <c r="AQ259" s="223"/>
      <c r="AR259" s="223"/>
      <c r="AS259" s="223"/>
      <c r="AT259" s="223"/>
      <c r="AU259" s="223"/>
      <c r="AV259" s="223"/>
      <c r="AW259" s="223"/>
      <c r="AX259" s="223"/>
      <c r="AY259" s="223"/>
      <c r="AZ259" s="223"/>
      <c r="BA259" s="223"/>
      <c r="BB259" s="223"/>
      <c r="BC259" s="223"/>
      <c r="BD259" s="223"/>
      <c r="BE259" s="223"/>
      <c r="BF259" s="223"/>
      <c r="BG259" s="223"/>
      <c r="BH259" s="223"/>
      <c r="BI259" s="223"/>
    </row>
    <row r="260" spans="1:61" ht="7.4" customHeight="1" x14ac:dyDescent="0.5">
      <c r="A260" s="223"/>
      <c r="B260" s="223"/>
      <c r="C260" s="223"/>
      <c r="D260" s="223"/>
      <c r="E260" s="223"/>
      <c r="F260" s="223"/>
      <c r="G260" s="223"/>
      <c r="H260" s="223"/>
      <c r="I260" s="223"/>
      <c r="J260" s="223"/>
      <c r="K260" s="223"/>
      <c r="L260" s="223"/>
      <c r="M260" s="223"/>
      <c r="N260" s="223"/>
      <c r="O260" s="223"/>
      <c r="P260" s="223"/>
      <c r="Q260" s="223"/>
      <c r="R260" s="223"/>
      <c r="S260" s="223"/>
      <c r="T260" s="223"/>
      <c r="U260" s="223"/>
      <c r="V260" s="223"/>
      <c r="W260" s="223"/>
      <c r="X260" s="223"/>
      <c r="Y260" s="223"/>
      <c r="Z260" s="223"/>
      <c r="AA260" s="223"/>
      <c r="AB260" s="223"/>
      <c r="AC260" s="223"/>
      <c r="AD260" s="223"/>
      <c r="AE260" s="223"/>
      <c r="AF260" s="223"/>
      <c r="AG260" s="223"/>
      <c r="AH260" s="223"/>
      <c r="AI260" s="223"/>
      <c r="AJ260" s="223"/>
      <c r="AK260" s="223"/>
      <c r="AL260" s="223"/>
      <c r="AM260" s="223"/>
      <c r="AN260" s="223"/>
      <c r="AO260" s="223"/>
      <c r="AP260" s="223"/>
      <c r="AQ260" s="223"/>
      <c r="AR260" s="223"/>
      <c r="AS260" s="223"/>
      <c r="AT260" s="223"/>
      <c r="AU260" s="223"/>
      <c r="AV260" s="223"/>
      <c r="AW260" s="223"/>
      <c r="AX260" s="223"/>
      <c r="AY260" s="223"/>
      <c r="AZ260" s="223"/>
      <c r="BA260" s="223"/>
      <c r="BB260" s="223"/>
      <c r="BC260" s="223"/>
      <c r="BD260" s="223"/>
      <c r="BE260" s="223"/>
      <c r="BF260" s="223"/>
      <c r="BG260" s="223"/>
      <c r="BH260" s="223"/>
      <c r="BI260" s="223"/>
    </row>
    <row r="261" spans="1:61" ht="7.4" customHeight="1" x14ac:dyDescent="0.5">
      <c r="A261" s="223"/>
      <c r="B261" s="223"/>
      <c r="C261" s="223"/>
      <c r="D261" s="223"/>
      <c r="E261" s="223"/>
      <c r="F261" s="223"/>
      <c r="G261" s="223"/>
      <c r="H261" s="223"/>
      <c r="I261" s="223"/>
      <c r="J261" s="223"/>
      <c r="K261" s="223"/>
      <c r="L261" s="223"/>
      <c r="M261" s="223"/>
      <c r="N261" s="223"/>
      <c r="O261" s="223"/>
      <c r="P261" s="223"/>
      <c r="Q261" s="223"/>
      <c r="R261" s="223"/>
      <c r="S261" s="223"/>
      <c r="T261" s="223"/>
      <c r="U261" s="223"/>
      <c r="V261" s="223"/>
      <c r="W261" s="223"/>
      <c r="X261" s="223"/>
      <c r="Y261" s="223"/>
      <c r="Z261" s="223"/>
      <c r="AA261" s="223"/>
      <c r="AB261" s="223"/>
      <c r="AC261" s="223"/>
      <c r="AD261" s="223"/>
      <c r="AE261" s="223"/>
      <c r="AF261" s="223"/>
      <c r="AG261" s="223"/>
      <c r="AH261" s="223"/>
      <c r="AI261" s="223"/>
      <c r="AJ261" s="223"/>
      <c r="AK261" s="223"/>
      <c r="AL261" s="223"/>
      <c r="AM261" s="223"/>
      <c r="AN261" s="223"/>
      <c r="AO261" s="223"/>
      <c r="AP261" s="223"/>
      <c r="AQ261" s="223"/>
      <c r="AR261" s="223"/>
      <c r="AS261" s="223"/>
      <c r="AT261" s="223"/>
      <c r="AU261" s="223"/>
      <c r="AV261" s="223"/>
      <c r="AW261" s="223"/>
      <c r="AX261" s="223"/>
      <c r="AY261" s="223"/>
      <c r="AZ261" s="223"/>
      <c r="BA261" s="223"/>
      <c r="BB261" s="223"/>
      <c r="BC261" s="223"/>
      <c r="BD261" s="223"/>
      <c r="BE261" s="223"/>
      <c r="BF261" s="223"/>
      <c r="BG261" s="223"/>
      <c r="BH261" s="223"/>
      <c r="BI261" s="223"/>
    </row>
    <row r="262" spans="1:61" ht="7.4" customHeight="1" x14ac:dyDescent="0.5">
      <c r="A262" s="223"/>
      <c r="B262" s="223"/>
      <c r="C262" s="223"/>
      <c r="D262" s="223"/>
      <c r="E262" s="223"/>
      <c r="F262" s="223"/>
      <c r="G262" s="223"/>
      <c r="H262" s="223"/>
      <c r="I262" s="223"/>
      <c r="J262" s="223"/>
      <c r="K262" s="223"/>
      <c r="L262" s="223"/>
      <c r="M262" s="223"/>
      <c r="N262" s="223"/>
      <c r="O262" s="223"/>
      <c r="P262" s="223"/>
      <c r="Q262" s="223"/>
      <c r="R262" s="223"/>
      <c r="S262" s="223"/>
      <c r="T262" s="223"/>
      <c r="U262" s="223"/>
      <c r="V262" s="223"/>
      <c r="W262" s="223"/>
      <c r="X262" s="223"/>
      <c r="Y262" s="223"/>
      <c r="Z262" s="223"/>
      <c r="AA262" s="223"/>
      <c r="AB262" s="223"/>
      <c r="AC262" s="223"/>
      <c r="AD262" s="223"/>
      <c r="AE262" s="223"/>
      <c r="AF262" s="223"/>
      <c r="AG262" s="223"/>
      <c r="AH262" s="223"/>
      <c r="AI262" s="223"/>
      <c r="AJ262" s="223"/>
      <c r="AK262" s="223"/>
      <c r="AL262" s="223"/>
      <c r="AM262" s="223"/>
      <c r="AN262" s="223"/>
      <c r="AO262" s="223"/>
      <c r="AP262" s="223"/>
      <c r="AQ262" s="223"/>
      <c r="AR262" s="223"/>
      <c r="AS262" s="223"/>
      <c r="AT262" s="223"/>
      <c r="AU262" s="223"/>
      <c r="AV262" s="223"/>
      <c r="AW262" s="223"/>
      <c r="AX262" s="223"/>
      <c r="AY262" s="223"/>
      <c r="AZ262" s="223"/>
      <c r="BA262" s="223"/>
      <c r="BB262" s="223"/>
      <c r="BC262" s="223"/>
      <c r="BD262" s="223"/>
      <c r="BE262" s="223"/>
      <c r="BF262" s="223"/>
      <c r="BG262" s="223"/>
      <c r="BH262" s="223"/>
      <c r="BI262" s="223"/>
    </row>
    <row r="263" spans="1:61" ht="7.4" customHeight="1" x14ac:dyDescent="0.5">
      <c r="A263" s="223"/>
      <c r="B263" s="223"/>
      <c r="C263" s="223"/>
      <c r="D263" s="223"/>
      <c r="E263" s="223"/>
      <c r="F263" s="223"/>
      <c r="G263" s="223"/>
      <c r="H263" s="223"/>
      <c r="I263" s="223"/>
      <c r="J263" s="223"/>
      <c r="K263" s="223"/>
      <c r="L263" s="223"/>
      <c r="M263" s="223"/>
      <c r="N263" s="223"/>
      <c r="O263" s="223"/>
      <c r="P263" s="223"/>
      <c r="Q263" s="223"/>
      <c r="R263" s="223"/>
      <c r="S263" s="223"/>
      <c r="T263" s="223"/>
      <c r="U263" s="223"/>
      <c r="V263" s="223"/>
      <c r="W263" s="223"/>
      <c r="X263" s="223"/>
      <c r="Y263" s="223"/>
      <c r="Z263" s="223"/>
      <c r="AA263" s="223"/>
      <c r="AB263" s="223"/>
      <c r="AC263" s="223"/>
      <c r="AD263" s="223"/>
      <c r="AE263" s="223"/>
      <c r="AF263" s="223"/>
      <c r="AG263" s="223"/>
      <c r="AH263" s="223"/>
      <c r="AI263" s="223"/>
      <c r="AJ263" s="223"/>
      <c r="AK263" s="223"/>
      <c r="AL263" s="223"/>
      <c r="AM263" s="223"/>
      <c r="AN263" s="223"/>
      <c r="AO263" s="223"/>
      <c r="AP263" s="223"/>
      <c r="AQ263" s="223"/>
      <c r="AR263" s="223"/>
      <c r="AS263" s="223"/>
      <c r="AT263" s="223"/>
      <c r="AU263" s="223"/>
      <c r="AV263" s="223"/>
      <c r="AW263" s="223"/>
      <c r="AX263" s="223"/>
      <c r="AY263" s="223"/>
      <c r="AZ263" s="223"/>
      <c r="BA263" s="223"/>
      <c r="BB263" s="223"/>
      <c r="BC263" s="223"/>
      <c r="BD263" s="223"/>
      <c r="BE263" s="223"/>
      <c r="BF263" s="223"/>
      <c r="BG263" s="223"/>
      <c r="BH263" s="223"/>
      <c r="BI263" s="223"/>
    </row>
    <row r="264" spans="1:61" ht="7.4" customHeight="1" x14ac:dyDescent="0.5">
      <c r="A264" s="223"/>
      <c r="B264" s="223"/>
      <c r="C264" s="223"/>
      <c r="D264" s="223"/>
      <c r="E264" s="223"/>
      <c r="F264" s="223"/>
      <c r="G264" s="223"/>
      <c r="H264" s="223"/>
      <c r="I264" s="223"/>
      <c r="J264" s="223"/>
      <c r="K264" s="223"/>
      <c r="L264" s="223"/>
      <c r="M264" s="223"/>
      <c r="N264" s="223"/>
      <c r="O264" s="223"/>
      <c r="P264" s="223"/>
      <c r="Q264" s="223"/>
      <c r="R264" s="223"/>
      <c r="S264" s="223"/>
      <c r="T264" s="223"/>
      <c r="U264" s="223"/>
      <c r="V264" s="223"/>
      <c r="W264" s="223"/>
      <c r="X264" s="223"/>
      <c r="Y264" s="223"/>
      <c r="Z264" s="223"/>
      <c r="AA264" s="223"/>
      <c r="AB264" s="223"/>
      <c r="AC264" s="223"/>
      <c r="AD264" s="223"/>
      <c r="AE264" s="223"/>
      <c r="AF264" s="223"/>
      <c r="AG264" s="223"/>
      <c r="AH264" s="223"/>
      <c r="AI264" s="223"/>
      <c r="AJ264" s="223"/>
      <c r="AK264" s="223"/>
      <c r="AL264" s="223"/>
      <c r="AM264" s="223"/>
      <c r="AN264" s="223"/>
      <c r="AO264" s="223"/>
      <c r="AP264" s="223"/>
      <c r="AQ264" s="223"/>
      <c r="AR264" s="223"/>
      <c r="AS264" s="223"/>
      <c r="AT264" s="223"/>
      <c r="AU264" s="223"/>
      <c r="AV264" s="223"/>
      <c r="AW264" s="223"/>
      <c r="AX264" s="223"/>
      <c r="AY264" s="223"/>
      <c r="AZ264" s="223"/>
      <c r="BA264" s="223"/>
      <c r="BB264" s="223"/>
      <c r="BC264" s="223"/>
      <c r="BD264" s="223"/>
      <c r="BE264" s="223"/>
      <c r="BF264" s="223"/>
      <c r="BG264" s="223"/>
      <c r="BH264" s="223"/>
      <c r="BI264" s="223"/>
    </row>
    <row r="265" spans="1:61" ht="7.4" customHeight="1" x14ac:dyDescent="0.5">
      <c r="A265" s="223"/>
      <c r="B265" s="223"/>
      <c r="C265" s="223"/>
      <c r="D265" s="223"/>
      <c r="E265" s="223"/>
      <c r="F265" s="223"/>
      <c r="G265" s="223"/>
      <c r="H265" s="223"/>
      <c r="I265" s="223"/>
      <c r="J265" s="223"/>
      <c r="K265" s="223"/>
      <c r="L265" s="223"/>
      <c r="M265" s="223"/>
      <c r="N265" s="223"/>
      <c r="O265" s="223"/>
      <c r="P265" s="223"/>
      <c r="Q265" s="223"/>
      <c r="R265" s="223"/>
      <c r="S265" s="223"/>
      <c r="T265" s="223"/>
      <c r="U265" s="223"/>
      <c r="V265" s="223"/>
      <c r="W265" s="223"/>
      <c r="X265" s="223"/>
      <c r="Y265" s="223"/>
      <c r="Z265" s="223"/>
      <c r="AA265" s="223"/>
      <c r="AB265" s="223"/>
      <c r="AC265" s="223"/>
      <c r="AD265" s="223"/>
      <c r="AE265" s="223"/>
      <c r="AF265" s="223"/>
      <c r="AG265" s="223"/>
      <c r="AH265" s="223"/>
      <c r="AI265" s="223"/>
      <c r="AJ265" s="223"/>
      <c r="AK265" s="223"/>
      <c r="AL265" s="223"/>
      <c r="AM265" s="223"/>
      <c r="AN265" s="223"/>
      <c r="AO265" s="223"/>
      <c r="AP265" s="223"/>
      <c r="AQ265" s="223"/>
      <c r="AR265" s="223"/>
      <c r="AS265" s="223"/>
      <c r="AT265" s="223"/>
      <c r="AU265" s="223"/>
      <c r="AV265" s="223"/>
      <c r="AW265" s="223"/>
      <c r="AX265" s="223"/>
      <c r="AY265" s="223"/>
      <c r="AZ265" s="223"/>
      <c r="BA265" s="223"/>
      <c r="BB265" s="223"/>
      <c r="BC265" s="223"/>
      <c r="BD265" s="223"/>
      <c r="BE265" s="223"/>
      <c r="BF265" s="223"/>
      <c r="BG265" s="223"/>
      <c r="BH265" s="223"/>
      <c r="BI265" s="223"/>
    </row>
    <row r="266" spans="1:61" ht="7.4" customHeight="1" x14ac:dyDescent="0.5">
      <c r="A266" s="223"/>
      <c r="B266" s="223"/>
      <c r="C266" s="223"/>
      <c r="D266" s="223"/>
      <c r="E266" s="223"/>
      <c r="F266" s="223"/>
      <c r="G266" s="223"/>
      <c r="H266" s="223"/>
      <c r="I266" s="223"/>
      <c r="J266" s="223"/>
      <c r="K266" s="223"/>
      <c r="L266" s="223"/>
      <c r="M266" s="223"/>
      <c r="N266" s="223"/>
      <c r="O266" s="223"/>
      <c r="P266" s="223"/>
      <c r="Q266" s="223"/>
      <c r="R266" s="223"/>
      <c r="S266" s="223"/>
      <c r="T266" s="223"/>
      <c r="U266" s="223"/>
      <c r="V266" s="223"/>
      <c r="W266" s="223"/>
      <c r="X266" s="223"/>
      <c r="Y266" s="223"/>
      <c r="Z266" s="223"/>
      <c r="AA266" s="223"/>
      <c r="AB266" s="223"/>
      <c r="AC266" s="223"/>
      <c r="AD266" s="223"/>
      <c r="AE266" s="223"/>
      <c r="AF266" s="223"/>
      <c r="AG266" s="223"/>
      <c r="AH266" s="223"/>
      <c r="AI266" s="223"/>
      <c r="AJ266" s="223"/>
      <c r="AK266" s="223"/>
      <c r="AL266" s="223"/>
      <c r="AM266" s="223"/>
      <c r="AN266" s="223"/>
      <c r="AO266" s="223"/>
      <c r="AP266" s="223"/>
      <c r="AQ266" s="223"/>
      <c r="AR266" s="223"/>
      <c r="AS266" s="223"/>
      <c r="AT266" s="223"/>
      <c r="AU266" s="223"/>
      <c r="AV266" s="223"/>
      <c r="AW266" s="223"/>
      <c r="AX266" s="223"/>
      <c r="AY266" s="223"/>
      <c r="AZ266" s="223"/>
      <c r="BA266" s="223"/>
      <c r="BB266" s="223"/>
      <c r="BC266" s="223"/>
      <c r="BD266" s="223"/>
      <c r="BE266" s="223"/>
      <c r="BF266" s="223"/>
      <c r="BG266" s="223"/>
      <c r="BH266" s="223"/>
      <c r="BI266" s="223"/>
    </row>
    <row r="267" spans="1:61" ht="7.4" customHeight="1" x14ac:dyDescent="0.5">
      <c r="A267" s="223"/>
      <c r="B267" s="223"/>
      <c r="C267" s="223"/>
      <c r="D267" s="223"/>
      <c r="E267" s="223"/>
      <c r="F267" s="223"/>
      <c r="G267" s="223"/>
      <c r="H267" s="223"/>
      <c r="I267" s="223"/>
      <c r="J267" s="223"/>
      <c r="K267" s="223"/>
      <c r="L267" s="223"/>
      <c r="M267" s="223"/>
      <c r="N267" s="223"/>
      <c r="O267" s="223"/>
      <c r="P267" s="223"/>
      <c r="Q267" s="223"/>
      <c r="R267" s="223"/>
      <c r="S267" s="223"/>
      <c r="T267" s="223"/>
      <c r="U267" s="223"/>
      <c r="V267" s="223"/>
      <c r="W267" s="223"/>
      <c r="X267" s="223"/>
      <c r="Y267" s="223"/>
      <c r="Z267" s="223"/>
      <c r="AA267" s="223"/>
      <c r="AB267" s="223"/>
      <c r="AC267" s="223"/>
      <c r="AD267" s="223"/>
      <c r="AE267" s="223"/>
      <c r="AF267" s="223"/>
      <c r="AG267" s="223"/>
      <c r="AH267" s="223"/>
      <c r="AI267" s="223"/>
      <c r="AJ267" s="223"/>
      <c r="AK267" s="223"/>
      <c r="AL267" s="223"/>
      <c r="AM267" s="223"/>
      <c r="AN267" s="223"/>
      <c r="AO267" s="223"/>
      <c r="AP267" s="223"/>
      <c r="AQ267" s="223"/>
      <c r="AR267" s="223"/>
      <c r="AS267" s="223"/>
      <c r="AT267" s="223"/>
      <c r="AU267" s="223"/>
      <c r="AV267" s="223"/>
      <c r="AW267" s="223"/>
      <c r="AX267" s="223"/>
      <c r="AY267" s="223"/>
      <c r="AZ267" s="223"/>
      <c r="BA267" s="223"/>
      <c r="BB267" s="223"/>
      <c r="BC267" s="223"/>
      <c r="BD267" s="223"/>
      <c r="BE267" s="223"/>
      <c r="BF267" s="223"/>
      <c r="BG267" s="223"/>
      <c r="BH267" s="223"/>
      <c r="BI267" s="223"/>
    </row>
    <row r="268" spans="1:61" ht="7.4" customHeight="1" x14ac:dyDescent="0.5">
      <c r="A268" s="223"/>
      <c r="B268" s="223"/>
      <c r="C268" s="223"/>
      <c r="D268" s="223"/>
      <c r="E268" s="223"/>
      <c r="F268" s="223"/>
      <c r="G268" s="223"/>
      <c r="H268" s="223"/>
      <c r="I268" s="223"/>
      <c r="J268" s="223"/>
      <c r="K268" s="223"/>
      <c r="L268" s="223"/>
      <c r="M268" s="223"/>
      <c r="N268" s="223"/>
      <c r="O268" s="223"/>
      <c r="P268" s="223"/>
      <c r="Q268" s="223"/>
      <c r="R268" s="223"/>
      <c r="S268" s="223"/>
      <c r="T268" s="223"/>
      <c r="U268" s="223"/>
      <c r="V268" s="223"/>
      <c r="W268" s="223"/>
      <c r="X268" s="223"/>
      <c r="Y268" s="223"/>
      <c r="Z268" s="223"/>
      <c r="AA268" s="223"/>
      <c r="AB268" s="223"/>
      <c r="AC268" s="223"/>
      <c r="AD268" s="223"/>
      <c r="AE268" s="223"/>
      <c r="AF268" s="223"/>
      <c r="AG268" s="223"/>
      <c r="AH268" s="223"/>
      <c r="AI268" s="223"/>
      <c r="AJ268" s="223"/>
      <c r="AK268" s="223"/>
      <c r="AL268" s="223"/>
      <c r="AM268" s="223"/>
      <c r="AN268" s="223"/>
      <c r="AO268" s="223"/>
      <c r="AP268" s="223"/>
      <c r="AQ268" s="223"/>
      <c r="AR268" s="223"/>
      <c r="AS268" s="223"/>
      <c r="AT268" s="223"/>
      <c r="AU268" s="223"/>
      <c r="AV268" s="223"/>
      <c r="AW268" s="223"/>
      <c r="AX268" s="223"/>
      <c r="AY268" s="223"/>
      <c r="AZ268" s="223"/>
      <c r="BA268" s="223"/>
      <c r="BB268" s="223"/>
      <c r="BC268" s="223"/>
      <c r="BD268" s="223"/>
      <c r="BE268" s="223"/>
      <c r="BF268" s="223"/>
      <c r="BG268" s="223"/>
      <c r="BH268" s="223"/>
      <c r="BI268" s="223"/>
    </row>
    <row r="269" spans="1:61" ht="7.4" customHeight="1" x14ac:dyDescent="0.5">
      <c r="A269" s="223"/>
      <c r="B269" s="223"/>
      <c r="C269" s="223"/>
      <c r="D269" s="223"/>
      <c r="E269" s="223"/>
      <c r="F269" s="223"/>
      <c r="G269" s="223"/>
      <c r="H269" s="223"/>
      <c r="I269" s="223"/>
      <c r="J269" s="223"/>
      <c r="K269" s="223"/>
      <c r="L269" s="223"/>
      <c r="M269" s="223"/>
      <c r="N269" s="223"/>
      <c r="O269" s="223"/>
      <c r="P269" s="223"/>
      <c r="Q269" s="223"/>
      <c r="R269" s="223"/>
      <c r="S269" s="223"/>
      <c r="T269" s="223"/>
      <c r="U269" s="223"/>
      <c r="V269" s="223"/>
      <c r="W269" s="223"/>
      <c r="X269" s="223"/>
      <c r="Y269" s="223"/>
      <c r="Z269" s="223"/>
      <c r="AA269" s="223"/>
      <c r="AB269" s="223"/>
      <c r="AC269" s="223"/>
      <c r="AD269" s="223"/>
      <c r="AE269" s="223"/>
      <c r="AF269" s="223"/>
      <c r="AG269" s="223"/>
      <c r="AH269" s="223"/>
      <c r="AI269" s="223"/>
      <c r="AJ269" s="223"/>
      <c r="AK269" s="223"/>
      <c r="AL269" s="223"/>
      <c r="AM269" s="223"/>
      <c r="AN269" s="223"/>
      <c r="AO269" s="223"/>
      <c r="AP269" s="223"/>
      <c r="AQ269" s="223"/>
      <c r="AR269" s="223"/>
      <c r="AS269" s="223"/>
      <c r="AT269" s="223"/>
      <c r="AU269" s="223"/>
      <c r="AV269" s="223"/>
      <c r="AW269" s="223"/>
      <c r="AX269" s="223"/>
      <c r="AY269" s="223"/>
      <c r="AZ269" s="223"/>
      <c r="BA269" s="223"/>
      <c r="BB269" s="223"/>
      <c r="BC269" s="223"/>
      <c r="BD269" s="223"/>
      <c r="BE269" s="223"/>
      <c r="BF269" s="223"/>
      <c r="BG269" s="223"/>
      <c r="BH269" s="223"/>
      <c r="BI269" s="223"/>
    </row>
    <row r="270" spans="1:61" ht="7.4" customHeight="1" x14ac:dyDescent="0.5">
      <c r="A270" s="223"/>
      <c r="B270" s="223"/>
      <c r="C270" s="223"/>
      <c r="D270" s="223"/>
      <c r="E270" s="223"/>
      <c r="F270" s="223"/>
      <c r="G270" s="223"/>
      <c r="H270" s="223"/>
      <c r="I270" s="223"/>
      <c r="J270" s="223"/>
      <c r="K270" s="223"/>
      <c r="L270" s="223"/>
      <c r="M270" s="223"/>
      <c r="N270" s="223"/>
      <c r="O270" s="223"/>
      <c r="P270" s="223"/>
      <c r="Q270" s="223"/>
      <c r="R270" s="223"/>
      <c r="S270" s="223"/>
      <c r="T270" s="223"/>
      <c r="U270" s="223"/>
      <c r="V270" s="223"/>
      <c r="W270" s="223"/>
      <c r="X270" s="223"/>
      <c r="Y270" s="223"/>
      <c r="Z270" s="223"/>
      <c r="AA270" s="223"/>
      <c r="AB270" s="223"/>
      <c r="AC270" s="223"/>
      <c r="AD270" s="223"/>
      <c r="AE270" s="223"/>
      <c r="AF270" s="223"/>
      <c r="AG270" s="223"/>
      <c r="AH270" s="223"/>
      <c r="AI270" s="223"/>
      <c r="AJ270" s="223"/>
      <c r="AK270" s="223"/>
      <c r="AL270" s="223"/>
      <c r="AM270" s="223"/>
      <c r="AN270" s="223"/>
      <c r="AO270" s="223"/>
      <c r="AP270" s="223"/>
      <c r="AQ270" s="223"/>
      <c r="AR270" s="223"/>
      <c r="AS270" s="223"/>
      <c r="AT270" s="223"/>
      <c r="AU270" s="223"/>
      <c r="AV270" s="223"/>
      <c r="AW270" s="223"/>
      <c r="AX270" s="223"/>
      <c r="AY270" s="223"/>
      <c r="AZ270" s="223"/>
      <c r="BA270" s="223"/>
      <c r="BB270" s="223"/>
      <c r="BC270" s="223"/>
      <c r="BD270" s="223"/>
      <c r="BE270" s="223"/>
      <c r="BF270" s="223"/>
      <c r="BG270" s="223"/>
      <c r="BH270" s="223"/>
      <c r="BI270" s="223"/>
    </row>
    <row r="271" spans="1:61" ht="7.4" customHeight="1" x14ac:dyDescent="0.5">
      <c r="A271" s="223"/>
      <c r="B271" s="223"/>
      <c r="C271" s="223"/>
      <c r="D271" s="223"/>
      <c r="E271" s="223"/>
      <c r="F271" s="223"/>
      <c r="G271" s="223"/>
      <c r="H271" s="223"/>
      <c r="I271" s="223"/>
      <c r="J271" s="223"/>
      <c r="K271" s="223"/>
      <c r="L271" s="223"/>
      <c r="M271" s="223"/>
      <c r="N271" s="223"/>
      <c r="O271" s="223"/>
      <c r="P271" s="223"/>
      <c r="Q271" s="223"/>
      <c r="R271" s="223"/>
      <c r="S271" s="223"/>
      <c r="T271" s="223"/>
      <c r="U271" s="223"/>
      <c r="V271" s="223"/>
      <c r="W271" s="223"/>
      <c r="X271" s="223"/>
      <c r="Y271" s="223"/>
      <c r="Z271" s="223"/>
      <c r="AA271" s="223"/>
      <c r="AB271" s="223"/>
      <c r="AC271" s="223"/>
      <c r="AD271" s="223"/>
      <c r="AE271" s="223"/>
      <c r="AF271" s="223"/>
      <c r="AG271" s="223"/>
      <c r="AH271" s="223"/>
      <c r="AI271" s="223"/>
      <c r="AJ271" s="223"/>
      <c r="AK271" s="223"/>
      <c r="AL271" s="223"/>
      <c r="AM271" s="223"/>
      <c r="AN271" s="223"/>
      <c r="AO271" s="223"/>
      <c r="AP271" s="223"/>
      <c r="AQ271" s="223"/>
      <c r="AR271" s="223"/>
      <c r="AS271" s="223"/>
      <c r="AT271" s="223"/>
      <c r="AU271" s="223"/>
      <c r="AV271" s="223"/>
      <c r="AW271" s="223"/>
      <c r="AX271" s="223"/>
      <c r="AY271" s="223"/>
      <c r="AZ271" s="223"/>
      <c r="BA271" s="223"/>
      <c r="BB271" s="223"/>
      <c r="BC271" s="223"/>
      <c r="BD271" s="223"/>
      <c r="BE271" s="223"/>
      <c r="BF271" s="223"/>
      <c r="BG271" s="223"/>
      <c r="BH271" s="223"/>
      <c r="BI271" s="223"/>
    </row>
    <row r="272" spans="1:61" ht="7.4" customHeight="1" x14ac:dyDescent="0.5">
      <c r="A272" s="223"/>
      <c r="B272" s="223"/>
      <c r="C272" s="223"/>
      <c r="D272" s="223"/>
      <c r="E272" s="223"/>
      <c r="F272" s="223"/>
      <c r="G272" s="223"/>
      <c r="H272" s="223"/>
      <c r="I272" s="223"/>
      <c r="J272" s="223"/>
      <c r="K272" s="223"/>
      <c r="L272" s="223"/>
      <c r="M272" s="223"/>
      <c r="N272" s="223"/>
      <c r="O272" s="223"/>
      <c r="P272" s="223"/>
      <c r="Q272" s="223"/>
      <c r="R272" s="223"/>
      <c r="S272" s="223"/>
      <c r="T272" s="223"/>
      <c r="U272" s="223"/>
      <c r="V272" s="223"/>
      <c r="W272" s="223"/>
      <c r="X272" s="223"/>
      <c r="Y272" s="223"/>
      <c r="Z272" s="223"/>
      <c r="AA272" s="223"/>
      <c r="AB272" s="223"/>
      <c r="AC272" s="223"/>
      <c r="AD272" s="223"/>
      <c r="AE272" s="223"/>
      <c r="AF272" s="223"/>
      <c r="AG272" s="223"/>
      <c r="AH272" s="223"/>
      <c r="AI272" s="223"/>
      <c r="AJ272" s="223"/>
      <c r="AK272" s="223"/>
      <c r="AL272" s="223"/>
      <c r="AM272" s="223"/>
      <c r="AN272" s="223"/>
      <c r="AO272" s="223"/>
      <c r="AP272" s="223"/>
      <c r="AQ272" s="223"/>
      <c r="AR272" s="223"/>
      <c r="AS272" s="223"/>
      <c r="AT272" s="223"/>
      <c r="AU272" s="223"/>
      <c r="AV272" s="223"/>
      <c r="AW272" s="223"/>
      <c r="AX272" s="223"/>
      <c r="AY272" s="223"/>
      <c r="AZ272" s="223"/>
      <c r="BA272" s="223"/>
      <c r="BB272" s="223"/>
      <c r="BC272" s="223"/>
      <c r="BD272" s="223"/>
      <c r="BE272" s="223"/>
      <c r="BF272" s="223"/>
      <c r="BG272" s="223"/>
      <c r="BH272" s="223"/>
      <c r="BI272" s="223"/>
    </row>
    <row r="273" spans="1:61" ht="7.4" customHeight="1" x14ac:dyDescent="0.5">
      <c r="A273" s="223"/>
      <c r="B273" s="223"/>
      <c r="C273" s="223"/>
      <c r="D273" s="223"/>
      <c r="E273" s="223"/>
      <c r="F273" s="223"/>
      <c r="G273" s="223"/>
      <c r="H273" s="223"/>
      <c r="I273" s="223"/>
      <c r="J273" s="223"/>
      <c r="K273" s="223"/>
      <c r="L273" s="223"/>
      <c r="M273" s="223"/>
      <c r="N273" s="223"/>
      <c r="O273" s="223"/>
      <c r="P273" s="223"/>
      <c r="Q273" s="223"/>
      <c r="R273" s="223"/>
      <c r="S273" s="223"/>
      <c r="T273" s="223"/>
      <c r="U273" s="223"/>
      <c r="V273" s="223"/>
      <c r="W273" s="223"/>
      <c r="X273" s="223"/>
      <c r="Y273" s="223"/>
      <c r="Z273" s="223"/>
      <c r="AA273" s="223"/>
      <c r="AB273" s="223"/>
      <c r="AC273" s="223"/>
      <c r="AD273" s="223"/>
      <c r="AE273" s="223"/>
      <c r="AF273" s="223"/>
      <c r="AG273" s="223"/>
      <c r="AH273" s="223"/>
      <c r="AI273" s="223"/>
      <c r="AJ273" s="223"/>
      <c r="AK273" s="223"/>
      <c r="AL273" s="223"/>
      <c r="AM273" s="223"/>
      <c r="AN273" s="223"/>
      <c r="AO273" s="223"/>
      <c r="AP273" s="223"/>
      <c r="AQ273" s="223"/>
      <c r="AR273" s="223"/>
      <c r="AS273" s="223"/>
      <c r="AT273" s="223"/>
      <c r="AU273" s="223"/>
      <c r="AV273" s="223"/>
      <c r="AW273" s="223"/>
      <c r="AX273" s="223"/>
      <c r="AY273" s="223"/>
      <c r="AZ273" s="223"/>
      <c r="BA273" s="223"/>
      <c r="BB273" s="223"/>
      <c r="BC273" s="223"/>
      <c r="BD273" s="223"/>
      <c r="BE273" s="223"/>
      <c r="BF273" s="223"/>
      <c r="BG273" s="223"/>
      <c r="BH273" s="223"/>
      <c r="BI273" s="223"/>
    </row>
    <row r="274" spans="1:61" ht="7.4" customHeight="1" x14ac:dyDescent="0.5">
      <c r="A274" s="223"/>
      <c r="B274" s="223"/>
      <c r="C274" s="223"/>
      <c r="D274" s="223"/>
      <c r="E274" s="223"/>
      <c r="F274" s="223"/>
      <c r="G274" s="223"/>
      <c r="H274" s="223"/>
      <c r="I274" s="223"/>
      <c r="J274" s="223"/>
      <c r="K274" s="223"/>
      <c r="L274" s="223"/>
      <c r="M274" s="223"/>
      <c r="N274" s="223"/>
      <c r="O274" s="223"/>
      <c r="P274" s="223"/>
      <c r="Q274" s="223"/>
      <c r="R274" s="223"/>
      <c r="S274" s="223"/>
      <c r="T274" s="223"/>
      <c r="U274" s="223"/>
      <c r="V274" s="223"/>
      <c r="W274" s="223"/>
      <c r="X274" s="223"/>
      <c r="Y274" s="223"/>
      <c r="Z274" s="223"/>
      <c r="AA274" s="223"/>
      <c r="AB274" s="223"/>
      <c r="AC274" s="223"/>
      <c r="AD274" s="223"/>
      <c r="AE274" s="223"/>
      <c r="AF274" s="223"/>
      <c r="AG274" s="223"/>
      <c r="AH274" s="223"/>
      <c r="AI274" s="223"/>
      <c r="AJ274" s="223"/>
      <c r="AK274" s="223"/>
      <c r="AL274" s="223"/>
      <c r="AM274" s="223"/>
      <c r="AN274" s="223"/>
      <c r="AO274" s="223"/>
      <c r="AP274" s="223"/>
      <c r="AQ274" s="223"/>
      <c r="AR274" s="223"/>
      <c r="AS274" s="223"/>
      <c r="AT274" s="223"/>
      <c r="AU274" s="223"/>
      <c r="AV274" s="223"/>
      <c r="AW274" s="223"/>
      <c r="AX274" s="223"/>
      <c r="AY274" s="223"/>
      <c r="AZ274" s="223"/>
      <c r="BA274" s="223"/>
      <c r="BB274" s="223"/>
      <c r="BC274" s="223"/>
      <c r="BD274" s="223"/>
      <c r="BE274" s="223"/>
      <c r="BF274" s="223"/>
      <c r="BG274" s="223"/>
      <c r="BH274" s="223"/>
      <c r="BI274" s="223"/>
    </row>
    <row r="275" spans="1:61" ht="7.4" customHeight="1" x14ac:dyDescent="0.5">
      <c r="A275" s="223"/>
      <c r="B275" s="223"/>
      <c r="C275" s="223"/>
      <c r="D275" s="223"/>
      <c r="E275" s="223"/>
      <c r="F275" s="223"/>
      <c r="G275" s="223"/>
      <c r="H275" s="223"/>
      <c r="I275" s="223"/>
      <c r="J275" s="223"/>
      <c r="K275" s="223"/>
      <c r="L275" s="223"/>
      <c r="M275" s="223"/>
      <c r="N275" s="223"/>
      <c r="O275" s="223"/>
      <c r="P275" s="223"/>
      <c r="Q275" s="223"/>
      <c r="R275" s="223"/>
      <c r="S275" s="223"/>
      <c r="T275" s="223"/>
      <c r="U275" s="223"/>
      <c r="V275" s="223"/>
      <c r="W275" s="223"/>
      <c r="X275" s="223"/>
      <c r="Y275" s="223"/>
      <c r="Z275" s="223"/>
      <c r="AA275" s="223"/>
      <c r="AB275" s="223"/>
      <c r="AC275" s="223"/>
      <c r="AD275" s="223"/>
      <c r="AE275" s="223"/>
      <c r="AF275" s="223"/>
      <c r="AG275" s="223"/>
      <c r="AH275" s="223"/>
      <c r="AI275" s="223"/>
      <c r="AJ275" s="223"/>
      <c r="AK275" s="223"/>
      <c r="AL275" s="223"/>
      <c r="AM275" s="223"/>
      <c r="AN275" s="223"/>
      <c r="AO275" s="223"/>
      <c r="AP275" s="223"/>
      <c r="AQ275" s="223"/>
      <c r="AR275" s="223"/>
      <c r="AS275" s="223"/>
      <c r="AT275" s="223"/>
      <c r="AU275" s="223"/>
      <c r="AV275" s="223"/>
      <c r="AW275" s="223"/>
      <c r="AX275" s="223"/>
      <c r="AY275" s="223"/>
      <c r="AZ275" s="223"/>
      <c r="BA275" s="223"/>
      <c r="BB275" s="223"/>
      <c r="BC275" s="223"/>
      <c r="BD275" s="223"/>
      <c r="BE275" s="223"/>
      <c r="BF275" s="223"/>
      <c r="BG275" s="223"/>
      <c r="BH275" s="223"/>
      <c r="BI275" s="223"/>
    </row>
    <row r="276" spans="1:61" ht="7.4" customHeight="1" x14ac:dyDescent="0.5">
      <c r="A276" s="223"/>
      <c r="B276" s="223"/>
      <c r="C276" s="223"/>
      <c r="D276" s="223"/>
      <c r="E276" s="223"/>
      <c r="F276" s="223"/>
      <c r="G276" s="223"/>
      <c r="H276" s="223"/>
      <c r="I276" s="223"/>
      <c r="J276" s="223"/>
      <c r="K276" s="223"/>
      <c r="L276" s="223"/>
      <c r="M276" s="223"/>
      <c r="N276" s="223"/>
      <c r="O276" s="223"/>
      <c r="P276" s="223"/>
      <c r="Q276" s="223"/>
      <c r="R276" s="223"/>
      <c r="S276" s="223"/>
      <c r="T276" s="223"/>
      <c r="U276" s="223"/>
      <c r="V276" s="223"/>
      <c r="W276" s="223"/>
      <c r="X276" s="223"/>
      <c r="Y276" s="223"/>
      <c r="Z276" s="223"/>
      <c r="AA276" s="223"/>
      <c r="AB276" s="223"/>
      <c r="AC276" s="223"/>
      <c r="AD276" s="223"/>
      <c r="AE276" s="223"/>
      <c r="AF276" s="223"/>
      <c r="AG276" s="223"/>
      <c r="AH276" s="223"/>
      <c r="AI276" s="223"/>
      <c r="AJ276" s="223"/>
      <c r="AK276" s="223"/>
      <c r="AL276" s="223"/>
      <c r="AM276" s="223"/>
      <c r="AN276" s="223"/>
      <c r="AO276" s="223"/>
      <c r="AP276" s="223"/>
      <c r="AQ276" s="223"/>
      <c r="AR276" s="223"/>
      <c r="AS276" s="223"/>
      <c r="AT276" s="223"/>
      <c r="AU276" s="223"/>
      <c r="AV276" s="223"/>
      <c r="AW276" s="223"/>
      <c r="AX276" s="223"/>
      <c r="AY276" s="223"/>
      <c r="AZ276" s="223"/>
      <c r="BA276" s="223"/>
      <c r="BB276" s="223"/>
      <c r="BC276" s="223"/>
      <c r="BD276" s="223"/>
      <c r="BE276" s="223"/>
      <c r="BF276" s="223"/>
      <c r="BG276" s="223"/>
      <c r="BH276" s="223"/>
      <c r="BI276" s="223"/>
    </row>
    <row r="279" spans="1:61" ht="7.4" customHeight="1" x14ac:dyDescent="0.5">
      <c r="BB279" s="184"/>
      <c r="BC279" s="184"/>
      <c r="BD279" s="184"/>
      <c r="BE279" s="184"/>
      <c r="BF279" s="184"/>
      <c r="BG279" s="184"/>
      <c r="BH279" s="184"/>
      <c r="BI279" s="184"/>
    </row>
    <row r="280" spans="1:61" ht="7.4" customHeight="1" x14ac:dyDescent="0.5">
      <c r="V280" s="25"/>
      <c r="W280" s="25"/>
      <c r="X280" s="25"/>
      <c r="Y280" s="25"/>
      <c r="Z280" s="25"/>
      <c r="AA280" s="25"/>
      <c r="AB280" s="25"/>
      <c r="AC280" s="25"/>
      <c r="AD280" s="25"/>
      <c r="AE280" s="25"/>
      <c r="AF280" s="25"/>
      <c r="AG280" s="25"/>
      <c r="AH280" s="25"/>
      <c r="AI280" s="25"/>
      <c r="AJ280" s="25"/>
      <c r="AK280" s="25"/>
      <c r="AL280" s="25"/>
      <c r="AM280" s="25"/>
      <c r="AN280" s="25"/>
      <c r="AO280" s="25"/>
      <c r="AP280" s="25"/>
      <c r="AQ280" s="25"/>
      <c r="AR280" s="25"/>
      <c r="BB280" s="184"/>
      <c r="BC280" s="184"/>
      <c r="BD280" s="184"/>
      <c r="BE280" s="184"/>
      <c r="BF280" s="184"/>
      <c r="BG280" s="184"/>
      <c r="BH280" s="184"/>
      <c r="BI280" s="184"/>
    </row>
  </sheetData>
  <sheetProtection algorithmName="SHA-512" hashValue="47lAinZD760J/R4uzubjj7wWvkOKCeBtNuRbAvdjU0EAoqt6fBbfeGYcbe/JKamUJPHrsX14MrsyY8eElBXUfA==" saltValue="h+g7lQanVfUV6ENtUOp1QA==" spinCount="100000" sheet="1" objects="1" scenarios="1" selectLockedCells="1"/>
  <mergeCells count="992">
    <mergeCell ref="C195:D196"/>
    <mergeCell ref="G195:R196"/>
    <mergeCell ref="T195:AJ196"/>
    <mergeCell ref="AL195:AO196"/>
    <mergeCell ref="AR195:BG196"/>
    <mergeCell ref="BK195:BM196"/>
    <mergeCell ref="C1:AI9"/>
    <mergeCell ref="AN1:BH2"/>
    <mergeCell ref="AN3:BH4"/>
    <mergeCell ref="AN5:BH6"/>
    <mergeCell ref="AN7:BH8"/>
    <mergeCell ref="A10:AL15"/>
    <mergeCell ref="AN11:AV12"/>
    <mergeCell ref="AX11:BH12"/>
    <mergeCell ref="AN13:AV14"/>
    <mergeCell ref="AX13:BH14"/>
    <mergeCell ref="T21:AP22"/>
    <mergeCell ref="B25:AC27"/>
    <mergeCell ref="AE25:BH27"/>
    <mergeCell ref="C28:R30"/>
    <mergeCell ref="T28:AC30"/>
    <mergeCell ref="AF28:AM30"/>
    <mergeCell ref="AO28:BH30"/>
    <mergeCell ref="C17:F18"/>
    <mergeCell ref="G17:X18"/>
    <mergeCell ref="Y17:AC18"/>
    <mergeCell ref="AD17:AS18"/>
    <mergeCell ref="AT17:AW18"/>
    <mergeCell ref="AX17:BH18"/>
    <mergeCell ref="BK30:BL30"/>
    <mergeCell ref="BM30:BO30"/>
    <mergeCell ref="BP30:BR30"/>
    <mergeCell ref="C31:R33"/>
    <mergeCell ref="T31:AC33"/>
    <mergeCell ref="AF31:AM33"/>
    <mergeCell ref="AO31:AP33"/>
    <mergeCell ref="AQ31:AW33"/>
    <mergeCell ref="AX31:AZ33"/>
    <mergeCell ref="BA31:BB33"/>
    <mergeCell ref="BC31:BH33"/>
    <mergeCell ref="BK31:BL31"/>
    <mergeCell ref="BM31:BO31"/>
    <mergeCell ref="BP31:BR31"/>
    <mergeCell ref="BK32:BL32"/>
    <mergeCell ref="BM32:BO32"/>
    <mergeCell ref="BP32:BR32"/>
    <mergeCell ref="BK33:BL33"/>
    <mergeCell ref="BM33:BO33"/>
    <mergeCell ref="BP33:BR33"/>
    <mergeCell ref="BP34:BR34"/>
    <mergeCell ref="AO35:AV36"/>
    <mergeCell ref="AW35:AW36"/>
    <mergeCell ref="AX35:AZ36"/>
    <mergeCell ref="BA35:BB36"/>
    <mergeCell ref="BK35:BL35"/>
    <mergeCell ref="AF34:AM37"/>
    <mergeCell ref="BC34:BH37"/>
    <mergeCell ref="BK34:BL34"/>
    <mergeCell ref="BM34:BO34"/>
    <mergeCell ref="C48:BG50"/>
    <mergeCell ref="M51:O52"/>
    <mergeCell ref="P51:R52"/>
    <mergeCell ref="S51:U52"/>
    <mergeCell ref="V51:X52"/>
    <mergeCell ref="Y51:AA52"/>
    <mergeCell ref="AB51:AD52"/>
    <mergeCell ref="AE51:AG52"/>
    <mergeCell ref="AH51:AJ52"/>
    <mergeCell ref="AK51:AM52"/>
    <mergeCell ref="BF51:BH52"/>
    <mergeCell ref="AN51:AP52"/>
    <mergeCell ref="AQ51:AS52"/>
    <mergeCell ref="AT51:AV52"/>
    <mergeCell ref="AW51:AY52"/>
    <mergeCell ref="AZ51:BB52"/>
    <mergeCell ref="BC51:BE52"/>
    <mergeCell ref="B39:BH41"/>
    <mergeCell ref="C43:G45"/>
    <mergeCell ref="J43:N45"/>
    <mergeCell ref="Q43:T45"/>
    <mergeCell ref="W43:AS44"/>
    <mergeCell ref="AV43:AZ45"/>
    <mergeCell ref="BC43:BG45"/>
    <mergeCell ref="W45:Z45"/>
    <mergeCell ref="AE45:AH45"/>
    <mergeCell ref="AM45:AP45"/>
    <mergeCell ref="C54:L55"/>
    <mergeCell ref="M54:O55"/>
    <mergeCell ref="P54:R55"/>
    <mergeCell ref="S54:U55"/>
    <mergeCell ref="V54:X55"/>
    <mergeCell ref="AH58:AJ59"/>
    <mergeCell ref="AK58:AM59"/>
    <mergeCell ref="AN58:AP59"/>
    <mergeCell ref="AQ58:AS59"/>
    <mergeCell ref="AB58:AD59"/>
    <mergeCell ref="AE58:AG59"/>
    <mergeCell ref="C58:L59"/>
    <mergeCell ref="M58:O59"/>
    <mergeCell ref="P58:R59"/>
    <mergeCell ref="S58:U59"/>
    <mergeCell ref="V58:X59"/>
    <mergeCell ref="Y58:AA59"/>
    <mergeCell ref="BF54:BH55"/>
    <mergeCell ref="P66:R67"/>
    <mergeCell ref="S66:U67"/>
    <mergeCell ref="V66:X67"/>
    <mergeCell ref="AB62:AD63"/>
    <mergeCell ref="AE62:AG63"/>
    <mergeCell ref="AH62:AJ63"/>
    <mergeCell ref="AK62:AM63"/>
    <mergeCell ref="AQ54:AS55"/>
    <mergeCell ref="AT54:AV55"/>
    <mergeCell ref="AK54:AM55"/>
    <mergeCell ref="Y54:AA55"/>
    <mergeCell ref="AB54:AD55"/>
    <mergeCell ref="AE54:AG55"/>
    <mergeCell ref="AH54:AJ55"/>
    <mergeCell ref="AW54:AY55"/>
    <mergeCell ref="AZ54:BB55"/>
    <mergeCell ref="AZ58:BB59"/>
    <mergeCell ref="BC58:BE59"/>
    <mergeCell ref="BC54:BE55"/>
    <mergeCell ref="AN54:AP55"/>
    <mergeCell ref="BF58:BH59"/>
    <mergeCell ref="AT58:AV59"/>
    <mergeCell ref="AW58:AY59"/>
    <mergeCell ref="BK61:BQ64"/>
    <mergeCell ref="C62:L63"/>
    <mergeCell ref="M62:O63"/>
    <mergeCell ref="P62:R63"/>
    <mergeCell ref="S62:U63"/>
    <mergeCell ref="V62:X63"/>
    <mergeCell ref="Y62:AA63"/>
    <mergeCell ref="BC62:BE63"/>
    <mergeCell ref="BF62:BH63"/>
    <mergeCell ref="AT62:AV63"/>
    <mergeCell ref="AW62:AY63"/>
    <mergeCell ref="AZ62:BB63"/>
    <mergeCell ref="AN62:AP63"/>
    <mergeCell ref="AQ62:AS63"/>
    <mergeCell ref="BL66:BN67"/>
    <mergeCell ref="BO66:BP67"/>
    <mergeCell ref="B70:U72"/>
    <mergeCell ref="W70:AP72"/>
    <mergeCell ref="AR70:BH72"/>
    <mergeCell ref="X73:AH75"/>
    <mergeCell ref="BL73:BU75"/>
    <mergeCell ref="C74:M75"/>
    <mergeCell ref="N74:R75"/>
    <mergeCell ref="S74:U75"/>
    <mergeCell ref="AQ66:AS67"/>
    <mergeCell ref="AT66:AV67"/>
    <mergeCell ref="AW66:AY67"/>
    <mergeCell ref="AZ66:BB67"/>
    <mergeCell ref="BC66:BE67"/>
    <mergeCell ref="BF66:BH67"/>
    <mergeCell ref="Y66:AA67"/>
    <mergeCell ref="AB66:AD67"/>
    <mergeCell ref="AE66:AG67"/>
    <mergeCell ref="AH66:AJ67"/>
    <mergeCell ref="AK66:AM67"/>
    <mergeCell ref="AN66:AP67"/>
    <mergeCell ref="C65:L67"/>
    <mergeCell ref="M66:O67"/>
    <mergeCell ref="N78:R79"/>
    <mergeCell ref="S78:U79"/>
    <mergeCell ref="AI78:AP79"/>
    <mergeCell ref="BK79:BM80"/>
    <mergeCell ref="AI74:AP75"/>
    <mergeCell ref="AS74:BD75"/>
    <mergeCell ref="BF74:BH77"/>
    <mergeCell ref="BW74:CA75"/>
    <mergeCell ref="CB74:CD75"/>
    <mergeCell ref="AS76:BD77"/>
    <mergeCell ref="CX79:CZ80"/>
    <mergeCell ref="DA79:DC80"/>
    <mergeCell ref="DD79:DF80"/>
    <mergeCell ref="AS80:BD81"/>
    <mergeCell ref="BF80:BH81"/>
    <mergeCell ref="C81:L83"/>
    <mergeCell ref="BK81:BM82"/>
    <mergeCell ref="BN81:BP82"/>
    <mergeCell ref="BQ81:BS82"/>
    <mergeCell ref="BT81:BV82"/>
    <mergeCell ref="CF79:CH80"/>
    <mergeCell ref="CI79:CK80"/>
    <mergeCell ref="CL79:CN80"/>
    <mergeCell ref="CO79:CQ80"/>
    <mergeCell ref="CR79:CT80"/>
    <mergeCell ref="CU79:CW80"/>
    <mergeCell ref="BN79:BP80"/>
    <mergeCell ref="BQ79:BS80"/>
    <mergeCell ref="BT79:BV80"/>
    <mergeCell ref="BW79:BY80"/>
    <mergeCell ref="BZ79:CB80"/>
    <mergeCell ref="CC79:CE80"/>
    <mergeCell ref="C77:L79"/>
    <mergeCell ref="X77:AH79"/>
    <mergeCell ref="DH81:DS82"/>
    <mergeCell ref="DT81:DU82"/>
    <mergeCell ref="N82:R83"/>
    <mergeCell ref="S82:U83"/>
    <mergeCell ref="X82:AH83"/>
    <mergeCell ref="AI82:AP83"/>
    <mergeCell ref="BK83:BM84"/>
    <mergeCell ref="BN83:BP84"/>
    <mergeCell ref="BQ83:BS84"/>
    <mergeCell ref="BT83:BV84"/>
    <mergeCell ref="CO81:CQ82"/>
    <mergeCell ref="CR81:CT82"/>
    <mergeCell ref="CU81:CW82"/>
    <mergeCell ref="CX81:CZ82"/>
    <mergeCell ref="DA81:DC82"/>
    <mergeCell ref="DD81:DF82"/>
    <mergeCell ref="BW81:BY82"/>
    <mergeCell ref="BZ81:CB82"/>
    <mergeCell ref="CC81:CE82"/>
    <mergeCell ref="CF81:CH82"/>
    <mergeCell ref="CI81:CK82"/>
    <mergeCell ref="CL81:CN82"/>
    <mergeCell ref="DH83:DI84"/>
    <mergeCell ref="DJ83:DS84"/>
    <mergeCell ref="AS84:BD85"/>
    <mergeCell ref="BF84:BH85"/>
    <mergeCell ref="BK85:BM86"/>
    <mergeCell ref="BN85:BP86"/>
    <mergeCell ref="BQ85:BS86"/>
    <mergeCell ref="BT85:BV86"/>
    <mergeCell ref="BW85:BY86"/>
    <mergeCell ref="CO83:CQ84"/>
    <mergeCell ref="CR83:CT84"/>
    <mergeCell ref="CU83:CW84"/>
    <mergeCell ref="CX83:CZ84"/>
    <mergeCell ref="DA83:DC84"/>
    <mergeCell ref="DD83:DF84"/>
    <mergeCell ref="BW83:BY84"/>
    <mergeCell ref="BZ83:CB84"/>
    <mergeCell ref="CC83:CE84"/>
    <mergeCell ref="CF83:CH84"/>
    <mergeCell ref="CI83:CK84"/>
    <mergeCell ref="CL83:CN84"/>
    <mergeCell ref="DJ85:DS86"/>
    <mergeCell ref="X86:AH87"/>
    <mergeCell ref="AI86:AP87"/>
    <mergeCell ref="BK87:BM88"/>
    <mergeCell ref="BN87:BP88"/>
    <mergeCell ref="BQ87:BS88"/>
    <mergeCell ref="BT87:BV88"/>
    <mergeCell ref="BW87:BY88"/>
    <mergeCell ref="BZ87:CB88"/>
    <mergeCell ref="CR85:CT86"/>
    <mergeCell ref="CU85:CW86"/>
    <mergeCell ref="CX85:CZ86"/>
    <mergeCell ref="DA85:DC86"/>
    <mergeCell ref="DD85:DF86"/>
    <mergeCell ref="DH85:DI86"/>
    <mergeCell ref="BZ85:CB86"/>
    <mergeCell ref="CC85:CE86"/>
    <mergeCell ref="CF85:CH86"/>
    <mergeCell ref="CI85:CK86"/>
    <mergeCell ref="CL85:CN86"/>
    <mergeCell ref="CO85:CQ86"/>
    <mergeCell ref="CU87:CW88"/>
    <mergeCell ref="CX87:CZ88"/>
    <mergeCell ref="DA87:DC88"/>
    <mergeCell ref="DD87:DF88"/>
    <mergeCell ref="DH87:DS88"/>
    <mergeCell ref="DT87:DU88"/>
    <mergeCell ref="CC87:CE88"/>
    <mergeCell ref="CF87:CH88"/>
    <mergeCell ref="CI87:CK88"/>
    <mergeCell ref="CL87:CN88"/>
    <mergeCell ref="CO87:CQ88"/>
    <mergeCell ref="CR87:CT88"/>
    <mergeCell ref="CU89:CW90"/>
    <mergeCell ref="CX89:CZ90"/>
    <mergeCell ref="DA89:DC90"/>
    <mergeCell ref="DD89:DF90"/>
    <mergeCell ref="DH89:DS90"/>
    <mergeCell ref="A91:BI92"/>
    <mergeCell ref="BK91:BM92"/>
    <mergeCell ref="BN91:BP92"/>
    <mergeCell ref="BQ91:BS92"/>
    <mergeCell ref="BT91:BV92"/>
    <mergeCell ref="CC89:CE90"/>
    <mergeCell ref="CF89:CH90"/>
    <mergeCell ref="CI89:CK90"/>
    <mergeCell ref="CL89:CN90"/>
    <mergeCell ref="CO89:CQ90"/>
    <mergeCell ref="CR89:CT90"/>
    <mergeCell ref="BK89:BM90"/>
    <mergeCell ref="BN89:BP90"/>
    <mergeCell ref="BQ89:BS90"/>
    <mergeCell ref="BT89:BV90"/>
    <mergeCell ref="BW89:BY90"/>
    <mergeCell ref="BZ89:CB90"/>
    <mergeCell ref="DH91:DS92"/>
    <mergeCell ref="CO91:CQ92"/>
    <mergeCell ref="CR91:CT92"/>
    <mergeCell ref="CU91:CW92"/>
    <mergeCell ref="CX91:CZ92"/>
    <mergeCell ref="DA91:DC92"/>
    <mergeCell ref="DD91:DF92"/>
    <mergeCell ref="BW91:BY92"/>
    <mergeCell ref="BZ91:CB92"/>
    <mergeCell ref="CC91:CE92"/>
    <mergeCell ref="CF91:CH92"/>
    <mergeCell ref="CI91:CK92"/>
    <mergeCell ref="CL91:CN92"/>
    <mergeCell ref="DD93:DF94"/>
    <mergeCell ref="DH93:DV94"/>
    <mergeCell ref="BK105:BP106"/>
    <mergeCell ref="BQ105:BW106"/>
    <mergeCell ref="BX105:CC106"/>
    <mergeCell ref="BB107:BI108"/>
    <mergeCell ref="BK107:BP108"/>
    <mergeCell ref="BQ107:BW108"/>
    <mergeCell ref="BX107:CC108"/>
    <mergeCell ref="CL93:CN94"/>
    <mergeCell ref="CO93:CQ94"/>
    <mergeCell ref="CR93:CT94"/>
    <mergeCell ref="CU93:CW94"/>
    <mergeCell ref="CX93:CZ94"/>
    <mergeCell ref="DA93:DC94"/>
    <mergeCell ref="BK93:BM94"/>
    <mergeCell ref="BN93:BP94"/>
    <mergeCell ref="BQ93:BS94"/>
    <mergeCell ref="BT93:BV94"/>
    <mergeCell ref="BW93:BY94"/>
    <mergeCell ref="BZ93:CB94"/>
    <mergeCell ref="CC93:CE94"/>
    <mergeCell ref="CF93:CH94"/>
    <mergeCell ref="CI93:CK94"/>
    <mergeCell ref="CO111:CT112"/>
    <mergeCell ref="CO113:CT113"/>
    <mergeCell ref="C114:E117"/>
    <mergeCell ref="G114:R117"/>
    <mergeCell ref="T114:AJ117"/>
    <mergeCell ref="AL114:AP117"/>
    <mergeCell ref="BK115:BM116"/>
    <mergeCell ref="BN115:BP116"/>
    <mergeCell ref="T110:AP111"/>
    <mergeCell ref="BK111:BP112"/>
    <mergeCell ref="BQ111:BV112"/>
    <mergeCell ref="BW111:CB112"/>
    <mergeCell ref="CC111:CH112"/>
    <mergeCell ref="CI111:CN112"/>
    <mergeCell ref="BK109:BP110"/>
    <mergeCell ref="BQ109:BV110"/>
    <mergeCell ref="BW109:CB110"/>
    <mergeCell ref="CC109:CH110"/>
    <mergeCell ref="CI109:CN110"/>
    <mergeCell ref="CO109:CT110"/>
    <mergeCell ref="DA115:DC116"/>
    <mergeCell ref="DD115:DF116"/>
    <mergeCell ref="DH115:DK116"/>
    <mergeCell ref="DL115:DT116"/>
    <mergeCell ref="BK118:BM118"/>
    <mergeCell ref="BN118:BP118"/>
    <mergeCell ref="BQ118:BS118"/>
    <mergeCell ref="BT118:BV118"/>
    <mergeCell ref="BW118:BY118"/>
    <mergeCell ref="BZ118:CB118"/>
    <mergeCell ref="CI115:CK116"/>
    <mergeCell ref="CL115:CN116"/>
    <mergeCell ref="CO115:CQ116"/>
    <mergeCell ref="CR115:CT116"/>
    <mergeCell ref="CU115:CW116"/>
    <mergeCell ref="CX115:CZ116"/>
    <mergeCell ref="BQ115:BS116"/>
    <mergeCell ref="BT115:BV116"/>
    <mergeCell ref="BW115:BY116"/>
    <mergeCell ref="BZ115:CB116"/>
    <mergeCell ref="CC115:CE116"/>
    <mergeCell ref="CF115:CH116"/>
    <mergeCell ref="CU118:CW118"/>
    <mergeCell ref="CX118:CZ118"/>
    <mergeCell ref="DA118:DC118"/>
    <mergeCell ref="DD118:DF118"/>
    <mergeCell ref="C119:D120"/>
    <mergeCell ref="G119:R120"/>
    <mergeCell ref="T119:AC120"/>
    <mergeCell ref="AF119:AI120"/>
    <mergeCell ref="AL119:AO120"/>
    <mergeCell ref="CC118:CE118"/>
    <mergeCell ref="CF118:CH118"/>
    <mergeCell ref="CI118:CK118"/>
    <mergeCell ref="CL118:CN118"/>
    <mergeCell ref="CO118:CQ118"/>
    <mergeCell ref="CR118:CT118"/>
    <mergeCell ref="DD119:DF120"/>
    <mergeCell ref="DH119:DK120"/>
    <mergeCell ref="DL119:DS120"/>
    <mergeCell ref="C121:D121"/>
    <mergeCell ref="AL121:AO121"/>
    <mergeCell ref="BK121:BM121"/>
    <mergeCell ref="BN121:BP121"/>
    <mergeCell ref="BQ121:BS121"/>
    <mergeCell ref="CL119:CN120"/>
    <mergeCell ref="CO119:CQ120"/>
    <mergeCell ref="CR119:CT120"/>
    <mergeCell ref="CU119:CW120"/>
    <mergeCell ref="CX119:CZ120"/>
    <mergeCell ref="DA119:DC120"/>
    <mergeCell ref="BT119:BV120"/>
    <mergeCell ref="BW119:BY120"/>
    <mergeCell ref="BZ119:CB120"/>
    <mergeCell ref="CC119:CE120"/>
    <mergeCell ref="CF119:CH120"/>
    <mergeCell ref="CI119:CK120"/>
    <mergeCell ref="BK119:BM120"/>
    <mergeCell ref="BN119:BP120"/>
    <mergeCell ref="BQ119:BS120"/>
    <mergeCell ref="DD121:DF121"/>
    <mergeCell ref="DH121:DK121"/>
    <mergeCell ref="DL121:DS121"/>
    <mergeCell ref="AL122:AO122"/>
    <mergeCell ref="BK122:BM122"/>
    <mergeCell ref="BN122:BP122"/>
    <mergeCell ref="BQ122:BS122"/>
    <mergeCell ref="BT122:BV122"/>
    <mergeCell ref="CL121:CN121"/>
    <mergeCell ref="CO121:CQ121"/>
    <mergeCell ref="CR121:CT121"/>
    <mergeCell ref="CU121:CW121"/>
    <mergeCell ref="CX121:CZ121"/>
    <mergeCell ref="DA121:DC121"/>
    <mergeCell ref="BT121:BV121"/>
    <mergeCell ref="BW121:BY121"/>
    <mergeCell ref="BZ121:CB121"/>
    <mergeCell ref="CC121:CE121"/>
    <mergeCell ref="CF121:CH121"/>
    <mergeCell ref="CI121:CK121"/>
    <mergeCell ref="CR122:CT122"/>
    <mergeCell ref="CU122:CW122"/>
    <mergeCell ref="CX122:CZ122"/>
    <mergeCell ref="DA122:DC122"/>
    <mergeCell ref="DD122:DF122"/>
    <mergeCell ref="BW122:BY122"/>
    <mergeCell ref="DD123:DF124"/>
    <mergeCell ref="DH123:DK124"/>
    <mergeCell ref="DL123:DS124"/>
    <mergeCell ref="C125:D125"/>
    <mergeCell ref="AL125:AO125"/>
    <mergeCell ref="DH125:DK125"/>
    <mergeCell ref="DL125:DS125"/>
    <mergeCell ref="CL123:CN124"/>
    <mergeCell ref="CO123:CQ124"/>
    <mergeCell ref="CR123:CT124"/>
    <mergeCell ref="CU123:CW124"/>
    <mergeCell ref="CX123:CZ124"/>
    <mergeCell ref="DA123:DC124"/>
    <mergeCell ref="BT123:BV124"/>
    <mergeCell ref="BW123:BY124"/>
    <mergeCell ref="BZ123:CB124"/>
    <mergeCell ref="CC123:CE124"/>
    <mergeCell ref="CF123:CH124"/>
    <mergeCell ref="BK123:BM124"/>
    <mergeCell ref="BN123:BP124"/>
    <mergeCell ref="BQ123:BS124"/>
    <mergeCell ref="C123:D124"/>
    <mergeCell ref="G123:R124"/>
    <mergeCell ref="T123:AC124"/>
    <mergeCell ref="BQ127:BS128"/>
    <mergeCell ref="BT127:BV128"/>
    <mergeCell ref="BW127:BY128"/>
    <mergeCell ref="CO122:CQ122"/>
    <mergeCell ref="AL126:AO126"/>
    <mergeCell ref="C127:D128"/>
    <mergeCell ref="G127:R128"/>
    <mergeCell ref="T127:AJ128"/>
    <mergeCell ref="AL127:AO128"/>
    <mergeCell ref="BZ122:CB122"/>
    <mergeCell ref="CC122:CE122"/>
    <mergeCell ref="CF122:CH122"/>
    <mergeCell ref="CI122:CK122"/>
    <mergeCell ref="CL122:CN122"/>
    <mergeCell ref="AF123:AI124"/>
    <mergeCell ref="AL123:AO124"/>
    <mergeCell ref="CI123:CK124"/>
    <mergeCell ref="AL130:AO130"/>
    <mergeCell ref="C131:D132"/>
    <mergeCell ref="G131:R132"/>
    <mergeCell ref="T131:AJ132"/>
    <mergeCell ref="AL131:AO132"/>
    <mergeCell ref="DL127:DS128"/>
    <mergeCell ref="C129:D129"/>
    <mergeCell ref="AL129:AO129"/>
    <mergeCell ref="DH129:DK129"/>
    <mergeCell ref="DL129:DS129"/>
    <mergeCell ref="CR127:CT128"/>
    <mergeCell ref="CU127:CW128"/>
    <mergeCell ref="CX127:CZ128"/>
    <mergeCell ref="DA127:DC128"/>
    <mergeCell ref="DD127:DF128"/>
    <mergeCell ref="DH127:DK128"/>
    <mergeCell ref="BZ127:CB128"/>
    <mergeCell ref="CC127:CE128"/>
    <mergeCell ref="CF127:CH128"/>
    <mergeCell ref="CI127:CK128"/>
    <mergeCell ref="CL127:CN128"/>
    <mergeCell ref="CO127:CQ128"/>
    <mergeCell ref="BK127:BM128"/>
    <mergeCell ref="BN127:BP128"/>
    <mergeCell ref="DL131:DS132"/>
    <mergeCell ref="C133:D133"/>
    <mergeCell ref="AL133:AO133"/>
    <mergeCell ref="DH133:DK133"/>
    <mergeCell ref="DL133:DS133"/>
    <mergeCell ref="CR131:CT132"/>
    <mergeCell ref="CU131:CW132"/>
    <mergeCell ref="CX131:CZ132"/>
    <mergeCell ref="DA131:DC132"/>
    <mergeCell ref="DD131:DF132"/>
    <mergeCell ref="DH131:DK132"/>
    <mergeCell ref="BZ131:CB132"/>
    <mergeCell ref="CC131:CE132"/>
    <mergeCell ref="CF131:CH132"/>
    <mergeCell ref="CI131:CK132"/>
    <mergeCell ref="CL131:CN132"/>
    <mergeCell ref="CO131:CQ132"/>
    <mergeCell ref="BK131:BM132"/>
    <mergeCell ref="BN131:BP132"/>
    <mergeCell ref="BQ131:BS132"/>
    <mergeCell ref="BT131:BV132"/>
    <mergeCell ref="BW131:BY132"/>
    <mergeCell ref="CO135:CQ136"/>
    <mergeCell ref="BK135:BM136"/>
    <mergeCell ref="BN135:BP136"/>
    <mergeCell ref="BQ135:BS136"/>
    <mergeCell ref="BT135:BV136"/>
    <mergeCell ref="BW135:BY136"/>
    <mergeCell ref="AL134:AO134"/>
    <mergeCell ref="C135:D136"/>
    <mergeCell ref="G135:R136"/>
    <mergeCell ref="T135:AJ136"/>
    <mergeCell ref="AL135:AO136"/>
    <mergeCell ref="BQ139:BS140"/>
    <mergeCell ref="BT139:BV140"/>
    <mergeCell ref="BW139:BY140"/>
    <mergeCell ref="AL138:AO138"/>
    <mergeCell ref="C139:D140"/>
    <mergeCell ref="G139:R140"/>
    <mergeCell ref="T139:AJ140"/>
    <mergeCell ref="AL139:AO140"/>
    <mergeCell ref="DL135:DS136"/>
    <mergeCell ref="C137:D137"/>
    <mergeCell ref="AL137:AO137"/>
    <mergeCell ref="DH137:DK137"/>
    <mergeCell ref="DL137:DS137"/>
    <mergeCell ref="CR135:CT136"/>
    <mergeCell ref="CU135:CW136"/>
    <mergeCell ref="CX135:CZ136"/>
    <mergeCell ref="DA135:DC136"/>
    <mergeCell ref="DD135:DF136"/>
    <mergeCell ref="DH135:DK136"/>
    <mergeCell ref="BZ135:CB136"/>
    <mergeCell ref="CC135:CE136"/>
    <mergeCell ref="CF135:CH136"/>
    <mergeCell ref="CI135:CK136"/>
    <mergeCell ref="CL135:CN136"/>
    <mergeCell ref="AL142:AO142"/>
    <mergeCell ref="C143:D144"/>
    <mergeCell ref="G143:R144"/>
    <mergeCell ref="T143:AJ144"/>
    <mergeCell ref="AL143:AO144"/>
    <mergeCell ref="DL139:DS140"/>
    <mergeCell ref="AL141:AO141"/>
    <mergeCell ref="DH141:DK141"/>
    <mergeCell ref="DL141:DS141"/>
    <mergeCell ref="AR139:BG140"/>
    <mergeCell ref="CR139:CT140"/>
    <mergeCell ref="CU139:CW140"/>
    <mergeCell ref="CX139:CZ140"/>
    <mergeCell ref="DA139:DC140"/>
    <mergeCell ref="DD139:DF140"/>
    <mergeCell ref="DH139:DK140"/>
    <mergeCell ref="BZ139:CB140"/>
    <mergeCell ref="CC139:CE140"/>
    <mergeCell ref="CF139:CH140"/>
    <mergeCell ref="CI139:CK140"/>
    <mergeCell ref="CL139:CN140"/>
    <mergeCell ref="CO139:CQ140"/>
    <mergeCell ref="BK139:BM140"/>
    <mergeCell ref="BN139:BP140"/>
    <mergeCell ref="DL143:DS144"/>
    <mergeCell ref="C145:D145"/>
    <mergeCell ref="AL145:AO145"/>
    <mergeCell ref="DH145:DK145"/>
    <mergeCell ref="DL145:DS145"/>
    <mergeCell ref="AR143:BG144"/>
    <mergeCell ref="CR143:CT144"/>
    <mergeCell ref="CU143:CW144"/>
    <mergeCell ref="CX143:CZ144"/>
    <mergeCell ref="DA143:DC144"/>
    <mergeCell ref="DD143:DF144"/>
    <mergeCell ref="DH143:DK144"/>
    <mergeCell ref="BZ143:CB144"/>
    <mergeCell ref="CC143:CE144"/>
    <mergeCell ref="CF143:CH144"/>
    <mergeCell ref="CI143:CK144"/>
    <mergeCell ref="CL143:CN144"/>
    <mergeCell ref="CO143:CQ144"/>
    <mergeCell ref="BK143:BM144"/>
    <mergeCell ref="BN143:BP144"/>
    <mergeCell ref="BQ143:BS144"/>
    <mergeCell ref="BT143:BV144"/>
    <mergeCell ref="BW143:BY144"/>
    <mergeCell ref="CO147:CQ148"/>
    <mergeCell ref="BK147:BM148"/>
    <mergeCell ref="BN147:BP148"/>
    <mergeCell ref="BQ147:BS148"/>
    <mergeCell ref="BT147:BV148"/>
    <mergeCell ref="BW147:BY148"/>
    <mergeCell ref="AL146:AO146"/>
    <mergeCell ref="C147:D148"/>
    <mergeCell ref="G147:R148"/>
    <mergeCell ref="T147:AJ148"/>
    <mergeCell ref="AL147:AO148"/>
    <mergeCell ref="G151:R152"/>
    <mergeCell ref="T151:AJ152"/>
    <mergeCell ref="AL151:AO152"/>
    <mergeCell ref="C150:D150"/>
    <mergeCell ref="AL150:AO150"/>
    <mergeCell ref="DH150:DK150"/>
    <mergeCell ref="DL150:DS150"/>
    <mergeCell ref="DL147:DS148"/>
    <mergeCell ref="C149:D149"/>
    <mergeCell ref="AL149:AO149"/>
    <mergeCell ref="DH149:DK149"/>
    <mergeCell ref="DL149:DS149"/>
    <mergeCell ref="AR147:BG148"/>
    <mergeCell ref="CR147:CT148"/>
    <mergeCell ref="CU147:CW148"/>
    <mergeCell ref="CX147:CZ148"/>
    <mergeCell ref="DA147:DC148"/>
    <mergeCell ref="DD147:DF148"/>
    <mergeCell ref="DH147:DK148"/>
    <mergeCell ref="BZ147:CB148"/>
    <mergeCell ref="CC147:CE148"/>
    <mergeCell ref="CF147:CH148"/>
    <mergeCell ref="CI147:CK148"/>
    <mergeCell ref="CL147:CN148"/>
    <mergeCell ref="DH151:DK152"/>
    <mergeCell ref="DL151:DS152"/>
    <mergeCell ref="C153:D153"/>
    <mergeCell ref="AL153:AO153"/>
    <mergeCell ref="DH153:DK153"/>
    <mergeCell ref="DL153:DS153"/>
    <mergeCell ref="AR151:BG152"/>
    <mergeCell ref="CO151:CQ152"/>
    <mergeCell ref="CR151:CT152"/>
    <mergeCell ref="CU151:CW152"/>
    <mergeCell ref="CX151:CZ152"/>
    <mergeCell ref="DA151:DC152"/>
    <mergeCell ref="DD151:DF152"/>
    <mergeCell ref="BW151:BY152"/>
    <mergeCell ref="BZ151:CB152"/>
    <mergeCell ref="CC151:CE152"/>
    <mergeCell ref="CF151:CH152"/>
    <mergeCell ref="CI151:CK152"/>
    <mergeCell ref="CL151:CN152"/>
    <mergeCell ref="BK151:BM152"/>
    <mergeCell ref="BN151:BP152"/>
    <mergeCell ref="BQ151:BS152"/>
    <mergeCell ref="BT151:BV152"/>
    <mergeCell ref="C151:D152"/>
    <mergeCell ref="CL155:CN156"/>
    <mergeCell ref="CO155:CQ156"/>
    <mergeCell ref="BK155:BM156"/>
    <mergeCell ref="BN155:BP156"/>
    <mergeCell ref="BQ155:BS156"/>
    <mergeCell ref="BT155:BV156"/>
    <mergeCell ref="BW155:BY156"/>
    <mergeCell ref="AL154:AO154"/>
    <mergeCell ref="C155:D156"/>
    <mergeCell ref="G155:R156"/>
    <mergeCell ref="T155:AJ156"/>
    <mergeCell ref="AL155:AO156"/>
    <mergeCell ref="C159:D160"/>
    <mergeCell ref="G159:R160"/>
    <mergeCell ref="T159:AJ160"/>
    <mergeCell ref="AL159:AO160"/>
    <mergeCell ref="C158:D158"/>
    <mergeCell ref="AL158:AO158"/>
    <mergeCell ref="DH158:DK158"/>
    <mergeCell ref="DL158:DS158"/>
    <mergeCell ref="DL155:DS156"/>
    <mergeCell ref="C157:D157"/>
    <mergeCell ref="AL157:AO157"/>
    <mergeCell ref="DH157:DK157"/>
    <mergeCell ref="DL157:DS157"/>
    <mergeCell ref="AR155:BG156"/>
    <mergeCell ref="CR155:CT156"/>
    <mergeCell ref="CU155:CW156"/>
    <mergeCell ref="CX155:CZ156"/>
    <mergeCell ref="DA155:DC156"/>
    <mergeCell ref="DD155:DF156"/>
    <mergeCell ref="DH155:DK156"/>
    <mergeCell ref="BZ155:CB156"/>
    <mergeCell ref="CC155:CE156"/>
    <mergeCell ref="CF155:CH156"/>
    <mergeCell ref="CI155:CK156"/>
    <mergeCell ref="DL162:DS162"/>
    <mergeCell ref="DH159:DK160"/>
    <mergeCell ref="DL159:DS160"/>
    <mergeCell ref="C161:D161"/>
    <mergeCell ref="AL161:AO161"/>
    <mergeCell ref="DH161:DK161"/>
    <mergeCell ref="DL161:DS161"/>
    <mergeCell ref="AR159:BG160"/>
    <mergeCell ref="CO159:CQ160"/>
    <mergeCell ref="CR159:CT160"/>
    <mergeCell ref="CU159:CW160"/>
    <mergeCell ref="CX159:CZ160"/>
    <mergeCell ref="DA159:DC160"/>
    <mergeCell ref="DD159:DF160"/>
    <mergeCell ref="BW159:BY160"/>
    <mergeCell ref="BZ159:CB160"/>
    <mergeCell ref="CC159:CE160"/>
    <mergeCell ref="CF159:CH160"/>
    <mergeCell ref="CI159:CK160"/>
    <mergeCell ref="CL159:CN160"/>
    <mergeCell ref="BK159:BM160"/>
    <mergeCell ref="BN159:BP160"/>
    <mergeCell ref="BQ159:BS160"/>
    <mergeCell ref="BT159:BV160"/>
    <mergeCell ref="BQ163:BS164"/>
    <mergeCell ref="BT163:BV164"/>
    <mergeCell ref="C163:D164"/>
    <mergeCell ref="G163:R164"/>
    <mergeCell ref="T163:AJ164"/>
    <mergeCell ref="AL163:AO164"/>
    <mergeCell ref="C162:D162"/>
    <mergeCell ref="AL162:AO162"/>
    <mergeCell ref="DH162:DK162"/>
    <mergeCell ref="AL166:AO166"/>
    <mergeCell ref="DH166:DK166"/>
    <mergeCell ref="DL166:DS166"/>
    <mergeCell ref="DH163:DK164"/>
    <mergeCell ref="DL163:DS164"/>
    <mergeCell ref="C165:D165"/>
    <mergeCell ref="AL165:AO165"/>
    <mergeCell ref="DH165:DK165"/>
    <mergeCell ref="DL165:DS165"/>
    <mergeCell ref="AR163:BG164"/>
    <mergeCell ref="CO163:CQ164"/>
    <mergeCell ref="CR163:CT164"/>
    <mergeCell ref="CU163:CW164"/>
    <mergeCell ref="CX163:CZ164"/>
    <mergeCell ref="DA163:DC164"/>
    <mergeCell ref="DD163:DF164"/>
    <mergeCell ref="BW163:BY164"/>
    <mergeCell ref="BZ163:CB164"/>
    <mergeCell ref="CC163:CE164"/>
    <mergeCell ref="CF163:CH164"/>
    <mergeCell ref="CI163:CK164"/>
    <mergeCell ref="CL163:CN164"/>
    <mergeCell ref="BK163:BM164"/>
    <mergeCell ref="BN163:BP164"/>
    <mergeCell ref="DH167:DK168"/>
    <mergeCell ref="DL167:DS168"/>
    <mergeCell ref="C169:D169"/>
    <mergeCell ref="AL169:AO169"/>
    <mergeCell ref="DH169:DK169"/>
    <mergeCell ref="DL169:DS169"/>
    <mergeCell ref="AR167:BG168"/>
    <mergeCell ref="CO167:CQ168"/>
    <mergeCell ref="CR167:CT168"/>
    <mergeCell ref="CU167:CW168"/>
    <mergeCell ref="CX167:CZ168"/>
    <mergeCell ref="DA167:DC168"/>
    <mergeCell ref="DD167:DF168"/>
    <mergeCell ref="BW167:BY168"/>
    <mergeCell ref="BZ167:CB168"/>
    <mergeCell ref="CC167:CE168"/>
    <mergeCell ref="CF167:CH168"/>
    <mergeCell ref="CI167:CK168"/>
    <mergeCell ref="CL167:CN168"/>
    <mergeCell ref="BK167:BM168"/>
    <mergeCell ref="BN167:BP168"/>
    <mergeCell ref="BQ167:BS168"/>
    <mergeCell ref="BT167:BV168"/>
    <mergeCell ref="C167:D168"/>
    <mergeCell ref="BT171:BV172"/>
    <mergeCell ref="C171:D172"/>
    <mergeCell ref="G171:R172"/>
    <mergeCell ref="T171:AJ172"/>
    <mergeCell ref="AL171:AO172"/>
    <mergeCell ref="C170:D170"/>
    <mergeCell ref="AL170:AO170"/>
    <mergeCell ref="DH170:DK170"/>
    <mergeCell ref="DL170:DS170"/>
    <mergeCell ref="DH174:DK174"/>
    <mergeCell ref="DL174:DS174"/>
    <mergeCell ref="DH171:DK172"/>
    <mergeCell ref="DL171:DS172"/>
    <mergeCell ref="C173:D173"/>
    <mergeCell ref="AL173:AO173"/>
    <mergeCell ref="DH173:DK173"/>
    <mergeCell ref="DL173:DS173"/>
    <mergeCell ref="AR171:BG172"/>
    <mergeCell ref="CO171:CQ172"/>
    <mergeCell ref="CR171:CT172"/>
    <mergeCell ref="CU171:CW172"/>
    <mergeCell ref="CX171:CZ172"/>
    <mergeCell ref="DA171:DC172"/>
    <mergeCell ref="DD171:DF172"/>
    <mergeCell ref="BW171:BY172"/>
    <mergeCell ref="BZ171:CB172"/>
    <mergeCell ref="CC171:CE172"/>
    <mergeCell ref="CF171:CH172"/>
    <mergeCell ref="CI171:CK172"/>
    <mergeCell ref="CL171:CN172"/>
    <mergeCell ref="BK171:BM172"/>
    <mergeCell ref="BN171:BP172"/>
    <mergeCell ref="BQ171:BS172"/>
    <mergeCell ref="DH175:DK176"/>
    <mergeCell ref="DL175:DS176"/>
    <mergeCell ref="C177:D177"/>
    <mergeCell ref="AL177:AO177"/>
    <mergeCell ref="DH177:DK177"/>
    <mergeCell ref="DL177:DS177"/>
    <mergeCell ref="AR175:BG176"/>
    <mergeCell ref="CO175:CQ176"/>
    <mergeCell ref="CR175:CT176"/>
    <mergeCell ref="CU175:CW176"/>
    <mergeCell ref="CX175:CZ176"/>
    <mergeCell ref="DA175:DC176"/>
    <mergeCell ref="DD175:DF176"/>
    <mergeCell ref="BW175:BY176"/>
    <mergeCell ref="BZ175:CB176"/>
    <mergeCell ref="CC175:CE176"/>
    <mergeCell ref="CF175:CH176"/>
    <mergeCell ref="CI175:CK176"/>
    <mergeCell ref="CL175:CN176"/>
    <mergeCell ref="BK175:BM176"/>
    <mergeCell ref="BN175:BP176"/>
    <mergeCell ref="BQ175:BS176"/>
    <mergeCell ref="BT175:BV176"/>
    <mergeCell ref="C175:D176"/>
    <mergeCell ref="BT179:BV180"/>
    <mergeCell ref="C179:D180"/>
    <mergeCell ref="G179:R180"/>
    <mergeCell ref="T179:AJ180"/>
    <mergeCell ref="AL179:AO180"/>
    <mergeCell ref="C178:D178"/>
    <mergeCell ref="AL178:AO178"/>
    <mergeCell ref="DH178:DK178"/>
    <mergeCell ref="DL178:DS178"/>
    <mergeCell ref="DH182:DK182"/>
    <mergeCell ref="DL182:DS182"/>
    <mergeCell ref="DH179:DK180"/>
    <mergeCell ref="DL179:DS180"/>
    <mergeCell ref="C181:D181"/>
    <mergeCell ref="AL181:AO181"/>
    <mergeCell ref="DH181:DK181"/>
    <mergeCell ref="DL181:DS181"/>
    <mergeCell ref="AR179:BG180"/>
    <mergeCell ref="CO179:CQ180"/>
    <mergeCell ref="CR179:CT180"/>
    <mergeCell ref="CU179:CW180"/>
    <mergeCell ref="CX179:CZ180"/>
    <mergeCell ref="DA179:DC180"/>
    <mergeCell ref="DD179:DF180"/>
    <mergeCell ref="BW179:BY180"/>
    <mergeCell ref="BZ179:CB180"/>
    <mergeCell ref="CC179:CE180"/>
    <mergeCell ref="CF179:CH180"/>
    <mergeCell ref="CI179:CK180"/>
    <mergeCell ref="CL179:CN180"/>
    <mergeCell ref="BK179:BM180"/>
    <mergeCell ref="BN179:BP180"/>
    <mergeCell ref="BQ179:BS180"/>
    <mergeCell ref="DH183:DK184"/>
    <mergeCell ref="DL183:DS184"/>
    <mergeCell ref="C185:D185"/>
    <mergeCell ref="AL185:AO185"/>
    <mergeCell ref="DH185:DK185"/>
    <mergeCell ref="DL185:DS185"/>
    <mergeCell ref="AR183:BG184"/>
    <mergeCell ref="CO183:CQ184"/>
    <mergeCell ref="CR183:CT184"/>
    <mergeCell ref="CU183:CW184"/>
    <mergeCell ref="CX183:CZ184"/>
    <mergeCell ref="DA183:DC184"/>
    <mergeCell ref="DD183:DF184"/>
    <mergeCell ref="BW183:BY184"/>
    <mergeCell ref="BZ183:CB184"/>
    <mergeCell ref="CC183:CE184"/>
    <mergeCell ref="CF183:CH184"/>
    <mergeCell ref="CI183:CK184"/>
    <mergeCell ref="CL183:CN184"/>
    <mergeCell ref="BK183:BM184"/>
    <mergeCell ref="BN183:BP184"/>
    <mergeCell ref="BQ183:BS184"/>
    <mergeCell ref="BT183:BV184"/>
    <mergeCell ref="C183:D184"/>
    <mergeCell ref="CI187:CK188"/>
    <mergeCell ref="BK187:BM188"/>
    <mergeCell ref="BN187:BP188"/>
    <mergeCell ref="BQ187:BS188"/>
    <mergeCell ref="C186:D186"/>
    <mergeCell ref="AL186:AO186"/>
    <mergeCell ref="DH186:DK186"/>
    <mergeCell ref="C187:D188"/>
    <mergeCell ref="G187:R188"/>
    <mergeCell ref="T187:AJ188"/>
    <mergeCell ref="AL187:AO188"/>
    <mergeCell ref="DH190:DK190"/>
    <mergeCell ref="DL190:DS190"/>
    <mergeCell ref="C191:D192"/>
    <mergeCell ref="G191:R192"/>
    <mergeCell ref="T191:AJ192"/>
    <mergeCell ref="AL191:AO192"/>
    <mergeCell ref="DD187:DF188"/>
    <mergeCell ref="DH187:DK188"/>
    <mergeCell ref="DL187:DS188"/>
    <mergeCell ref="AL189:AO189"/>
    <mergeCell ref="DH189:DK189"/>
    <mergeCell ref="DL189:DS189"/>
    <mergeCell ref="AR187:BG188"/>
    <mergeCell ref="CL187:CN188"/>
    <mergeCell ref="CO187:CQ188"/>
    <mergeCell ref="CR187:CT188"/>
    <mergeCell ref="CU187:CW188"/>
    <mergeCell ref="CX187:CZ188"/>
    <mergeCell ref="DA187:DC188"/>
    <mergeCell ref="BT187:BV188"/>
    <mergeCell ref="BW187:BY188"/>
    <mergeCell ref="BZ187:CB188"/>
    <mergeCell ref="CC187:CE188"/>
    <mergeCell ref="CF187:CH188"/>
    <mergeCell ref="DH194:DK194"/>
    <mergeCell ref="DL194:DS194"/>
    <mergeCell ref="DD191:DF192"/>
    <mergeCell ref="DH191:DK192"/>
    <mergeCell ref="DL191:DS192"/>
    <mergeCell ref="AL193:AO193"/>
    <mergeCell ref="DH193:DK193"/>
    <mergeCell ref="DL193:DS193"/>
    <mergeCell ref="AR191:BG192"/>
    <mergeCell ref="CL191:CN192"/>
    <mergeCell ref="CO191:CQ192"/>
    <mergeCell ref="CR191:CT192"/>
    <mergeCell ref="CU191:CW192"/>
    <mergeCell ref="CX191:CZ192"/>
    <mergeCell ref="DA191:DC192"/>
    <mergeCell ref="BT191:BV192"/>
    <mergeCell ref="BW191:BY192"/>
    <mergeCell ref="BZ191:CB192"/>
    <mergeCell ref="CC191:CE192"/>
    <mergeCell ref="CF191:CH192"/>
    <mergeCell ref="CI191:CK192"/>
    <mergeCell ref="BK191:BM192"/>
    <mergeCell ref="BN191:BP192"/>
    <mergeCell ref="BQ191:BS192"/>
    <mergeCell ref="DH199:DK199"/>
    <mergeCell ref="DL199:DS200"/>
    <mergeCell ref="AL202:AO202"/>
    <mergeCell ref="DH202:DK202"/>
    <mergeCell ref="DL202:DS202"/>
    <mergeCell ref="C199:D200"/>
    <mergeCell ref="G199:R200"/>
    <mergeCell ref="T199:AJ200"/>
    <mergeCell ref="AL199:AO200"/>
    <mergeCell ref="AR199:BG200"/>
    <mergeCell ref="A205:BI206"/>
    <mergeCell ref="A208:BI209"/>
    <mergeCell ref="AQ114:BH117"/>
    <mergeCell ref="AR119:BG120"/>
    <mergeCell ref="AR123:BG124"/>
    <mergeCell ref="AR127:BG128"/>
    <mergeCell ref="AR131:BG132"/>
    <mergeCell ref="AR135:BG136"/>
    <mergeCell ref="AL194:AO194"/>
    <mergeCell ref="AL190:AO190"/>
    <mergeCell ref="G183:R184"/>
    <mergeCell ref="T183:AJ184"/>
    <mergeCell ref="AL183:AO184"/>
    <mergeCell ref="C182:D182"/>
    <mergeCell ref="AL182:AO182"/>
    <mergeCell ref="G175:R176"/>
    <mergeCell ref="T175:AJ176"/>
    <mergeCell ref="AL175:AO176"/>
    <mergeCell ref="C174:D174"/>
    <mergeCell ref="AL174:AO174"/>
    <mergeCell ref="G167:R168"/>
    <mergeCell ref="T167:AJ168"/>
    <mergeCell ref="AL167:AO168"/>
    <mergeCell ref="C166:D166"/>
  </mergeCells>
  <dataValidations count="5">
    <dataValidation type="list" allowBlank="1" showInputMessage="1" showErrorMessage="1" sqref="AO31:AP33" xr:uid="{C5B95763-CBE6-4C8A-B0CE-E42AAFB43645}">
      <formula1>"10,15,20,25,30"</formula1>
    </dataValidation>
    <dataValidation type="list" allowBlank="1" showInputMessage="1" showErrorMessage="1" sqref="AO35:AV36" xr:uid="{5B488033-741F-4866-A150-B399EE465620}">
      <formula1>$BK$1:$BK$21</formula1>
    </dataValidation>
    <dataValidation type="list" allowBlank="1" showInputMessage="1" showErrorMessage="1" sqref="N74:R75" xr:uid="{67AB5997-854A-4E3A-B371-1737E39C90A9}">
      <formula1>$DW$111:$DW$113</formula1>
    </dataValidation>
    <dataValidation type="list" allowBlank="1" showInputMessage="1" showErrorMessage="1" sqref="AI78 AI74 AI82 AI86 N86" xr:uid="{2C2F165C-75DF-4079-9040-702F3BE717F1}">
      <formula1>"Included,Not Included"</formula1>
    </dataValidation>
    <dataValidation type="list" allowBlank="1" showInputMessage="1" showErrorMessage="1" sqref="CI111:CN112" xr:uid="{648E7294-AEF6-4383-994D-2050EB4CB30E}">
      <formula1>"EUR,USD,ZAR"</formula1>
    </dataValidation>
  </dataValidations>
  <pageMargins left="0.7" right="0.7" top="0.75" bottom="0.75" header="0.3" footer="0.3"/>
  <pageSetup paperSize="9" scale="85" fitToWidth="0" fitToHeight="0" orientation="portrait" r:id="rId1"/>
  <headerFooter>
    <oddFooter>&amp;R&amp;"Yu Gothic Medium,Regular"&amp;10Page &amp;P of &amp;N</oddFooter>
  </headerFooter>
  <rowBreaks count="2" manualBreakCount="2">
    <brk id="108" max="60" man="1"/>
    <brk id="211" max="60"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8804A-8AEF-4D57-90F4-80C99501B64D}">
  <sheetPr codeName="Sheet1">
    <tabColor rgb="FFFFC000"/>
  </sheetPr>
  <dimension ref="A1:ME280"/>
  <sheetViews>
    <sheetView view="pageBreakPreview" topLeftCell="A156" zoomScale="78" zoomScaleNormal="100" zoomScaleSheetLayoutView="70" workbookViewId="0">
      <selection activeCell="M58" sqref="M58:BH59"/>
    </sheetView>
  </sheetViews>
  <sheetFormatPr defaultColWidth="1.54296875" defaultRowHeight="7.4" customHeight="1" x14ac:dyDescent="0.5"/>
  <cols>
    <col min="1" max="2" width="1.54296875" style="24"/>
    <col min="3" max="3" width="1.54296875" style="24" customWidth="1"/>
    <col min="4" max="6" width="1.54296875" style="24"/>
    <col min="7" max="7" width="1.54296875" style="24" customWidth="1"/>
    <col min="8" max="19" width="1.54296875" style="24"/>
    <col min="20" max="20" width="1.54296875" style="24" customWidth="1"/>
    <col min="21" max="22" width="1.54296875" style="24"/>
    <col min="23" max="23" width="1.54296875" style="24" customWidth="1"/>
    <col min="24" max="29" width="1.54296875" style="24"/>
    <col min="30" max="31" width="1.54296875" style="24" customWidth="1"/>
    <col min="32" max="38" width="1.54296875" style="24"/>
    <col min="39" max="39" width="1.54296875" style="24" customWidth="1"/>
    <col min="40" max="42" width="1.54296875" style="24"/>
    <col min="43" max="43" width="1.54296875" style="24" customWidth="1"/>
    <col min="44" max="47" width="1.54296875" style="24"/>
    <col min="48" max="48" width="1.54296875" style="24" customWidth="1"/>
    <col min="49" max="49" width="1.54296875" style="24"/>
    <col min="50" max="51" width="1.54296875" style="24" customWidth="1"/>
    <col min="52" max="54" width="1.54296875" style="24"/>
    <col min="55" max="55" width="1.54296875" style="24" customWidth="1"/>
    <col min="56" max="61" width="1.54296875" style="24"/>
    <col min="62" max="92" width="0" style="24" hidden="1" customWidth="1"/>
    <col min="93" max="93" width="1.54296875" style="24" hidden="1" customWidth="1"/>
    <col min="94" max="111" width="0" style="24" hidden="1" customWidth="1"/>
    <col min="112" max="112" width="1.54296875" style="75" hidden="1" customWidth="1"/>
    <col min="113" max="115" width="0" style="75" hidden="1" customWidth="1"/>
    <col min="116" max="116" width="1.54296875" style="75" hidden="1" customWidth="1"/>
    <col min="117" max="126" width="0" style="24" hidden="1" customWidth="1"/>
    <col min="127" max="343" width="1.54296875" style="24" hidden="1" customWidth="1"/>
    <col min="344" max="16384" width="1.54296875" style="24"/>
  </cols>
  <sheetData>
    <row r="1" spans="1:63" ht="7.4" customHeight="1" x14ac:dyDescent="0.5">
      <c r="C1" s="333" t="e" vm="7">
        <v>#VALUE!</v>
      </c>
      <c r="D1" s="333"/>
      <c r="E1" s="333"/>
      <c r="F1" s="333"/>
      <c r="G1" s="333"/>
      <c r="H1" s="333"/>
      <c r="I1" s="333"/>
      <c r="J1" s="333"/>
      <c r="K1" s="333"/>
      <c r="L1" s="333"/>
      <c r="M1" s="333"/>
      <c r="N1" s="333"/>
      <c r="O1" s="333"/>
      <c r="P1" s="333"/>
      <c r="Q1" s="333"/>
      <c r="R1" s="333"/>
      <c r="S1" s="333"/>
      <c r="T1" s="333"/>
      <c r="U1" s="333"/>
      <c r="V1" s="333"/>
      <c r="W1" s="333"/>
      <c r="X1" s="333"/>
      <c r="Y1" s="333"/>
      <c r="Z1" s="333"/>
      <c r="AA1" s="333"/>
      <c r="AB1" s="333"/>
      <c r="AC1" s="333"/>
      <c r="AD1" s="333"/>
      <c r="AE1" s="333"/>
      <c r="AF1" s="333"/>
      <c r="AG1" s="333"/>
      <c r="AH1" s="333"/>
      <c r="AI1" s="333"/>
      <c r="AN1" s="405" t="s">
        <v>0</v>
      </c>
      <c r="AO1" s="405"/>
      <c r="AP1" s="405"/>
      <c r="AQ1" s="405"/>
      <c r="AR1" s="405"/>
      <c r="AS1" s="405"/>
      <c r="AT1" s="405"/>
      <c r="AU1" s="405"/>
      <c r="AV1" s="405"/>
      <c r="AW1" s="405"/>
      <c r="AX1" s="405"/>
      <c r="AY1" s="405"/>
      <c r="AZ1" s="405"/>
      <c r="BA1" s="405"/>
      <c r="BB1" s="405"/>
      <c r="BC1" s="405"/>
      <c r="BD1" s="405"/>
      <c r="BE1" s="405"/>
      <c r="BF1" s="405"/>
      <c r="BG1" s="405"/>
      <c r="BH1" s="405"/>
      <c r="BK1" s="24" t="s">
        <v>1</v>
      </c>
    </row>
    <row r="2" spans="1:63" ht="7.4" customHeight="1" x14ac:dyDescent="0.5">
      <c r="C2" s="333"/>
      <c r="D2" s="333"/>
      <c r="E2" s="333"/>
      <c r="F2" s="333"/>
      <c r="G2" s="333"/>
      <c r="H2" s="333"/>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N2" s="405"/>
      <c r="AO2" s="405"/>
      <c r="AP2" s="405"/>
      <c r="AQ2" s="405"/>
      <c r="AR2" s="405"/>
      <c r="AS2" s="405"/>
      <c r="AT2" s="405"/>
      <c r="AU2" s="405"/>
      <c r="AV2" s="405"/>
      <c r="AW2" s="405"/>
      <c r="AX2" s="405"/>
      <c r="AY2" s="405"/>
      <c r="AZ2" s="405"/>
      <c r="BA2" s="405"/>
      <c r="BB2" s="405"/>
      <c r="BC2" s="405"/>
      <c r="BD2" s="405"/>
      <c r="BE2" s="405"/>
      <c r="BF2" s="405"/>
      <c r="BG2" s="405"/>
      <c r="BH2" s="405"/>
      <c r="BK2" s="24" t="s">
        <v>2</v>
      </c>
    </row>
    <row r="3" spans="1:63" ht="7.4" customHeight="1" x14ac:dyDescent="0.5">
      <c r="C3" s="333"/>
      <c r="D3" s="333"/>
      <c r="E3" s="333"/>
      <c r="F3" s="333"/>
      <c r="G3" s="333"/>
      <c r="H3" s="333"/>
      <c r="I3" s="333"/>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N3" s="314" t="s">
        <v>3</v>
      </c>
      <c r="AO3" s="314"/>
      <c r="AP3" s="314"/>
      <c r="AQ3" s="314"/>
      <c r="AR3" s="314"/>
      <c r="AS3" s="314"/>
      <c r="AT3" s="314"/>
      <c r="AU3" s="314"/>
      <c r="AV3" s="314"/>
      <c r="AW3" s="314"/>
      <c r="AX3" s="314"/>
      <c r="AY3" s="314"/>
      <c r="AZ3" s="314"/>
      <c r="BA3" s="314"/>
      <c r="BB3" s="314"/>
      <c r="BC3" s="314"/>
      <c r="BD3" s="314"/>
      <c r="BE3" s="314"/>
      <c r="BF3" s="314"/>
      <c r="BG3" s="314"/>
      <c r="BH3" s="314"/>
      <c r="BK3" s="24" t="s">
        <v>4</v>
      </c>
    </row>
    <row r="4" spans="1:63" ht="7.4" customHeight="1" x14ac:dyDescent="0.5">
      <c r="C4" s="333"/>
      <c r="D4" s="333"/>
      <c r="E4" s="333"/>
      <c r="F4" s="333"/>
      <c r="G4" s="333"/>
      <c r="H4" s="333"/>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N4" s="314"/>
      <c r="AO4" s="314"/>
      <c r="AP4" s="314"/>
      <c r="AQ4" s="314"/>
      <c r="AR4" s="314"/>
      <c r="AS4" s="314"/>
      <c r="AT4" s="314"/>
      <c r="AU4" s="314"/>
      <c r="AV4" s="314"/>
      <c r="AW4" s="314"/>
      <c r="AX4" s="314"/>
      <c r="AY4" s="314"/>
      <c r="AZ4" s="314"/>
      <c r="BA4" s="314"/>
      <c r="BB4" s="314"/>
      <c r="BC4" s="314"/>
      <c r="BD4" s="314"/>
      <c r="BE4" s="314"/>
      <c r="BF4" s="314"/>
      <c r="BG4" s="314"/>
      <c r="BH4" s="314"/>
      <c r="BK4" s="24" t="s">
        <v>122</v>
      </c>
    </row>
    <row r="5" spans="1:63" ht="7.4" customHeight="1" x14ac:dyDescent="0.5">
      <c r="C5" s="333"/>
      <c r="D5" s="333"/>
      <c r="E5" s="333"/>
      <c r="F5" s="333"/>
      <c r="G5" s="333"/>
      <c r="H5" s="333"/>
      <c r="I5" s="333"/>
      <c r="J5" s="333"/>
      <c r="K5" s="333"/>
      <c r="L5" s="333"/>
      <c r="M5" s="333"/>
      <c r="N5" s="333"/>
      <c r="O5" s="333"/>
      <c r="P5" s="333"/>
      <c r="Q5" s="333"/>
      <c r="R5" s="333"/>
      <c r="S5" s="333"/>
      <c r="T5" s="333"/>
      <c r="U5" s="333"/>
      <c r="V5" s="333"/>
      <c r="W5" s="333"/>
      <c r="X5" s="333"/>
      <c r="Y5" s="333"/>
      <c r="Z5" s="333"/>
      <c r="AA5" s="333"/>
      <c r="AB5" s="333"/>
      <c r="AC5" s="333"/>
      <c r="AD5" s="333"/>
      <c r="AE5" s="333"/>
      <c r="AF5" s="333"/>
      <c r="AG5" s="333"/>
      <c r="AH5" s="333"/>
      <c r="AI5" s="333"/>
      <c r="AN5" s="406" t="s">
        <v>6</v>
      </c>
      <c r="AO5" s="314"/>
      <c r="AP5" s="314"/>
      <c r="AQ5" s="314"/>
      <c r="AR5" s="314"/>
      <c r="AS5" s="314"/>
      <c r="AT5" s="314"/>
      <c r="AU5" s="314"/>
      <c r="AV5" s="314"/>
      <c r="AW5" s="314"/>
      <c r="AX5" s="314"/>
      <c r="AY5" s="314"/>
      <c r="AZ5" s="314"/>
      <c r="BA5" s="314"/>
      <c r="BB5" s="314"/>
      <c r="BC5" s="314"/>
      <c r="BD5" s="314"/>
      <c r="BE5" s="314"/>
      <c r="BF5" s="314"/>
      <c r="BG5" s="314"/>
      <c r="BH5" s="314"/>
      <c r="BK5" s="24" t="s">
        <v>5</v>
      </c>
    </row>
    <row r="6" spans="1:63" ht="7.4" customHeight="1" x14ac:dyDescent="0.5">
      <c r="C6" s="333"/>
      <c r="D6" s="333"/>
      <c r="E6" s="333"/>
      <c r="F6" s="333"/>
      <c r="G6" s="333"/>
      <c r="H6" s="333"/>
      <c r="I6" s="333"/>
      <c r="J6" s="333"/>
      <c r="K6" s="333"/>
      <c r="L6" s="333"/>
      <c r="M6" s="333"/>
      <c r="N6" s="333"/>
      <c r="O6" s="333"/>
      <c r="P6" s="333"/>
      <c r="Q6" s="333"/>
      <c r="R6" s="333"/>
      <c r="S6" s="333"/>
      <c r="T6" s="333"/>
      <c r="U6" s="333"/>
      <c r="V6" s="333"/>
      <c r="W6" s="333"/>
      <c r="X6" s="333"/>
      <c r="Y6" s="333"/>
      <c r="Z6" s="333"/>
      <c r="AA6" s="333"/>
      <c r="AB6" s="333"/>
      <c r="AC6" s="333"/>
      <c r="AD6" s="333"/>
      <c r="AE6" s="333"/>
      <c r="AF6" s="333"/>
      <c r="AG6" s="333"/>
      <c r="AH6" s="333"/>
      <c r="AI6" s="333"/>
      <c r="AN6" s="314"/>
      <c r="AO6" s="314"/>
      <c r="AP6" s="314"/>
      <c r="AQ6" s="314"/>
      <c r="AR6" s="314"/>
      <c r="AS6" s="314"/>
      <c r="AT6" s="314"/>
      <c r="AU6" s="314"/>
      <c r="AV6" s="314"/>
      <c r="AW6" s="314"/>
      <c r="AX6" s="314"/>
      <c r="AY6" s="314"/>
      <c r="AZ6" s="314"/>
      <c r="BA6" s="314"/>
      <c r="BB6" s="314"/>
      <c r="BC6" s="314"/>
      <c r="BD6" s="314"/>
      <c r="BE6" s="314"/>
      <c r="BF6" s="314"/>
      <c r="BG6" s="314"/>
      <c r="BH6" s="314"/>
      <c r="BK6" s="24" t="s">
        <v>123</v>
      </c>
    </row>
    <row r="7" spans="1:63" ht="7.4" customHeight="1" x14ac:dyDescent="0.5">
      <c r="C7" s="333"/>
      <c r="D7" s="333"/>
      <c r="E7" s="333"/>
      <c r="F7" s="333"/>
      <c r="G7" s="333"/>
      <c r="H7" s="333"/>
      <c r="I7" s="333"/>
      <c r="J7" s="333"/>
      <c r="K7" s="333"/>
      <c r="L7" s="333"/>
      <c r="M7" s="333"/>
      <c r="N7" s="333"/>
      <c r="O7" s="333"/>
      <c r="P7" s="333"/>
      <c r="Q7" s="333"/>
      <c r="R7" s="333"/>
      <c r="S7" s="333"/>
      <c r="T7" s="333"/>
      <c r="U7" s="333"/>
      <c r="V7" s="333"/>
      <c r="W7" s="333"/>
      <c r="X7" s="333"/>
      <c r="Y7" s="333"/>
      <c r="Z7" s="333"/>
      <c r="AA7" s="333"/>
      <c r="AB7" s="333"/>
      <c r="AC7" s="333"/>
      <c r="AD7" s="333"/>
      <c r="AE7" s="333"/>
      <c r="AF7" s="333"/>
      <c r="AG7" s="333"/>
      <c r="AH7" s="333"/>
      <c r="AI7" s="333"/>
      <c r="AN7" s="405" t="s">
        <v>9</v>
      </c>
      <c r="AO7" s="405"/>
      <c r="AP7" s="405"/>
      <c r="AQ7" s="405"/>
      <c r="AR7" s="405"/>
      <c r="AS7" s="405"/>
      <c r="AT7" s="405"/>
      <c r="AU7" s="405"/>
      <c r="AV7" s="405"/>
      <c r="AW7" s="405"/>
      <c r="AX7" s="405"/>
      <c r="AY7" s="405"/>
      <c r="AZ7" s="405"/>
      <c r="BA7" s="405"/>
      <c r="BB7" s="405"/>
      <c r="BC7" s="405"/>
      <c r="BD7" s="405"/>
      <c r="BE7" s="405"/>
      <c r="BF7" s="405"/>
      <c r="BG7" s="405"/>
      <c r="BH7" s="405"/>
      <c r="BK7" s="24" t="s">
        <v>8</v>
      </c>
    </row>
    <row r="8" spans="1:63" ht="7.4" customHeight="1" x14ac:dyDescent="0.5">
      <c r="C8" s="333"/>
      <c r="D8" s="333"/>
      <c r="E8" s="333"/>
      <c r="F8" s="333"/>
      <c r="G8" s="333"/>
      <c r="H8" s="333"/>
      <c r="I8" s="333"/>
      <c r="J8" s="333"/>
      <c r="K8" s="333"/>
      <c r="L8" s="333"/>
      <c r="M8" s="333"/>
      <c r="N8" s="333"/>
      <c r="O8" s="333"/>
      <c r="P8" s="333"/>
      <c r="Q8" s="333"/>
      <c r="R8" s="333"/>
      <c r="S8" s="333"/>
      <c r="T8" s="333"/>
      <c r="U8" s="333"/>
      <c r="V8" s="333"/>
      <c r="W8" s="333"/>
      <c r="X8" s="333"/>
      <c r="Y8" s="333"/>
      <c r="Z8" s="333"/>
      <c r="AA8" s="333"/>
      <c r="AB8" s="333"/>
      <c r="AC8" s="333"/>
      <c r="AD8" s="333"/>
      <c r="AE8" s="333"/>
      <c r="AF8" s="333"/>
      <c r="AG8" s="333"/>
      <c r="AH8" s="333"/>
      <c r="AI8" s="333"/>
      <c r="AN8" s="405"/>
      <c r="AO8" s="405"/>
      <c r="AP8" s="405"/>
      <c r="AQ8" s="405"/>
      <c r="AR8" s="405"/>
      <c r="AS8" s="405"/>
      <c r="AT8" s="405"/>
      <c r="AU8" s="405"/>
      <c r="AV8" s="405"/>
      <c r="AW8" s="405"/>
      <c r="AX8" s="405"/>
      <c r="AY8" s="405"/>
      <c r="AZ8" s="405"/>
      <c r="BA8" s="405"/>
      <c r="BB8" s="405"/>
      <c r="BC8" s="405"/>
      <c r="BD8" s="405"/>
      <c r="BE8" s="405"/>
      <c r="BF8" s="405"/>
      <c r="BG8" s="405"/>
      <c r="BH8" s="405"/>
      <c r="BK8" s="24" t="s">
        <v>10</v>
      </c>
    </row>
    <row r="9" spans="1:63" ht="7.4" customHeight="1" x14ac:dyDescent="0.5">
      <c r="C9" s="404"/>
      <c r="D9" s="404"/>
      <c r="E9" s="404"/>
      <c r="F9" s="404"/>
      <c r="G9" s="404"/>
      <c r="H9" s="404"/>
      <c r="I9" s="404"/>
      <c r="J9" s="404"/>
      <c r="K9" s="404"/>
      <c r="L9" s="404"/>
      <c r="M9" s="404"/>
      <c r="N9" s="404"/>
      <c r="O9" s="404"/>
      <c r="P9" s="404"/>
      <c r="Q9" s="404"/>
      <c r="R9" s="404"/>
      <c r="S9" s="404"/>
      <c r="T9" s="404"/>
      <c r="U9" s="404"/>
      <c r="V9" s="404"/>
      <c r="W9" s="404"/>
      <c r="X9" s="404"/>
      <c r="Y9" s="404"/>
      <c r="Z9" s="404"/>
      <c r="AA9" s="404"/>
      <c r="AB9" s="404"/>
      <c r="AC9" s="404"/>
      <c r="AD9" s="404"/>
      <c r="AE9" s="404"/>
      <c r="AF9" s="404"/>
      <c r="AG9" s="404"/>
      <c r="AH9" s="404"/>
      <c r="AI9" s="404"/>
      <c r="BK9" s="24" t="s">
        <v>11</v>
      </c>
    </row>
    <row r="10" spans="1:63" ht="7.4" customHeight="1" x14ac:dyDescent="0.5">
      <c r="A10" s="407" t="s">
        <v>13</v>
      </c>
      <c r="B10" s="407"/>
      <c r="C10" s="407"/>
      <c r="D10" s="407"/>
      <c r="E10" s="407"/>
      <c r="F10" s="407"/>
      <c r="G10" s="407"/>
      <c r="H10" s="407"/>
      <c r="I10" s="407"/>
      <c r="J10" s="407"/>
      <c r="K10" s="407"/>
      <c r="L10" s="407"/>
      <c r="M10" s="407"/>
      <c r="N10" s="407"/>
      <c r="O10" s="407"/>
      <c r="P10" s="407"/>
      <c r="Q10" s="407"/>
      <c r="R10" s="407"/>
      <c r="S10" s="407"/>
      <c r="T10" s="407"/>
      <c r="U10" s="407"/>
      <c r="V10" s="407"/>
      <c r="W10" s="407"/>
      <c r="X10" s="407"/>
      <c r="Y10" s="407"/>
      <c r="Z10" s="407"/>
      <c r="AA10" s="407"/>
      <c r="AB10" s="407"/>
      <c r="AC10" s="407"/>
      <c r="AD10" s="407"/>
      <c r="AE10" s="407"/>
      <c r="AF10" s="407"/>
      <c r="AG10" s="407"/>
      <c r="AH10" s="407"/>
      <c r="AI10" s="407"/>
      <c r="AJ10" s="407"/>
      <c r="AK10" s="407"/>
      <c r="AL10" s="407"/>
      <c r="AM10" s="30"/>
      <c r="AN10" s="30"/>
      <c r="AO10" s="30"/>
      <c r="AP10" s="30"/>
      <c r="AQ10" s="30"/>
      <c r="AR10" s="30"/>
      <c r="AS10" s="30"/>
      <c r="AT10" s="30"/>
      <c r="AU10" s="30"/>
      <c r="AV10" s="30"/>
      <c r="AW10" s="30"/>
      <c r="AX10" s="30"/>
      <c r="AY10" s="30"/>
      <c r="AZ10" s="30"/>
      <c r="BA10" s="30"/>
      <c r="BB10" s="30"/>
      <c r="BC10" s="30"/>
      <c r="BD10" s="30"/>
      <c r="BE10" s="30"/>
      <c r="BF10" s="30"/>
      <c r="BG10" s="30"/>
      <c r="BH10" s="30"/>
      <c r="BI10" s="31"/>
      <c r="BK10" s="24" t="s">
        <v>12</v>
      </c>
    </row>
    <row r="11" spans="1:63" ht="7.4" customHeight="1" x14ac:dyDescent="0.5">
      <c r="A11" s="407"/>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407"/>
      <c r="AE11" s="407"/>
      <c r="AF11" s="407"/>
      <c r="AG11" s="407"/>
      <c r="AH11" s="407"/>
      <c r="AI11" s="407"/>
      <c r="AJ11" s="407"/>
      <c r="AK11" s="407"/>
      <c r="AL11" s="407"/>
      <c r="AM11" s="33"/>
      <c r="AN11" s="408" t="s">
        <v>15</v>
      </c>
      <c r="AO11" s="408"/>
      <c r="AP11" s="408"/>
      <c r="AQ11" s="408"/>
      <c r="AR11" s="408"/>
      <c r="AS11" s="408"/>
      <c r="AT11" s="408"/>
      <c r="AU11" s="408"/>
      <c r="AV11" s="408"/>
      <c r="AW11" s="33"/>
      <c r="AX11" s="409" t="s">
        <v>164</v>
      </c>
      <c r="AY11" s="409"/>
      <c r="AZ11" s="409"/>
      <c r="BA11" s="409"/>
      <c r="BB11" s="409"/>
      <c r="BC11" s="409"/>
      <c r="BD11" s="409"/>
      <c r="BE11" s="409"/>
      <c r="BF11" s="409"/>
      <c r="BG11" s="409"/>
      <c r="BH11" s="409"/>
      <c r="BI11" s="34"/>
      <c r="BK11" s="24" t="s">
        <v>125</v>
      </c>
    </row>
    <row r="12" spans="1:63" ht="7.4" customHeight="1" x14ac:dyDescent="0.5">
      <c r="A12" s="407"/>
      <c r="B12" s="407"/>
      <c r="C12" s="407"/>
      <c r="D12" s="407"/>
      <c r="E12" s="407"/>
      <c r="F12" s="407"/>
      <c r="G12" s="407"/>
      <c r="H12" s="407"/>
      <c r="I12" s="407"/>
      <c r="J12" s="407"/>
      <c r="K12" s="407"/>
      <c r="L12" s="407"/>
      <c r="M12" s="407"/>
      <c r="N12" s="407"/>
      <c r="O12" s="407"/>
      <c r="P12" s="407"/>
      <c r="Q12" s="407"/>
      <c r="R12" s="407"/>
      <c r="S12" s="407"/>
      <c r="T12" s="407"/>
      <c r="U12" s="407"/>
      <c r="V12" s="407"/>
      <c r="W12" s="407"/>
      <c r="X12" s="407"/>
      <c r="Y12" s="407"/>
      <c r="Z12" s="407"/>
      <c r="AA12" s="407"/>
      <c r="AB12" s="407"/>
      <c r="AC12" s="407"/>
      <c r="AD12" s="407"/>
      <c r="AE12" s="407"/>
      <c r="AF12" s="407"/>
      <c r="AG12" s="407"/>
      <c r="AH12" s="407"/>
      <c r="AI12" s="407"/>
      <c r="AJ12" s="407"/>
      <c r="AK12" s="407"/>
      <c r="AL12" s="407"/>
      <c r="AM12" s="33"/>
      <c r="AN12" s="408"/>
      <c r="AO12" s="408"/>
      <c r="AP12" s="408"/>
      <c r="AQ12" s="408"/>
      <c r="AR12" s="408"/>
      <c r="AS12" s="408"/>
      <c r="AT12" s="408"/>
      <c r="AU12" s="408"/>
      <c r="AV12" s="408"/>
      <c r="AW12" s="33"/>
      <c r="AX12" s="409"/>
      <c r="AY12" s="409"/>
      <c r="AZ12" s="409"/>
      <c r="BA12" s="409"/>
      <c r="BB12" s="409"/>
      <c r="BC12" s="409"/>
      <c r="BD12" s="409"/>
      <c r="BE12" s="409"/>
      <c r="BF12" s="409"/>
      <c r="BG12" s="409"/>
      <c r="BH12" s="409"/>
      <c r="BI12" s="34"/>
      <c r="BK12" s="24" t="s">
        <v>14</v>
      </c>
    </row>
    <row r="13" spans="1:63" ht="7.4" customHeight="1" x14ac:dyDescent="0.5">
      <c r="A13" s="407"/>
      <c r="B13" s="407"/>
      <c r="C13" s="407"/>
      <c r="D13" s="407"/>
      <c r="E13" s="407"/>
      <c r="F13" s="407"/>
      <c r="G13" s="407"/>
      <c r="H13" s="407"/>
      <c r="I13" s="407"/>
      <c r="J13" s="407"/>
      <c r="K13" s="407"/>
      <c r="L13" s="407"/>
      <c r="M13" s="407"/>
      <c r="N13" s="407"/>
      <c r="O13" s="407"/>
      <c r="P13" s="407"/>
      <c r="Q13" s="407"/>
      <c r="R13" s="407"/>
      <c r="S13" s="407"/>
      <c r="T13" s="407"/>
      <c r="U13" s="407"/>
      <c r="V13" s="407"/>
      <c r="W13" s="407"/>
      <c r="X13" s="407"/>
      <c r="Y13" s="407"/>
      <c r="Z13" s="407"/>
      <c r="AA13" s="407"/>
      <c r="AB13" s="407"/>
      <c r="AC13" s="407"/>
      <c r="AD13" s="407"/>
      <c r="AE13" s="407"/>
      <c r="AF13" s="407"/>
      <c r="AG13" s="407"/>
      <c r="AH13" s="407"/>
      <c r="AI13" s="407"/>
      <c r="AJ13" s="407"/>
      <c r="AK13" s="407"/>
      <c r="AL13" s="407"/>
      <c r="AM13" s="33"/>
      <c r="AN13" s="408" t="s">
        <v>19</v>
      </c>
      <c r="AO13" s="408"/>
      <c r="AP13" s="408"/>
      <c r="AQ13" s="408"/>
      <c r="AR13" s="408"/>
      <c r="AS13" s="408"/>
      <c r="AT13" s="408"/>
      <c r="AU13" s="408"/>
      <c r="AV13" s="408"/>
      <c r="AW13" s="33"/>
      <c r="AX13" s="410" t="s">
        <v>20</v>
      </c>
      <c r="AY13" s="410"/>
      <c r="AZ13" s="410"/>
      <c r="BA13" s="410"/>
      <c r="BB13" s="410"/>
      <c r="BC13" s="410"/>
      <c r="BD13" s="410"/>
      <c r="BE13" s="410"/>
      <c r="BF13" s="410"/>
      <c r="BG13" s="410"/>
      <c r="BH13" s="410"/>
      <c r="BI13" s="34"/>
      <c r="BK13" s="24" t="s">
        <v>126</v>
      </c>
    </row>
    <row r="14" spans="1:63" ht="7.4" customHeight="1" x14ac:dyDescent="0.5">
      <c r="A14" s="407"/>
      <c r="B14" s="407"/>
      <c r="C14" s="407"/>
      <c r="D14" s="407"/>
      <c r="E14" s="407"/>
      <c r="F14" s="407"/>
      <c r="G14" s="407"/>
      <c r="H14" s="407"/>
      <c r="I14" s="407"/>
      <c r="J14" s="407"/>
      <c r="K14" s="407"/>
      <c r="L14" s="407"/>
      <c r="M14" s="407"/>
      <c r="N14" s="407"/>
      <c r="O14" s="407"/>
      <c r="P14" s="407"/>
      <c r="Q14" s="407"/>
      <c r="R14" s="407"/>
      <c r="S14" s="407"/>
      <c r="T14" s="407"/>
      <c r="U14" s="407"/>
      <c r="V14" s="407"/>
      <c r="W14" s="407"/>
      <c r="X14" s="407"/>
      <c r="Y14" s="407"/>
      <c r="Z14" s="407"/>
      <c r="AA14" s="407"/>
      <c r="AB14" s="407"/>
      <c r="AC14" s="407"/>
      <c r="AD14" s="407"/>
      <c r="AE14" s="407"/>
      <c r="AF14" s="407"/>
      <c r="AG14" s="407"/>
      <c r="AH14" s="407"/>
      <c r="AI14" s="407"/>
      <c r="AJ14" s="407"/>
      <c r="AK14" s="407"/>
      <c r="AL14" s="407"/>
      <c r="AM14" s="33"/>
      <c r="AN14" s="408"/>
      <c r="AO14" s="408"/>
      <c r="AP14" s="408"/>
      <c r="AQ14" s="408"/>
      <c r="AR14" s="408"/>
      <c r="AS14" s="408"/>
      <c r="AT14" s="408"/>
      <c r="AU14" s="408"/>
      <c r="AV14" s="408"/>
      <c r="AW14" s="33"/>
      <c r="AX14" s="410"/>
      <c r="AY14" s="410"/>
      <c r="AZ14" s="410"/>
      <c r="BA14" s="410"/>
      <c r="BB14" s="410"/>
      <c r="BC14" s="410"/>
      <c r="BD14" s="410"/>
      <c r="BE14" s="410"/>
      <c r="BF14" s="410"/>
      <c r="BG14" s="410"/>
      <c r="BH14" s="410"/>
      <c r="BI14" s="34"/>
      <c r="BK14" s="24" t="s">
        <v>17</v>
      </c>
    </row>
    <row r="15" spans="1:63" ht="7.4" customHeight="1" x14ac:dyDescent="0.5">
      <c r="A15" s="407"/>
      <c r="B15" s="407"/>
      <c r="C15" s="407"/>
      <c r="D15" s="407"/>
      <c r="E15" s="407"/>
      <c r="F15" s="407"/>
      <c r="G15" s="407"/>
      <c r="H15" s="407"/>
      <c r="I15" s="407"/>
      <c r="J15" s="407"/>
      <c r="K15" s="407"/>
      <c r="L15" s="407"/>
      <c r="M15" s="407"/>
      <c r="N15" s="407"/>
      <c r="O15" s="407"/>
      <c r="P15" s="407"/>
      <c r="Q15" s="407"/>
      <c r="R15" s="407"/>
      <c r="S15" s="407"/>
      <c r="T15" s="407"/>
      <c r="U15" s="407"/>
      <c r="V15" s="407"/>
      <c r="W15" s="407"/>
      <c r="X15" s="407"/>
      <c r="Y15" s="407"/>
      <c r="Z15" s="407"/>
      <c r="AA15" s="407"/>
      <c r="AB15" s="407"/>
      <c r="AC15" s="407"/>
      <c r="AD15" s="407"/>
      <c r="AE15" s="407"/>
      <c r="AF15" s="407"/>
      <c r="AG15" s="407"/>
      <c r="AH15" s="407"/>
      <c r="AI15" s="407"/>
      <c r="AJ15" s="407"/>
      <c r="AK15" s="407"/>
      <c r="AL15" s="407"/>
      <c r="AM15" s="36"/>
      <c r="AN15" s="36"/>
      <c r="AO15" s="36"/>
      <c r="AP15" s="36"/>
      <c r="AQ15" s="36"/>
      <c r="AR15" s="36"/>
      <c r="AS15" s="36"/>
      <c r="AT15" s="36"/>
      <c r="AU15" s="36"/>
      <c r="AV15" s="36"/>
      <c r="AW15" s="36"/>
      <c r="AX15" s="36"/>
      <c r="AY15" s="36"/>
      <c r="AZ15" s="36"/>
      <c r="BA15" s="36"/>
      <c r="BB15" s="36"/>
      <c r="BC15" s="36"/>
      <c r="BD15" s="36"/>
      <c r="BE15" s="36"/>
      <c r="BF15" s="36"/>
      <c r="BG15" s="36"/>
      <c r="BH15" s="36"/>
      <c r="BI15" s="37"/>
      <c r="BK15" s="24" t="s">
        <v>127</v>
      </c>
    </row>
    <row r="16" spans="1:63" ht="7.4" customHeight="1" x14ac:dyDescent="0.5">
      <c r="A16" s="58"/>
      <c r="B16" s="59"/>
      <c r="C16" s="59"/>
      <c r="D16" s="59"/>
      <c r="E16" s="59"/>
      <c r="F16" s="59"/>
      <c r="G16" s="59"/>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60"/>
      <c r="BK16" s="24" t="s">
        <v>18</v>
      </c>
    </row>
    <row r="17" spans="1:63" ht="7.4" customHeight="1" x14ac:dyDescent="0.5">
      <c r="A17" s="61"/>
      <c r="B17" s="62"/>
      <c r="C17" s="400" t="s">
        <v>25</v>
      </c>
      <c r="D17" s="400"/>
      <c r="E17" s="400"/>
      <c r="F17" s="400"/>
      <c r="G17" s="401"/>
      <c r="H17" s="401"/>
      <c r="I17" s="401"/>
      <c r="J17" s="401"/>
      <c r="K17" s="401"/>
      <c r="L17" s="401"/>
      <c r="M17" s="401"/>
      <c r="N17" s="401"/>
      <c r="O17" s="401"/>
      <c r="P17" s="401"/>
      <c r="Q17" s="401"/>
      <c r="R17" s="401"/>
      <c r="S17" s="401"/>
      <c r="T17" s="401"/>
      <c r="U17" s="401"/>
      <c r="V17" s="401"/>
      <c r="W17" s="401"/>
      <c r="X17" s="401"/>
      <c r="Y17" s="400" t="s">
        <v>26</v>
      </c>
      <c r="Z17" s="400"/>
      <c r="AA17" s="400"/>
      <c r="AB17" s="400"/>
      <c r="AC17" s="400"/>
      <c r="AD17" s="401"/>
      <c r="AE17" s="401"/>
      <c r="AF17" s="401"/>
      <c r="AG17" s="401"/>
      <c r="AH17" s="401"/>
      <c r="AI17" s="401"/>
      <c r="AJ17" s="401"/>
      <c r="AK17" s="401"/>
      <c r="AL17" s="401"/>
      <c r="AM17" s="401"/>
      <c r="AN17" s="401"/>
      <c r="AO17" s="401"/>
      <c r="AP17" s="401"/>
      <c r="AQ17" s="401"/>
      <c r="AR17" s="401"/>
      <c r="AS17" s="401"/>
      <c r="AT17" s="400" t="s">
        <v>27</v>
      </c>
      <c r="AU17" s="400"/>
      <c r="AV17" s="400"/>
      <c r="AW17" s="400"/>
      <c r="AX17" s="402">
        <f ca="1">TODAY()</f>
        <v>45960</v>
      </c>
      <c r="AY17" s="402"/>
      <c r="AZ17" s="402"/>
      <c r="BA17" s="402"/>
      <c r="BB17" s="402"/>
      <c r="BC17" s="402"/>
      <c r="BD17" s="402"/>
      <c r="BE17" s="402"/>
      <c r="BF17" s="402"/>
      <c r="BG17" s="402"/>
      <c r="BH17" s="402"/>
      <c r="BI17" s="63"/>
      <c r="BK17" s="24" t="s">
        <v>165</v>
      </c>
    </row>
    <row r="18" spans="1:63" ht="7.4" customHeight="1" x14ac:dyDescent="0.5">
      <c r="A18" s="61"/>
      <c r="B18" s="62"/>
      <c r="C18" s="400"/>
      <c r="D18" s="400"/>
      <c r="E18" s="400"/>
      <c r="F18" s="400"/>
      <c r="G18" s="401"/>
      <c r="H18" s="401"/>
      <c r="I18" s="401"/>
      <c r="J18" s="401"/>
      <c r="K18" s="401"/>
      <c r="L18" s="401"/>
      <c r="M18" s="401"/>
      <c r="N18" s="401"/>
      <c r="O18" s="401"/>
      <c r="P18" s="401"/>
      <c r="Q18" s="401"/>
      <c r="R18" s="401"/>
      <c r="S18" s="401"/>
      <c r="T18" s="401"/>
      <c r="U18" s="401"/>
      <c r="V18" s="401"/>
      <c r="W18" s="401"/>
      <c r="X18" s="401"/>
      <c r="Y18" s="400"/>
      <c r="Z18" s="400"/>
      <c r="AA18" s="400"/>
      <c r="AB18" s="400"/>
      <c r="AC18" s="400"/>
      <c r="AD18" s="401"/>
      <c r="AE18" s="401"/>
      <c r="AF18" s="401"/>
      <c r="AG18" s="401"/>
      <c r="AH18" s="401"/>
      <c r="AI18" s="401"/>
      <c r="AJ18" s="401"/>
      <c r="AK18" s="401"/>
      <c r="AL18" s="401"/>
      <c r="AM18" s="401"/>
      <c r="AN18" s="401"/>
      <c r="AO18" s="401"/>
      <c r="AP18" s="401"/>
      <c r="AQ18" s="401"/>
      <c r="AR18" s="401"/>
      <c r="AS18" s="401"/>
      <c r="AT18" s="400"/>
      <c r="AU18" s="400"/>
      <c r="AV18" s="400"/>
      <c r="AW18" s="400"/>
      <c r="AX18" s="402"/>
      <c r="AY18" s="402"/>
      <c r="AZ18" s="402"/>
      <c r="BA18" s="402"/>
      <c r="BB18" s="402"/>
      <c r="BC18" s="402"/>
      <c r="BD18" s="402"/>
      <c r="BE18" s="402"/>
      <c r="BF18" s="402"/>
      <c r="BG18" s="402"/>
      <c r="BH18" s="402"/>
      <c r="BI18" s="63"/>
      <c r="BK18" s="24" t="s">
        <v>166</v>
      </c>
    </row>
    <row r="19" spans="1:63" ht="7.4" customHeight="1" x14ac:dyDescent="0.5">
      <c r="A19" s="64"/>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6"/>
      <c r="BK19" s="24" t="s">
        <v>21</v>
      </c>
    </row>
    <row r="20" spans="1:63" ht="7.4" customHeight="1" x14ac:dyDescent="0.5">
      <c r="A20" s="38"/>
      <c r="B20" s="39"/>
      <c r="C20" s="39"/>
      <c r="D20" s="39"/>
      <c r="E20" s="39"/>
      <c r="F20" s="39"/>
      <c r="G20" s="39"/>
      <c r="H20" s="39"/>
      <c r="I20" s="39"/>
      <c r="J20" s="39"/>
      <c r="K20" s="39"/>
      <c r="L20" s="39"/>
      <c r="M20" s="39"/>
      <c r="N20" s="39"/>
      <c r="O20" s="39"/>
      <c r="P20" s="39"/>
      <c r="Q20" s="39"/>
      <c r="R20" s="39"/>
      <c r="S20" s="67"/>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9"/>
      <c r="AR20" s="39"/>
      <c r="AS20" s="39"/>
      <c r="AT20" s="39"/>
      <c r="AU20" s="39"/>
      <c r="AV20" s="39"/>
      <c r="AW20" s="39"/>
      <c r="AX20" s="39"/>
      <c r="AY20" s="39"/>
      <c r="AZ20" s="39"/>
      <c r="BA20" s="39"/>
      <c r="BB20" s="39"/>
      <c r="BC20" s="39"/>
      <c r="BD20" s="39"/>
      <c r="BE20" s="39"/>
      <c r="BF20" s="39"/>
      <c r="BG20" s="39"/>
      <c r="BH20" s="39"/>
      <c r="BI20" s="40"/>
      <c r="BK20" s="24" t="s">
        <v>167</v>
      </c>
    </row>
    <row r="21" spans="1:63" ht="7.4" customHeight="1" x14ac:dyDescent="0.5">
      <c r="A21" s="42"/>
      <c r="S21" s="70"/>
      <c r="T21" s="509" t="str">
        <f>"Roof Top Flush Railed ("&amp;$AO$35&amp;")"</f>
        <v>Roof Top Flush Railed (IBR)</v>
      </c>
      <c r="U21" s="509"/>
      <c r="V21" s="509"/>
      <c r="W21" s="509"/>
      <c r="X21" s="509"/>
      <c r="Y21" s="509"/>
      <c r="Z21" s="509"/>
      <c r="AA21" s="509"/>
      <c r="AB21" s="509"/>
      <c r="AC21" s="509"/>
      <c r="AD21" s="509"/>
      <c r="AE21" s="509"/>
      <c r="AF21" s="509"/>
      <c r="AG21" s="509"/>
      <c r="AH21" s="509"/>
      <c r="AI21" s="509"/>
      <c r="AJ21" s="509"/>
      <c r="AK21" s="509"/>
      <c r="AL21" s="509"/>
      <c r="AM21" s="509"/>
      <c r="AN21" s="509"/>
      <c r="AO21" s="509"/>
      <c r="AP21" s="509"/>
      <c r="AQ21" s="71"/>
      <c r="BI21" s="41"/>
      <c r="BK21" s="24" t="s">
        <v>22</v>
      </c>
    </row>
    <row r="22" spans="1:63" ht="7.4" customHeight="1" x14ac:dyDescent="0.5">
      <c r="A22" s="42"/>
      <c r="S22" s="70"/>
      <c r="T22" s="509"/>
      <c r="U22" s="509"/>
      <c r="V22" s="509"/>
      <c r="W22" s="509"/>
      <c r="X22" s="509"/>
      <c r="Y22" s="509"/>
      <c r="Z22" s="509"/>
      <c r="AA22" s="509"/>
      <c r="AB22" s="509"/>
      <c r="AC22" s="509"/>
      <c r="AD22" s="509"/>
      <c r="AE22" s="509"/>
      <c r="AF22" s="509"/>
      <c r="AG22" s="509"/>
      <c r="AH22" s="509"/>
      <c r="AI22" s="509"/>
      <c r="AJ22" s="509"/>
      <c r="AK22" s="509"/>
      <c r="AL22" s="509"/>
      <c r="AM22" s="509"/>
      <c r="AN22" s="509"/>
      <c r="AO22" s="509"/>
      <c r="AP22" s="509"/>
      <c r="AQ22" s="71"/>
      <c r="BI22" s="41"/>
      <c r="BK22" s="24" t="s">
        <v>168</v>
      </c>
    </row>
    <row r="23" spans="1:63" ht="7.4" customHeight="1" x14ac:dyDescent="0.5">
      <c r="A23" s="42"/>
      <c r="S23" s="72"/>
      <c r="T23" s="73"/>
      <c r="U23" s="73"/>
      <c r="V23" s="73"/>
      <c r="W23" s="73"/>
      <c r="X23" s="73"/>
      <c r="Y23" s="73"/>
      <c r="Z23" s="73"/>
      <c r="AA23" s="73"/>
      <c r="AB23" s="73"/>
      <c r="AC23" s="73"/>
      <c r="AD23" s="73"/>
      <c r="AE23" s="73"/>
      <c r="AF23" s="73"/>
      <c r="AG23" s="73"/>
      <c r="AH23" s="73"/>
      <c r="AI23" s="73"/>
      <c r="AJ23" s="73"/>
      <c r="AK23" s="73"/>
      <c r="AL23" s="73"/>
      <c r="AM23" s="73"/>
      <c r="AN23" s="73"/>
      <c r="AO23" s="73"/>
      <c r="AP23" s="73"/>
      <c r="AQ23" s="74"/>
      <c r="BI23" s="41"/>
      <c r="BK23" s="24" t="s">
        <v>23</v>
      </c>
    </row>
    <row r="24" spans="1:63" ht="7.4" customHeight="1" x14ac:dyDescent="0.5">
      <c r="A24" s="42"/>
      <c r="BI24" s="41"/>
      <c r="BK24" s="24" t="s">
        <v>24</v>
      </c>
    </row>
    <row r="25" spans="1:63" ht="7.4" customHeight="1" x14ac:dyDescent="0.5">
      <c r="A25" s="42"/>
      <c r="B25" s="299" t="s">
        <v>59</v>
      </c>
      <c r="C25" s="363"/>
      <c r="D25" s="363"/>
      <c r="E25" s="363"/>
      <c r="F25" s="363"/>
      <c r="G25" s="363"/>
      <c r="H25" s="363"/>
      <c r="I25" s="363"/>
      <c r="J25" s="363"/>
      <c r="K25" s="363"/>
      <c r="L25" s="363"/>
      <c r="M25" s="363"/>
      <c r="N25" s="363"/>
      <c r="O25" s="363"/>
      <c r="P25" s="363"/>
      <c r="Q25" s="363"/>
      <c r="R25" s="363"/>
      <c r="S25" s="363"/>
      <c r="T25" s="363"/>
      <c r="U25" s="363"/>
      <c r="V25" s="363"/>
      <c r="W25" s="363"/>
      <c r="X25" s="363"/>
      <c r="Y25" s="363"/>
      <c r="Z25" s="363"/>
      <c r="AA25" s="363"/>
      <c r="AB25" s="363"/>
      <c r="AC25" s="364"/>
      <c r="AE25" s="299" t="s">
        <v>60</v>
      </c>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4"/>
      <c r="BI25" s="41"/>
      <c r="BK25" s="24" t="s">
        <v>169</v>
      </c>
    </row>
    <row r="26" spans="1:63" ht="7.4" customHeight="1" x14ac:dyDescent="0.5">
      <c r="A26" s="42"/>
      <c r="B26" s="365"/>
      <c r="C26" s="366"/>
      <c r="D26" s="366"/>
      <c r="E26" s="366"/>
      <c r="F26" s="366"/>
      <c r="G26" s="366"/>
      <c r="H26" s="366"/>
      <c r="I26" s="366"/>
      <c r="J26" s="366"/>
      <c r="K26" s="366"/>
      <c r="L26" s="366"/>
      <c r="M26" s="366"/>
      <c r="N26" s="366"/>
      <c r="O26" s="366"/>
      <c r="P26" s="366"/>
      <c r="Q26" s="366"/>
      <c r="R26" s="366"/>
      <c r="S26" s="366"/>
      <c r="T26" s="366"/>
      <c r="U26" s="366"/>
      <c r="V26" s="366"/>
      <c r="W26" s="366"/>
      <c r="X26" s="366"/>
      <c r="Y26" s="366"/>
      <c r="Z26" s="366"/>
      <c r="AA26" s="366"/>
      <c r="AB26" s="366"/>
      <c r="AC26" s="367"/>
      <c r="AE26" s="365"/>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7"/>
      <c r="BI26" s="41"/>
      <c r="BK26" s="24" t="s">
        <v>170</v>
      </c>
    </row>
    <row r="27" spans="1:63" ht="7.4" customHeight="1" x14ac:dyDescent="0.5">
      <c r="A27" s="42"/>
      <c r="B27" s="368"/>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70"/>
      <c r="AE27" s="368"/>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70"/>
      <c r="BI27" s="41"/>
      <c r="BK27" s="24" t="s">
        <v>171</v>
      </c>
    </row>
    <row r="28" spans="1:63" ht="7.4" customHeight="1" x14ac:dyDescent="0.5">
      <c r="A28" s="42"/>
      <c r="B28" s="58"/>
      <c r="C28" s="503" t="s">
        <v>61</v>
      </c>
      <c r="D28" s="503"/>
      <c r="E28" s="503"/>
      <c r="F28" s="503"/>
      <c r="G28" s="503"/>
      <c r="H28" s="503"/>
      <c r="I28" s="503"/>
      <c r="J28" s="503"/>
      <c r="K28" s="503"/>
      <c r="L28" s="503"/>
      <c r="M28" s="503"/>
      <c r="N28" s="503"/>
      <c r="O28" s="503"/>
      <c r="P28" s="503"/>
      <c r="Q28" s="503"/>
      <c r="R28" s="504"/>
      <c r="S28" s="39"/>
      <c r="T28" s="380" t="str">
        <f>(J43*BC43)/1000 &amp; " kWp"</f>
        <v>150 kWp</v>
      </c>
      <c r="U28" s="380"/>
      <c r="V28" s="380"/>
      <c r="W28" s="380"/>
      <c r="X28" s="380"/>
      <c r="Y28" s="380"/>
      <c r="Z28" s="380"/>
      <c r="AA28" s="380"/>
      <c r="AB28" s="380"/>
      <c r="AC28" s="381"/>
      <c r="AD28" s="108"/>
      <c r="AE28" s="137"/>
      <c r="AF28" s="503" t="s">
        <v>62</v>
      </c>
      <c r="AG28" s="503"/>
      <c r="AH28" s="503"/>
      <c r="AI28" s="503"/>
      <c r="AJ28" s="503"/>
      <c r="AK28" s="503"/>
      <c r="AL28" s="503"/>
      <c r="AM28" s="504"/>
      <c r="AN28" s="77"/>
      <c r="AO28" s="534" t="s">
        <v>128</v>
      </c>
      <c r="AP28" s="534"/>
      <c r="AQ28" s="534"/>
      <c r="AR28" s="534"/>
      <c r="AS28" s="534"/>
      <c r="AT28" s="534"/>
      <c r="AU28" s="534"/>
      <c r="AV28" s="534"/>
      <c r="AW28" s="534"/>
      <c r="AX28" s="534"/>
      <c r="AY28" s="534"/>
      <c r="AZ28" s="534"/>
      <c r="BA28" s="534"/>
      <c r="BB28" s="534"/>
      <c r="BC28" s="534"/>
      <c r="BD28" s="534"/>
      <c r="BE28" s="534"/>
      <c r="BF28" s="534"/>
      <c r="BG28" s="534"/>
      <c r="BH28" s="535"/>
      <c r="BI28" s="124"/>
      <c r="BK28" s="24" t="s">
        <v>172</v>
      </c>
    </row>
    <row r="29" spans="1:63" ht="7.4" customHeight="1" x14ac:dyDescent="0.5">
      <c r="A29" s="42"/>
      <c r="B29" s="61"/>
      <c r="C29" s="400"/>
      <c r="D29" s="400"/>
      <c r="E29" s="400"/>
      <c r="F29" s="400"/>
      <c r="G29" s="400"/>
      <c r="H29" s="400"/>
      <c r="I29" s="400"/>
      <c r="J29" s="400"/>
      <c r="K29" s="400"/>
      <c r="L29" s="400"/>
      <c r="M29" s="400"/>
      <c r="N29" s="400"/>
      <c r="O29" s="400"/>
      <c r="P29" s="400"/>
      <c r="Q29" s="400"/>
      <c r="R29" s="448"/>
      <c r="T29" s="382"/>
      <c r="U29" s="382"/>
      <c r="V29" s="382"/>
      <c r="W29" s="382"/>
      <c r="X29" s="382"/>
      <c r="Y29" s="382"/>
      <c r="Z29" s="382"/>
      <c r="AA29" s="382"/>
      <c r="AB29" s="382"/>
      <c r="AC29" s="383"/>
      <c r="AD29" s="25"/>
      <c r="AE29" s="139"/>
      <c r="AF29" s="400"/>
      <c r="AG29" s="400"/>
      <c r="AH29" s="400"/>
      <c r="AI29" s="400"/>
      <c r="AJ29" s="400"/>
      <c r="AK29" s="400"/>
      <c r="AL29" s="400"/>
      <c r="AM29" s="448"/>
      <c r="AN29" s="25"/>
      <c r="AO29" s="316"/>
      <c r="AP29" s="316"/>
      <c r="AQ29" s="316"/>
      <c r="AR29" s="316"/>
      <c r="AS29" s="316"/>
      <c r="AT29" s="316"/>
      <c r="AU29" s="316"/>
      <c r="AV29" s="316"/>
      <c r="AW29" s="316"/>
      <c r="AX29" s="316"/>
      <c r="AY29" s="316"/>
      <c r="AZ29" s="316"/>
      <c r="BA29" s="316"/>
      <c r="BB29" s="316"/>
      <c r="BC29" s="316"/>
      <c r="BD29" s="316"/>
      <c r="BE29" s="316"/>
      <c r="BF29" s="316"/>
      <c r="BG29" s="316"/>
      <c r="BH29" s="317"/>
      <c r="BI29" s="124"/>
      <c r="BK29" s="24" t="s">
        <v>173</v>
      </c>
    </row>
    <row r="30" spans="1:63" ht="7.4" customHeight="1" x14ac:dyDescent="0.5">
      <c r="A30" s="42"/>
      <c r="B30" s="61"/>
      <c r="C30" s="400"/>
      <c r="D30" s="400"/>
      <c r="E30" s="400"/>
      <c r="F30" s="400"/>
      <c r="G30" s="400"/>
      <c r="H30" s="400"/>
      <c r="I30" s="400"/>
      <c r="J30" s="400"/>
      <c r="K30" s="400"/>
      <c r="L30" s="400"/>
      <c r="M30" s="400"/>
      <c r="N30" s="400"/>
      <c r="O30" s="400"/>
      <c r="P30" s="400"/>
      <c r="Q30" s="400"/>
      <c r="R30" s="448"/>
      <c r="T30" s="388"/>
      <c r="U30" s="388"/>
      <c r="V30" s="388"/>
      <c r="W30" s="388"/>
      <c r="X30" s="388"/>
      <c r="Y30" s="388"/>
      <c r="Z30" s="388"/>
      <c r="AA30" s="388"/>
      <c r="AB30" s="388"/>
      <c r="AC30" s="389"/>
      <c r="AD30" s="25"/>
      <c r="AE30" s="139"/>
      <c r="AF30" s="400"/>
      <c r="AG30" s="400"/>
      <c r="AH30" s="400"/>
      <c r="AI30" s="400"/>
      <c r="AJ30" s="400"/>
      <c r="AK30" s="400"/>
      <c r="AL30" s="400"/>
      <c r="AM30" s="448"/>
      <c r="AN30" s="79"/>
      <c r="AO30" s="536"/>
      <c r="AP30" s="536"/>
      <c r="AQ30" s="536"/>
      <c r="AR30" s="536"/>
      <c r="AS30" s="536"/>
      <c r="AT30" s="536"/>
      <c r="AU30" s="536"/>
      <c r="AV30" s="536"/>
      <c r="AW30" s="536"/>
      <c r="AX30" s="536"/>
      <c r="AY30" s="536"/>
      <c r="AZ30" s="536"/>
      <c r="BA30" s="536"/>
      <c r="BB30" s="536"/>
      <c r="BC30" s="536"/>
      <c r="BD30" s="536"/>
      <c r="BE30" s="536"/>
      <c r="BF30" s="536"/>
      <c r="BG30" s="536"/>
      <c r="BH30" s="537"/>
      <c r="BI30" s="124"/>
      <c r="BK30" s="24" t="s">
        <v>174</v>
      </c>
    </row>
    <row r="31" spans="1:63" ht="7.4" customHeight="1" x14ac:dyDescent="0.5">
      <c r="A31" s="42"/>
      <c r="B31" s="61"/>
      <c r="C31" s="400" t="s">
        <v>65</v>
      </c>
      <c r="D31" s="400"/>
      <c r="E31" s="400"/>
      <c r="F31" s="400"/>
      <c r="G31" s="400"/>
      <c r="H31" s="400"/>
      <c r="I31" s="400"/>
      <c r="J31" s="400"/>
      <c r="K31" s="400"/>
      <c r="L31" s="400"/>
      <c r="M31" s="400"/>
      <c r="N31" s="400"/>
      <c r="O31" s="400"/>
      <c r="P31" s="400"/>
      <c r="Q31" s="400"/>
      <c r="R31" s="448"/>
      <c r="S31" s="39"/>
      <c r="T31" s="489" t="s">
        <v>175</v>
      </c>
      <c r="U31" s="489"/>
      <c r="V31" s="489"/>
      <c r="W31" s="489"/>
      <c r="X31" s="489"/>
      <c r="Y31" s="489"/>
      <c r="Z31" s="489"/>
      <c r="AA31" s="489"/>
      <c r="AB31" s="489"/>
      <c r="AC31" s="490"/>
      <c r="AD31" s="25"/>
      <c r="AE31" s="139"/>
      <c r="AF31" s="400" t="s">
        <v>67</v>
      </c>
      <c r="AG31" s="400"/>
      <c r="AH31" s="400"/>
      <c r="AI31" s="400"/>
      <c r="AJ31" s="400"/>
      <c r="AK31" s="400"/>
      <c r="AL31" s="400"/>
      <c r="AM31" s="448"/>
      <c r="AN31" s="77"/>
      <c r="AO31" s="489" t="s">
        <v>176</v>
      </c>
      <c r="AP31" s="489"/>
      <c r="AQ31" s="489"/>
      <c r="AR31" s="489"/>
      <c r="AS31" s="489"/>
      <c r="AT31" s="489"/>
      <c r="AU31" s="489"/>
      <c r="AV31" s="489"/>
      <c r="AW31" s="489"/>
      <c r="AX31" s="489"/>
      <c r="AY31" s="489"/>
      <c r="AZ31" s="489"/>
      <c r="BA31" s="489"/>
      <c r="BB31" s="489"/>
      <c r="BC31" s="489"/>
      <c r="BD31" s="489"/>
      <c r="BE31" s="489"/>
      <c r="BF31" s="489"/>
      <c r="BG31" s="489"/>
      <c r="BH31" s="490"/>
      <c r="BI31" s="124"/>
      <c r="BK31" s="24" t="s">
        <v>177</v>
      </c>
    </row>
    <row r="32" spans="1:63" ht="7.4" customHeight="1" x14ac:dyDescent="0.5">
      <c r="A32" s="42"/>
      <c r="B32" s="61"/>
      <c r="C32" s="400"/>
      <c r="D32" s="400"/>
      <c r="E32" s="400"/>
      <c r="F32" s="400"/>
      <c r="G32" s="400"/>
      <c r="H32" s="400"/>
      <c r="I32" s="400"/>
      <c r="J32" s="400"/>
      <c r="K32" s="400"/>
      <c r="L32" s="400"/>
      <c r="M32" s="400"/>
      <c r="N32" s="400"/>
      <c r="O32" s="400"/>
      <c r="P32" s="400"/>
      <c r="Q32" s="400"/>
      <c r="R32" s="448"/>
      <c r="T32" s="405"/>
      <c r="U32" s="405"/>
      <c r="V32" s="405"/>
      <c r="W32" s="405"/>
      <c r="X32" s="405"/>
      <c r="Y32" s="405"/>
      <c r="Z32" s="405"/>
      <c r="AA32" s="405"/>
      <c r="AB32" s="405"/>
      <c r="AC32" s="411"/>
      <c r="AD32" s="25"/>
      <c r="AE32" s="139"/>
      <c r="AF32" s="400"/>
      <c r="AG32" s="400"/>
      <c r="AH32" s="400"/>
      <c r="AI32" s="400"/>
      <c r="AJ32" s="400"/>
      <c r="AK32" s="400"/>
      <c r="AL32" s="400"/>
      <c r="AM32" s="448"/>
      <c r="AN32" s="25"/>
      <c r="AO32" s="405"/>
      <c r="AP32" s="405"/>
      <c r="AQ32" s="405"/>
      <c r="AR32" s="405"/>
      <c r="AS32" s="405"/>
      <c r="AT32" s="405"/>
      <c r="AU32" s="405"/>
      <c r="AV32" s="405"/>
      <c r="AW32" s="405"/>
      <c r="AX32" s="405"/>
      <c r="AY32" s="405"/>
      <c r="AZ32" s="405"/>
      <c r="BA32" s="405"/>
      <c r="BB32" s="405"/>
      <c r="BC32" s="405"/>
      <c r="BD32" s="405"/>
      <c r="BE32" s="405"/>
      <c r="BF32" s="405"/>
      <c r="BG32" s="405"/>
      <c r="BH32" s="411"/>
      <c r="BI32" s="124"/>
      <c r="BK32" s="24" t="s">
        <v>178</v>
      </c>
    </row>
    <row r="33" spans="1:82" ht="7.4" customHeight="1" x14ac:dyDescent="0.5">
      <c r="A33" s="42"/>
      <c r="B33" s="64"/>
      <c r="C33" s="487"/>
      <c r="D33" s="487"/>
      <c r="E33" s="487"/>
      <c r="F33" s="487"/>
      <c r="G33" s="487"/>
      <c r="H33" s="487"/>
      <c r="I33" s="487"/>
      <c r="J33" s="487"/>
      <c r="K33" s="487"/>
      <c r="L33" s="487"/>
      <c r="M33" s="487"/>
      <c r="N33" s="487"/>
      <c r="O33" s="487"/>
      <c r="P33" s="487"/>
      <c r="Q33" s="487"/>
      <c r="R33" s="488"/>
      <c r="S33" s="51"/>
      <c r="T33" s="491"/>
      <c r="U33" s="491"/>
      <c r="V33" s="491"/>
      <c r="W33" s="491"/>
      <c r="X33" s="491"/>
      <c r="Y33" s="491"/>
      <c r="Z33" s="491"/>
      <c r="AA33" s="491"/>
      <c r="AB33" s="491"/>
      <c r="AC33" s="492"/>
      <c r="AD33" s="25"/>
      <c r="AE33" s="139"/>
      <c r="AF33" s="400"/>
      <c r="AG33" s="400"/>
      <c r="AH33" s="400"/>
      <c r="AI33" s="400"/>
      <c r="AJ33" s="400"/>
      <c r="AK33" s="400"/>
      <c r="AL33" s="400"/>
      <c r="AM33" s="448"/>
      <c r="AN33" s="135"/>
      <c r="AO33" s="491"/>
      <c r="AP33" s="491"/>
      <c r="AQ33" s="491"/>
      <c r="AR33" s="491"/>
      <c r="AS33" s="491"/>
      <c r="AT33" s="491"/>
      <c r="AU33" s="491"/>
      <c r="AV33" s="491"/>
      <c r="AW33" s="491"/>
      <c r="AX33" s="491"/>
      <c r="AY33" s="491"/>
      <c r="AZ33" s="491"/>
      <c r="BA33" s="491"/>
      <c r="BB33" s="491"/>
      <c r="BC33" s="491"/>
      <c r="BD33" s="491"/>
      <c r="BE33" s="491"/>
      <c r="BF33" s="491"/>
      <c r="BG33" s="491"/>
      <c r="BH33" s="492"/>
      <c r="BI33" s="124"/>
      <c r="BK33" s="24" t="s">
        <v>179</v>
      </c>
    </row>
    <row r="34" spans="1:82" ht="7.4" customHeight="1" x14ac:dyDescent="0.5">
      <c r="A34" s="42"/>
      <c r="C34" s="79"/>
      <c r="D34" s="79"/>
      <c r="E34" s="79"/>
      <c r="F34" s="79"/>
      <c r="G34" s="79"/>
      <c r="H34" s="79"/>
      <c r="I34" s="79"/>
      <c r="J34" s="79"/>
      <c r="K34" s="79"/>
      <c r="L34" s="79"/>
      <c r="M34" s="79"/>
      <c r="N34" s="79"/>
      <c r="O34" s="79"/>
      <c r="P34" s="79"/>
      <c r="Q34" s="79"/>
      <c r="R34" s="79"/>
      <c r="T34" s="141"/>
      <c r="U34" s="141"/>
      <c r="V34" s="141"/>
      <c r="W34" s="141"/>
      <c r="X34" s="141"/>
      <c r="Y34" s="141"/>
      <c r="Z34" s="141"/>
      <c r="AA34" s="141"/>
      <c r="AB34" s="141"/>
      <c r="AC34" s="141"/>
      <c r="AD34" s="108"/>
      <c r="AE34" s="142"/>
      <c r="AF34" s="400" t="s">
        <v>132</v>
      </c>
      <c r="AG34" s="400"/>
      <c r="AH34" s="400"/>
      <c r="AI34" s="400"/>
      <c r="AJ34" s="400"/>
      <c r="AK34" s="400"/>
      <c r="AL34" s="400"/>
      <c r="AM34" s="448"/>
      <c r="AN34" s="79"/>
      <c r="AO34" s="79"/>
      <c r="AP34" s="79"/>
      <c r="AQ34" s="79"/>
      <c r="AR34" s="79"/>
      <c r="AS34" s="79"/>
      <c r="AT34" s="79"/>
      <c r="AU34" s="79"/>
      <c r="AV34" s="79"/>
      <c r="AW34" s="79"/>
      <c r="AX34" s="79"/>
      <c r="AY34" s="79"/>
      <c r="AZ34" s="79"/>
      <c r="BA34" s="79"/>
      <c r="BB34" s="79"/>
      <c r="BC34" s="481" t="s">
        <v>180</v>
      </c>
      <c r="BD34" s="481"/>
      <c r="BE34" s="481"/>
      <c r="BF34" s="481"/>
      <c r="BG34" s="481"/>
      <c r="BH34" s="482"/>
      <c r="BI34" s="124"/>
      <c r="BK34" s="24" t="s">
        <v>181</v>
      </c>
    </row>
    <row r="35" spans="1:82" ht="7.4" customHeight="1" x14ac:dyDescent="0.5">
      <c r="A35" s="42"/>
      <c r="C35" s="79"/>
      <c r="D35" s="79"/>
      <c r="E35" s="79"/>
      <c r="F35" s="79"/>
      <c r="G35" s="79"/>
      <c r="H35" s="79"/>
      <c r="I35" s="79"/>
      <c r="J35" s="79"/>
      <c r="K35" s="79"/>
      <c r="L35" s="79"/>
      <c r="M35" s="79"/>
      <c r="N35" s="79"/>
      <c r="O35" s="79"/>
      <c r="P35" s="79"/>
      <c r="Q35" s="79"/>
      <c r="R35" s="79"/>
      <c r="T35" s="141"/>
      <c r="U35" s="141"/>
      <c r="V35" s="141"/>
      <c r="W35" s="141"/>
      <c r="X35" s="141"/>
      <c r="Y35" s="141"/>
      <c r="Z35" s="141"/>
      <c r="AA35" s="141"/>
      <c r="AB35" s="141"/>
      <c r="AC35" s="141"/>
      <c r="AD35" s="25"/>
      <c r="AE35" s="139"/>
      <c r="AF35" s="400"/>
      <c r="AG35" s="400"/>
      <c r="AH35" s="400"/>
      <c r="AI35" s="400"/>
      <c r="AJ35" s="400"/>
      <c r="AK35" s="400"/>
      <c r="AL35" s="400"/>
      <c r="AM35" s="448"/>
      <c r="AN35" s="25"/>
      <c r="AO35" s="347" t="s">
        <v>14</v>
      </c>
      <c r="AP35" s="347"/>
      <c r="AQ35" s="347"/>
      <c r="AR35" s="347"/>
      <c r="AS35" s="347"/>
      <c r="AT35" s="347"/>
      <c r="AU35" s="347"/>
      <c r="AV35" s="347"/>
      <c r="AW35" s="333" t="s">
        <v>133</v>
      </c>
      <c r="AX35" s="311" t="str">
        <f>IF(MID(AO35,1,4)="Tile","1200","1500")</f>
        <v>1500</v>
      </c>
      <c r="AY35" s="311"/>
      <c r="AZ35" s="311"/>
      <c r="BA35" s="460" t="s">
        <v>69</v>
      </c>
      <c r="BB35" s="460"/>
      <c r="BC35" s="483"/>
      <c r="BD35" s="483"/>
      <c r="BE35" s="483"/>
      <c r="BF35" s="483"/>
      <c r="BG35" s="483"/>
      <c r="BH35" s="484"/>
      <c r="BI35" s="124"/>
      <c r="BK35" s="24" t="s">
        <v>28</v>
      </c>
    </row>
    <row r="36" spans="1:82" ht="7.4" customHeight="1" x14ac:dyDescent="0.5">
      <c r="A36" s="42"/>
      <c r="C36" s="79"/>
      <c r="D36" s="79"/>
      <c r="E36" s="79"/>
      <c r="F36" s="79"/>
      <c r="G36" s="79"/>
      <c r="H36" s="79"/>
      <c r="I36" s="79"/>
      <c r="J36" s="79"/>
      <c r="K36" s="79"/>
      <c r="L36" s="79"/>
      <c r="M36" s="79"/>
      <c r="N36" s="79"/>
      <c r="O36" s="79"/>
      <c r="P36" s="79"/>
      <c r="Q36" s="79"/>
      <c r="R36" s="79"/>
      <c r="T36" s="141"/>
      <c r="U36" s="141"/>
      <c r="V36" s="141"/>
      <c r="W36" s="141"/>
      <c r="X36" s="141"/>
      <c r="Y36" s="141"/>
      <c r="Z36" s="141"/>
      <c r="AA36" s="141"/>
      <c r="AB36" s="141"/>
      <c r="AC36" s="141"/>
      <c r="AD36" s="25"/>
      <c r="AE36" s="139"/>
      <c r="AF36" s="400"/>
      <c r="AG36" s="400"/>
      <c r="AH36" s="400"/>
      <c r="AI36" s="400"/>
      <c r="AJ36" s="400"/>
      <c r="AK36" s="400"/>
      <c r="AL36" s="400"/>
      <c r="AM36" s="448"/>
      <c r="AN36" s="25"/>
      <c r="AO36" s="347"/>
      <c r="AP36" s="347"/>
      <c r="AQ36" s="347"/>
      <c r="AR36" s="347"/>
      <c r="AS36" s="347"/>
      <c r="AT36" s="347"/>
      <c r="AU36" s="347"/>
      <c r="AV36" s="347"/>
      <c r="AW36" s="333"/>
      <c r="AX36" s="311"/>
      <c r="AY36" s="311"/>
      <c r="AZ36" s="311"/>
      <c r="BA36" s="460"/>
      <c r="BB36" s="460"/>
      <c r="BC36" s="483"/>
      <c r="BD36" s="483"/>
      <c r="BE36" s="483"/>
      <c r="BF36" s="483"/>
      <c r="BG36" s="483"/>
      <c r="BH36" s="484"/>
      <c r="BI36" s="124"/>
    </row>
    <row r="37" spans="1:82" ht="7.4" customHeight="1" x14ac:dyDescent="0.5">
      <c r="A37" s="42"/>
      <c r="C37" s="79"/>
      <c r="D37" s="79"/>
      <c r="E37" s="79"/>
      <c r="F37" s="79"/>
      <c r="G37" s="79"/>
      <c r="H37" s="79"/>
      <c r="I37" s="79"/>
      <c r="J37" s="79"/>
      <c r="K37" s="79"/>
      <c r="L37" s="79"/>
      <c r="M37" s="79"/>
      <c r="N37" s="79"/>
      <c r="O37" s="79"/>
      <c r="P37" s="79"/>
      <c r="Q37" s="79"/>
      <c r="R37" s="79"/>
      <c r="T37" s="141"/>
      <c r="U37" s="141"/>
      <c r="V37" s="141"/>
      <c r="W37" s="141"/>
      <c r="X37" s="141"/>
      <c r="Y37" s="141"/>
      <c r="Z37" s="141"/>
      <c r="AA37" s="141"/>
      <c r="AB37" s="141"/>
      <c r="AC37" s="141"/>
      <c r="AD37" s="25"/>
      <c r="AE37" s="145"/>
      <c r="AF37" s="487"/>
      <c r="AG37" s="487"/>
      <c r="AH37" s="487"/>
      <c r="AI37" s="487"/>
      <c r="AJ37" s="487"/>
      <c r="AK37" s="487"/>
      <c r="AL37" s="487"/>
      <c r="AM37" s="488"/>
      <c r="AN37" s="135"/>
      <c r="AO37" s="135"/>
      <c r="AP37" s="135"/>
      <c r="AQ37" s="51"/>
      <c r="AR37" s="51"/>
      <c r="AS37" s="135"/>
      <c r="AT37" s="135"/>
      <c r="AU37" s="135"/>
      <c r="AV37" s="135"/>
      <c r="AW37" s="135"/>
      <c r="AX37" s="135"/>
      <c r="AY37" s="135"/>
      <c r="AZ37" s="135"/>
      <c r="BA37" s="135"/>
      <c r="BB37" s="135"/>
      <c r="BC37" s="485"/>
      <c r="BD37" s="485"/>
      <c r="BE37" s="485"/>
      <c r="BF37" s="485"/>
      <c r="BG37" s="485"/>
      <c r="BH37" s="486"/>
      <c r="BI37" s="124"/>
    </row>
    <row r="38" spans="1:82" ht="7.4" customHeight="1" x14ac:dyDescent="0.5">
      <c r="A38" s="42"/>
      <c r="X38" s="25"/>
      <c r="Y38" s="25"/>
      <c r="Z38" s="25"/>
      <c r="AA38" s="25"/>
      <c r="AB38" s="25"/>
      <c r="AC38" s="25"/>
      <c r="AD38" s="25"/>
      <c r="AE38" s="25"/>
      <c r="AF38" s="25"/>
      <c r="AG38" s="25"/>
      <c r="AH38" s="25"/>
      <c r="AI38" s="25"/>
      <c r="AJ38" s="25"/>
      <c r="AL38" s="79"/>
      <c r="AM38" s="79"/>
      <c r="AN38" s="79"/>
      <c r="AO38" s="79"/>
      <c r="AP38" s="79"/>
      <c r="AQ38" s="79"/>
      <c r="AR38" s="79"/>
      <c r="AS38" s="79"/>
      <c r="AV38" s="79"/>
      <c r="AW38" s="79"/>
      <c r="AX38" s="79"/>
      <c r="AY38" s="79"/>
      <c r="AZ38" s="79"/>
      <c r="BA38" s="79"/>
      <c r="BB38" s="79"/>
      <c r="BC38" s="79"/>
      <c r="BD38" s="79"/>
      <c r="BE38" s="79"/>
      <c r="BF38" s="79"/>
      <c r="BG38" s="79"/>
      <c r="BH38" s="79"/>
      <c r="BI38" s="124"/>
    </row>
    <row r="39" spans="1:82" ht="7.4" customHeight="1" x14ac:dyDescent="0.5">
      <c r="A39" s="42"/>
      <c r="B39" s="299" t="s">
        <v>73</v>
      </c>
      <c r="C39" s="363"/>
      <c r="D39" s="363"/>
      <c r="E39" s="363"/>
      <c r="F39" s="363"/>
      <c r="G39" s="363"/>
      <c r="H39" s="363"/>
      <c r="I39" s="363"/>
      <c r="J39" s="363"/>
      <c r="K39" s="363"/>
      <c r="L39" s="363"/>
      <c r="M39" s="363"/>
      <c r="N39" s="363"/>
      <c r="O39" s="363"/>
      <c r="P39" s="363"/>
      <c r="Q39" s="363"/>
      <c r="R39" s="363"/>
      <c r="S39" s="363"/>
      <c r="T39" s="363"/>
      <c r="U39" s="363"/>
      <c r="V39" s="363"/>
      <c r="W39" s="363"/>
      <c r="X39" s="363"/>
      <c r="Y39" s="363"/>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363"/>
      <c r="BC39" s="363"/>
      <c r="BD39" s="363"/>
      <c r="BE39" s="363"/>
      <c r="BF39" s="363"/>
      <c r="BG39" s="363"/>
      <c r="BH39" s="364"/>
      <c r="BI39" s="124"/>
    </row>
    <row r="40" spans="1:82" ht="7.4" customHeight="1" x14ac:dyDescent="0.5">
      <c r="A40" s="42"/>
      <c r="B40" s="365"/>
      <c r="C40" s="366"/>
      <c r="D40" s="366"/>
      <c r="E40" s="366"/>
      <c r="F40" s="366"/>
      <c r="G40" s="366"/>
      <c r="H40" s="366"/>
      <c r="I40" s="366"/>
      <c r="J40" s="366"/>
      <c r="K40" s="366"/>
      <c r="L40" s="366"/>
      <c r="M40" s="366"/>
      <c r="N40" s="366"/>
      <c r="O40" s="366"/>
      <c r="P40" s="366"/>
      <c r="Q40" s="366"/>
      <c r="R40" s="366"/>
      <c r="S40" s="366"/>
      <c r="T40" s="366"/>
      <c r="U40" s="366"/>
      <c r="V40" s="366"/>
      <c r="W40" s="366"/>
      <c r="X40" s="366"/>
      <c r="Y40" s="366"/>
      <c r="Z40" s="366"/>
      <c r="AA40" s="366"/>
      <c r="AB40" s="366"/>
      <c r="AC40" s="366"/>
      <c r="AD40" s="366"/>
      <c r="AE40" s="366"/>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7"/>
      <c r="BI40" s="124"/>
    </row>
    <row r="41" spans="1:82" ht="7.4" customHeight="1" x14ac:dyDescent="0.5">
      <c r="A41" s="42"/>
      <c r="B41" s="368"/>
      <c r="C41" s="369"/>
      <c r="D41" s="369"/>
      <c r="E41" s="369"/>
      <c r="F41" s="369"/>
      <c r="G41" s="369"/>
      <c r="H41" s="369"/>
      <c r="I41" s="369"/>
      <c r="J41" s="369"/>
      <c r="K41" s="369"/>
      <c r="L41" s="369"/>
      <c r="M41" s="369"/>
      <c r="N41" s="369"/>
      <c r="O41" s="369"/>
      <c r="P41" s="369"/>
      <c r="Q41" s="369"/>
      <c r="R41" s="369"/>
      <c r="S41" s="369"/>
      <c r="T41" s="369"/>
      <c r="U41" s="369"/>
      <c r="V41" s="369"/>
      <c r="W41" s="369"/>
      <c r="X41" s="369"/>
      <c r="Y41" s="369"/>
      <c r="Z41" s="369"/>
      <c r="AA41" s="369"/>
      <c r="AB41" s="369"/>
      <c r="AC41" s="369"/>
      <c r="AD41" s="369"/>
      <c r="AE41" s="369"/>
      <c r="AF41" s="369"/>
      <c r="AG41" s="369"/>
      <c r="AH41" s="369"/>
      <c r="AI41" s="369"/>
      <c r="AJ41" s="369"/>
      <c r="AK41" s="369"/>
      <c r="AL41" s="369"/>
      <c r="AM41" s="369"/>
      <c r="AN41" s="369"/>
      <c r="AO41" s="369"/>
      <c r="AP41" s="369"/>
      <c r="AQ41" s="369"/>
      <c r="AR41" s="369"/>
      <c r="AS41" s="369"/>
      <c r="AT41" s="369"/>
      <c r="AU41" s="369"/>
      <c r="AV41" s="369"/>
      <c r="AW41" s="369"/>
      <c r="AX41" s="369"/>
      <c r="AY41" s="369"/>
      <c r="AZ41" s="369"/>
      <c r="BA41" s="369"/>
      <c r="BB41" s="369"/>
      <c r="BC41" s="369"/>
      <c r="BD41" s="369"/>
      <c r="BE41" s="369"/>
      <c r="BF41" s="369"/>
      <c r="BG41" s="369"/>
      <c r="BH41" s="370"/>
      <c r="BI41" s="124"/>
    </row>
    <row r="42" spans="1:82" ht="7.4" customHeight="1" x14ac:dyDescent="0.5">
      <c r="A42" s="42"/>
      <c r="B42" s="61"/>
      <c r="C42" s="62"/>
      <c r="D42" s="62"/>
      <c r="E42" s="62"/>
      <c r="F42" s="62"/>
      <c r="G42" s="62"/>
      <c r="H42" s="63"/>
      <c r="I42" s="42"/>
      <c r="P42" s="61"/>
      <c r="Q42" s="62"/>
      <c r="R42" s="62"/>
      <c r="S42" s="159"/>
      <c r="T42" s="159"/>
      <c r="U42" s="151"/>
      <c r="V42" s="39"/>
      <c r="W42" s="89"/>
      <c r="X42" s="89"/>
      <c r="Y42" s="89"/>
      <c r="Z42" s="89"/>
      <c r="AA42" s="39"/>
      <c r="AB42" s="39"/>
      <c r="AC42" s="89"/>
      <c r="AD42" s="89"/>
      <c r="AE42" s="89"/>
      <c r="AF42" s="89"/>
      <c r="AG42" s="89"/>
      <c r="AH42" s="39"/>
      <c r="AI42" s="77"/>
      <c r="AJ42" s="77"/>
      <c r="AK42" s="77"/>
      <c r="AL42" s="77"/>
      <c r="AM42" s="77"/>
      <c r="AN42" s="77"/>
      <c r="AO42" s="77"/>
      <c r="AP42" s="77"/>
      <c r="AQ42" s="39"/>
      <c r="AR42" s="39"/>
      <c r="AS42" s="77"/>
      <c r="AT42" s="77"/>
      <c r="AU42" s="58"/>
      <c r="AV42" s="59"/>
      <c r="AW42" s="59"/>
      <c r="AX42" s="148"/>
      <c r="AY42" s="148"/>
      <c r="AZ42" s="148"/>
      <c r="BA42" s="150"/>
      <c r="BB42" s="39"/>
      <c r="BC42" s="39"/>
      <c r="BD42" s="39"/>
      <c r="BE42" s="77"/>
      <c r="BF42" s="77"/>
      <c r="BG42" s="77"/>
      <c r="BH42" s="138"/>
      <c r="BI42" s="124"/>
    </row>
    <row r="43" spans="1:82" ht="7.4" customHeight="1" x14ac:dyDescent="0.5">
      <c r="A43" s="42"/>
      <c r="B43" s="61"/>
      <c r="C43" s="344" t="s">
        <v>74</v>
      </c>
      <c r="D43" s="344"/>
      <c r="E43" s="344"/>
      <c r="F43" s="344"/>
      <c r="G43" s="344"/>
      <c r="H43" s="63"/>
      <c r="I43" s="42"/>
      <c r="J43" s="311">
        <f>M54*M58+P54*P58+S54*S58+V54*V58+Y54*Y58+AB54*AB58+AE54*AE58+AH54*AH58+AK54*AK58+AN54*AN58+AQ54*AQ58+AT54*AT58+AW54*AW58+AZ54*AZ58+BC54*BC58+BF54*BF58</f>
        <v>250</v>
      </c>
      <c r="K43" s="311"/>
      <c r="L43" s="311"/>
      <c r="M43" s="311"/>
      <c r="N43" s="311"/>
      <c r="P43" s="61"/>
      <c r="Q43" s="344" t="s">
        <v>75</v>
      </c>
      <c r="R43" s="344"/>
      <c r="S43" s="344"/>
      <c r="T43" s="344"/>
      <c r="U43" s="151"/>
      <c r="W43" s="453" t="s">
        <v>134</v>
      </c>
      <c r="X43" s="453"/>
      <c r="Y43" s="453"/>
      <c r="Z43" s="453"/>
      <c r="AA43" s="453"/>
      <c r="AB43" s="453"/>
      <c r="AC43" s="453"/>
      <c r="AD43" s="453"/>
      <c r="AE43" s="453"/>
      <c r="AF43" s="453"/>
      <c r="AG43" s="453"/>
      <c r="AH43" s="453"/>
      <c r="AI43" s="453"/>
      <c r="AJ43" s="453"/>
      <c r="AK43" s="453"/>
      <c r="AL43" s="453"/>
      <c r="AM43" s="453"/>
      <c r="AN43" s="453"/>
      <c r="AO43" s="453"/>
      <c r="AP43" s="453"/>
      <c r="AQ43" s="453"/>
      <c r="AR43" s="453"/>
      <c r="AS43" s="453"/>
      <c r="AT43" s="79"/>
      <c r="AU43" s="61"/>
      <c r="AV43" s="400" t="s">
        <v>77</v>
      </c>
      <c r="AW43" s="400"/>
      <c r="AX43" s="400"/>
      <c r="AY43" s="400"/>
      <c r="AZ43" s="400"/>
      <c r="BA43" s="152"/>
      <c r="BC43" s="471">
        <v>600</v>
      </c>
      <c r="BD43" s="471"/>
      <c r="BE43" s="471"/>
      <c r="BF43" s="471"/>
      <c r="BG43" s="471"/>
      <c r="BH43" s="124"/>
      <c r="BI43" s="124"/>
      <c r="BT43" s="339">
        <f>232.33/203.6</f>
        <v>1.1411100196463655</v>
      </c>
      <c r="BU43" s="339"/>
      <c r="BV43" s="339"/>
      <c r="BW43" s="339"/>
      <c r="BX43" s="339"/>
      <c r="BY43" s="339"/>
      <c r="BZ43" s="339"/>
      <c r="CA43" s="339"/>
      <c r="CB43" s="339"/>
      <c r="CC43" s="339"/>
      <c r="CD43" s="339"/>
    </row>
    <row r="44" spans="1:82" ht="7.4" customHeight="1" x14ac:dyDescent="0.5">
      <c r="A44" s="42"/>
      <c r="B44" s="61"/>
      <c r="C44" s="344"/>
      <c r="D44" s="344"/>
      <c r="E44" s="344"/>
      <c r="F44" s="344"/>
      <c r="G44" s="344"/>
      <c r="H44" s="63"/>
      <c r="I44" s="42"/>
      <c r="J44" s="311"/>
      <c r="K44" s="311"/>
      <c r="L44" s="311"/>
      <c r="M44" s="311"/>
      <c r="N44" s="311"/>
      <c r="P44" s="61"/>
      <c r="Q44" s="344"/>
      <c r="R44" s="344"/>
      <c r="S44" s="344"/>
      <c r="T44" s="344"/>
      <c r="U44" s="151"/>
      <c r="W44" s="453"/>
      <c r="X44" s="453"/>
      <c r="Y44" s="453"/>
      <c r="Z44" s="453"/>
      <c r="AA44" s="453"/>
      <c r="AB44" s="453"/>
      <c r="AC44" s="453"/>
      <c r="AD44" s="453"/>
      <c r="AE44" s="453"/>
      <c r="AF44" s="453"/>
      <c r="AG44" s="453"/>
      <c r="AH44" s="453"/>
      <c r="AI44" s="453"/>
      <c r="AJ44" s="453"/>
      <c r="AK44" s="453"/>
      <c r="AL44" s="453"/>
      <c r="AM44" s="453"/>
      <c r="AN44" s="453"/>
      <c r="AO44" s="453"/>
      <c r="AP44" s="453"/>
      <c r="AQ44" s="453"/>
      <c r="AR44" s="453"/>
      <c r="AS44" s="453"/>
      <c r="AT44" s="79"/>
      <c r="AU44" s="61"/>
      <c r="AV44" s="400"/>
      <c r="AW44" s="400"/>
      <c r="AX44" s="400"/>
      <c r="AY44" s="400"/>
      <c r="AZ44" s="400"/>
      <c r="BA44" s="152"/>
      <c r="BC44" s="471"/>
      <c r="BD44" s="471"/>
      <c r="BE44" s="471"/>
      <c r="BF44" s="471"/>
      <c r="BG44" s="471"/>
      <c r="BH44" s="124"/>
      <c r="BI44" s="124"/>
      <c r="BT44" s="339"/>
      <c r="BU44" s="339"/>
      <c r="BV44" s="339"/>
      <c r="BW44" s="339"/>
      <c r="BX44" s="339"/>
      <c r="BY44" s="339"/>
      <c r="BZ44" s="339"/>
      <c r="CA44" s="339"/>
      <c r="CB44" s="339"/>
      <c r="CC44" s="339"/>
      <c r="CD44" s="339"/>
    </row>
    <row r="45" spans="1:82" ht="7.4" customHeight="1" x14ac:dyDescent="0.5">
      <c r="A45" s="42"/>
      <c r="B45" s="61"/>
      <c r="C45" s="344"/>
      <c r="D45" s="344"/>
      <c r="E45" s="344"/>
      <c r="F45" s="344"/>
      <c r="G45" s="344"/>
      <c r="H45" s="63"/>
      <c r="I45" s="42"/>
      <c r="J45" s="311"/>
      <c r="K45" s="311"/>
      <c r="L45" s="311"/>
      <c r="M45" s="311"/>
      <c r="N45" s="311"/>
      <c r="P45" s="61"/>
      <c r="Q45" s="344"/>
      <c r="R45" s="344"/>
      <c r="S45" s="344"/>
      <c r="T45" s="344"/>
      <c r="U45" s="151"/>
      <c r="W45" s="472">
        <v>2278</v>
      </c>
      <c r="X45" s="472"/>
      <c r="Y45" s="472"/>
      <c r="Z45" s="472"/>
      <c r="AA45" s="153" t="s">
        <v>78</v>
      </c>
      <c r="AB45" s="153"/>
      <c r="AC45" s="154"/>
      <c r="AD45" s="154"/>
      <c r="AE45" s="472">
        <v>1134</v>
      </c>
      <c r="AF45" s="472"/>
      <c r="AG45" s="472"/>
      <c r="AH45" s="472"/>
      <c r="AI45" s="155" t="s">
        <v>79</v>
      </c>
      <c r="AJ45" s="155"/>
      <c r="AK45" s="155"/>
      <c r="AL45" s="155"/>
      <c r="AM45" s="472">
        <v>30</v>
      </c>
      <c r="AN45" s="472"/>
      <c r="AO45" s="472"/>
      <c r="AP45" s="472"/>
      <c r="AQ45" s="153" t="s">
        <v>80</v>
      </c>
      <c r="AR45" s="153"/>
      <c r="AS45" s="155"/>
      <c r="AT45" s="79"/>
      <c r="AU45" s="61"/>
      <c r="AV45" s="400"/>
      <c r="AW45" s="400"/>
      <c r="AX45" s="400"/>
      <c r="AY45" s="400"/>
      <c r="AZ45" s="400"/>
      <c r="BA45" s="152"/>
      <c r="BC45" s="471"/>
      <c r="BD45" s="471"/>
      <c r="BE45" s="471"/>
      <c r="BF45" s="471"/>
      <c r="BG45" s="471"/>
      <c r="BH45" s="124"/>
      <c r="BI45" s="124"/>
      <c r="BT45" s="339"/>
      <c r="BU45" s="339"/>
      <c r="BV45" s="339"/>
      <c r="BW45" s="339"/>
      <c r="BX45" s="339"/>
      <c r="BY45" s="339"/>
      <c r="BZ45" s="339"/>
      <c r="CA45" s="339"/>
      <c r="CB45" s="339"/>
      <c r="CC45" s="339"/>
      <c r="CD45" s="339"/>
    </row>
    <row r="46" spans="1:82" ht="7.4" customHeight="1" x14ac:dyDescent="0.5">
      <c r="A46" s="42"/>
      <c r="B46" s="64"/>
      <c r="C46" s="65"/>
      <c r="D46" s="65"/>
      <c r="E46" s="65"/>
      <c r="F46" s="65"/>
      <c r="G46" s="65"/>
      <c r="H46" s="66"/>
      <c r="I46" s="50"/>
      <c r="J46" s="51"/>
      <c r="K46" s="51"/>
      <c r="L46" s="51"/>
      <c r="M46" s="51"/>
      <c r="N46" s="51"/>
      <c r="O46" s="51"/>
      <c r="P46" s="64"/>
      <c r="Q46" s="65"/>
      <c r="R46" s="65"/>
      <c r="S46" s="96"/>
      <c r="T46" s="96"/>
      <c r="U46" s="156"/>
      <c r="V46" s="51"/>
      <c r="W46" s="97"/>
      <c r="X46" s="97"/>
      <c r="Y46" s="97"/>
      <c r="Z46" s="97"/>
      <c r="AA46" s="51"/>
      <c r="AB46" s="51"/>
      <c r="AC46" s="97"/>
      <c r="AD46" s="97"/>
      <c r="AE46" s="97"/>
      <c r="AF46" s="97"/>
      <c r="AG46" s="97"/>
      <c r="AH46" s="51"/>
      <c r="AI46" s="135"/>
      <c r="AJ46" s="135"/>
      <c r="AK46" s="135"/>
      <c r="AL46" s="135"/>
      <c r="AM46" s="135"/>
      <c r="AN46" s="135"/>
      <c r="AO46" s="135"/>
      <c r="AP46" s="135"/>
      <c r="AQ46" s="51"/>
      <c r="AR46" s="51"/>
      <c r="AS46" s="135"/>
      <c r="AT46" s="135"/>
      <c r="AU46" s="64"/>
      <c r="AV46" s="65"/>
      <c r="AW46" s="65"/>
      <c r="AX46" s="96"/>
      <c r="AY46" s="96"/>
      <c r="AZ46" s="96"/>
      <c r="BA46" s="157"/>
      <c r="BB46" s="51"/>
      <c r="BC46" s="51"/>
      <c r="BD46" s="51"/>
      <c r="BE46" s="135"/>
      <c r="BF46" s="135"/>
      <c r="BG46" s="135"/>
      <c r="BH46" s="158"/>
      <c r="BI46" s="124"/>
      <c r="BT46" s="339"/>
      <c r="BU46" s="339"/>
      <c r="BV46" s="339"/>
      <c r="BW46" s="339"/>
      <c r="BX46" s="339"/>
      <c r="BY46" s="339"/>
      <c r="BZ46" s="339"/>
      <c r="CA46" s="339"/>
      <c r="CB46" s="339"/>
      <c r="CC46" s="339"/>
      <c r="CD46" s="339"/>
    </row>
    <row r="47" spans="1:82" ht="7.4" customHeight="1" x14ac:dyDescent="0.5">
      <c r="A47" s="42"/>
      <c r="X47" s="25"/>
      <c r="Y47" s="25"/>
      <c r="Z47" s="25"/>
      <c r="AA47" s="25"/>
      <c r="AB47" s="25"/>
      <c r="AC47" s="25"/>
      <c r="AD47" s="25"/>
      <c r="AE47" s="25"/>
      <c r="AF47" s="25"/>
      <c r="AG47" s="25"/>
      <c r="AI47" s="79"/>
      <c r="AJ47" s="79"/>
      <c r="AK47" s="79"/>
      <c r="AL47" s="79"/>
      <c r="AM47" s="79"/>
      <c r="AN47" s="79"/>
      <c r="AO47" s="79"/>
      <c r="AP47" s="79"/>
      <c r="AS47" s="79"/>
      <c r="AT47" s="79"/>
      <c r="AU47" s="79"/>
      <c r="AV47" s="79"/>
      <c r="AW47" s="79"/>
      <c r="AX47" s="79"/>
      <c r="AY47" s="79"/>
      <c r="AZ47" s="79"/>
      <c r="BA47" s="79"/>
      <c r="BB47" s="79"/>
      <c r="BC47" s="79"/>
      <c r="BD47" s="79"/>
      <c r="BE47" s="79"/>
      <c r="BF47" s="79"/>
      <c r="BG47" s="79"/>
      <c r="BH47" s="79"/>
      <c r="BI47" s="124"/>
      <c r="BT47" s="339"/>
      <c r="BU47" s="339"/>
      <c r="BV47" s="339"/>
      <c r="BW47" s="339"/>
      <c r="BX47" s="339"/>
      <c r="BY47" s="339"/>
      <c r="BZ47" s="339"/>
      <c r="CA47" s="339"/>
      <c r="CB47" s="339"/>
      <c r="CC47" s="339"/>
      <c r="CD47" s="339"/>
    </row>
    <row r="48" spans="1:82" ht="7.4" customHeight="1" x14ac:dyDescent="0.5">
      <c r="A48" s="42"/>
      <c r="B48" s="299" t="s">
        <v>81</v>
      </c>
      <c r="C48" s="363"/>
      <c r="D48" s="363"/>
      <c r="E48" s="363"/>
      <c r="F48" s="363"/>
      <c r="G48" s="363"/>
      <c r="H48" s="363"/>
      <c r="I48" s="363"/>
      <c r="J48" s="363"/>
      <c r="K48" s="363"/>
      <c r="L48" s="363"/>
      <c r="M48" s="363"/>
      <c r="N48" s="363"/>
      <c r="O48" s="363"/>
      <c r="P48" s="363"/>
      <c r="Q48" s="363"/>
      <c r="R48" s="363"/>
      <c r="S48" s="363"/>
      <c r="T48" s="363"/>
      <c r="U48" s="363"/>
      <c r="V48" s="363"/>
      <c r="W48" s="363"/>
      <c r="X48" s="363"/>
      <c r="Y48" s="363"/>
      <c r="Z48" s="363"/>
      <c r="AA48" s="363"/>
      <c r="AB48" s="363"/>
      <c r="AC48" s="363"/>
      <c r="AD48" s="363"/>
      <c r="AE48" s="363"/>
      <c r="AF48" s="363"/>
      <c r="AG48" s="363"/>
      <c r="AH48" s="363"/>
      <c r="AI48" s="363"/>
      <c r="AJ48" s="363"/>
      <c r="AK48" s="363"/>
      <c r="AL48" s="363"/>
      <c r="AM48" s="363"/>
      <c r="AN48" s="363"/>
      <c r="AO48" s="363"/>
      <c r="AP48" s="363"/>
      <c r="AQ48" s="363"/>
      <c r="AR48" s="363"/>
      <c r="AS48" s="363"/>
      <c r="AT48" s="363"/>
      <c r="AU48" s="363"/>
      <c r="AV48" s="363"/>
      <c r="AW48" s="363"/>
      <c r="AX48" s="363"/>
      <c r="AY48" s="363"/>
      <c r="AZ48" s="363"/>
      <c r="BA48" s="363"/>
      <c r="BB48" s="363"/>
      <c r="BC48" s="363"/>
      <c r="BD48" s="363"/>
      <c r="BE48" s="363"/>
      <c r="BF48" s="363"/>
      <c r="BG48" s="363"/>
      <c r="BH48" s="364"/>
      <c r="BI48" s="124"/>
      <c r="BT48" s="339"/>
      <c r="BU48" s="339"/>
      <c r="BV48" s="339"/>
      <c r="BW48" s="339"/>
      <c r="BX48" s="339"/>
      <c r="BY48" s="339"/>
      <c r="BZ48" s="339"/>
      <c r="CA48" s="339"/>
      <c r="CB48" s="339"/>
      <c r="CC48" s="339"/>
      <c r="CD48" s="339"/>
    </row>
    <row r="49" spans="1:88" ht="7.4" customHeight="1" x14ac:dyDescent="0.5">
      <c r="A49" s="42"/>
      <c r="B49" s="365"/>
      <c r="C49" s="366"/>
      <c r="D49" s="366"/>
      <c r="E49" s="366"/>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7"/>
      <c r="BI49" s="124"/>
      <c r="BL49" s="46"/>
      <c r="BM49" s="46"/>
      <c r="BN49" s="46"/>
      <c r="BO49" s="46"/>
      <c r="BP49" s="46"/>
      <c r="BQ49" s="46"/>
      <c r="BR49" s="46"/>
      <c r="BS49" s="46"/>
      <c r="BT49" s="46"/>
      <c r="BU49" s="46"/>
      <c r="BV49" s="46"/>
      <c r="BW49" s="46"/>
      <c r="BX49" s="46"/>
      <c r="BY49" s="46"/>
      <c r="BZ49" s="46"/>
      <c r="CA49" s="339"/>
      <c r="CB49" s="339"/>
      <c r="CC49" s="339"/>
      <c r="CD49" s="339"/>
      <c r="CE49" s="339"/>
      <c r="CF49" s="339"/>
      <c r="CG49" s="339"/>
      <c r="CH49" s="339"/>
      <c r="CI49" s="339"/>
      <c r="CJ49" s="339"/>
    </row>
    <row r="50" spans="1:88" ht="7.4" customHeight="1" x14ac:dyDescent="0.5">
      <c r="A50" s="42"/>
      <c r="B50" s="368"/>
      <c r="C50" s="369"/>
      <c r="D50" s="369"/>
      <c r="E50" s="369"/>
      <c r="F50" s="369"/>
      <c r="G50" s="369"/>
      <c r="H50" s="369"/>
      <c r="I50" s="369"/>
      <c r="J50" s="369"/>
      <c r="K50" s="369"/>
      <c r="L50" s="369"/>
      <c r="M50" s="369"/>
      <c r="N50" s="369"/>
      <c r="O50" s="369"/>
      <c r="P50" s="369"/>
      <c r="Q50" s="369"/>
      <c r="R50" s="369"/>
      <c r="S50" s="369"/>
      <c r="T50" s="369"/>
      <c r="U50" s="369"/>
      <c r="V50" s="369"/>
      <c r="W50" s="369"/>
      <c r="X50" s="369"/>
      <c r="Y50" s="369"/>
      <c r="Z50" s="369"/>
      <c r="AA50" s="369"/>
      <c r="AB50" s="369"/>
      <c r="AC50" s="369"/>
      <c r="AD50" s="369"/>
      <c r="AE50" s="369"/>
      <c r="AF50" s="369"/>
      <c r="AG50" s="369"/>
      <c r="AH50" s="369"/>
      <c r="AI50" s="369"/>
      <c r="AJ50" s="369"/>
      <c r="AK50" s="369"/>
      <c r="AL50" s="369"/>
      <c r="AM50" s="369"/>
      <c r="AN50" s="369"/>
      <c r="AO50" s="369"/>
      <c r="AP50" s="369"/>
      <c r="AQ50" s="369"/>
      <c r="AR50" s="369"/>
      <c r="AS50" s="369"/>
      <c r="AT50" s="369"/>
      <c r="AU50" s="369"/>
      <c r="AV50" s="369"/>
      <c r="AW50" s="369"/>
      <c r="AX50" s="369"/>
      <c r="AY50" s="369"/>
      <c r="AZ50" s="369"/>
      <c r="BA50" s="369"/>
      <c r="BB50" s="369"/>
      <c r="BC50" s="369"/>
      <c r="BD50" s="369"/>
      <c r="BE50" s="369"/>
      <c r="BF50" s="369"/>
      <c r="BG50" s="369"/>
      <c r="BH50" s="370"/>
      <c r="BI50" s="124"/>
    </row>
    <row r="51" spans="1:88" ht="7.4" customHeight="1" x14ac:dyDescent="0.5">
      <c r="A51" s="42"/>
      <c r="B51" s="58"/>
      <c r="C51" s="248"/>
      <c r="D51" s="248"/>
      <c r="E51" s="248"/>
      <c r="F51" s="248"/>
      <c r="G51" s="248"/>
      <c r="H51" s="248"/>
      <c r="I51" s="248"/>
      <c r="J51" s="248"/>
      <c r="K51" s="248"/>
      <c r="L51" s="249"/>
      <c r="M51" s="474">
        <v>1</v>
      </c>
      <c r="N51" s="474"/>
      <c r="O51" s="475"/>
      <c r="P51" s="473">
        <v>2</v>
      </c>
      <c r="Q51" s="474"/>
      <c r="R51" s="475"/>
      <c r="S51" s="473">
        <v>3</v>
      </c>
      <c r="T51" s="474"/>
      <c r="U51" s="475"/>
      <c r="V51" s="473">
        <v>4</v>
      </c>
      <c r="W51" s="474"/>
      <c r="X51" s="475"/>
      <c r="Y51" s="473">
        <v>5</v>
      </c>
      <c r="Z51" s="474"/>
      <c r="AA51" s="475"/>
      <c r="AB51" s="473">
        <v>6</v>
      </c>
      <c r="AC51" s="474"/>
      <c r="AD51" s="475"/>
      <c r="AE51" s="473">
        <v>7</v>
      </c>
      <c r="AF51" s="474"/>
      <c r="AG51" s="475"/>
      <c r="AH51" s="473">
        <v>8</v>
      </c>
      <c r="AI51" s="474"/>
      <c r="AJ51" s="475"/>
      <c r="AK51" s="473">
        <v>9</v>
      </c>
      <c r="AL51" s="474"/>
      <c r="AM51" s="475"/>
      <c r="AN51" s="473">
        <v>10</v>
      </c>
      <c r="AO51" s="474"/>
      <c r="AP51" s="475"/>
      <c r="AQ51" s="473">
        <v>11</v>
      </c>
      <c r="AR51" s="474"/>
      <c r="AS51" s="475"/>
      <c r="AT51" s="473">
        <v>12</v>
      </c>
      <c r="AU51" s="474"/>
      <c r="AV51" s="475"/>
      <c r="AW51" s="473">
        <v>13</v>
      </c>
      <c r="AX51" s="474"/>
      <c r="AY51" s="475"/>
      <c r="AZ51" s="473">
        <v>14</v>
      </c>
      <c r="BA51" s="474"/>
      <c r="BB51" s="475"/>
      <c r="BC51" s="473">
        <v>15</v>
      </c>
      <c r="BD51" s="474"/>
      <c r="BE51" s="475"/>
      <c r="BF51" s="473">
        <v>16</v>
      </c>
      <c r="BG51" s="474"/>
      <c r="BH51" s="475"/>
      <c r="BI51" s="109"/>
    </row>
    <row r="52" spans="1:88" ht="7.4" customHeight="1" x14ac:dyDescent="0.5">
      <c r="A52" s="42"/>
      <c r="B52" s="61"/>
      <c r="C52" s="250"/>
      <c r="D52" s="250"/>
      <c r="E52" s="250"/>
      <c r="F52" s="250"/>
      <c r="G52" s="250"/>
      <c r="H52" s="250"/>
      <c r="I52" s="250"/>
      <c r="J52" s="250"/>
      <c r="K52" s="250"/>
      <c r="L52" s="251"/>
      <c r="M52" s="474"/>
      <c r="N52" s="474"/>
      <c r="O52" s="475"/>
      <c r="P52" s="473"/>
      <c r="Q52" s="474"/>
      <c r="R52" s="475"/>
      <c r="S52" s="473"/>
      <c r="T52" s="474"/>
      <c r="U52" s="475"/>
      <c r="V52" s="473"/>
      <c r="W52" s="474"/>
      <c r="X52" s="475"/>
      <c r="Y52" s="473"/>
      <c r="Z52" s="474"/>
      <c r="AA52" s="475"/>
      <c r="AB52" s="473"/>
      <c r="AC52" s="474"/>
      <c r="AD52" s="475"/>
      <c r="AE52" s="473"/>
      <c r="AF52" s="474"/>
      <c r="AG52" s="475"/>
      <c r="AH52" s="473"/>
      <c r="AI52" s="474"/>
      <c r="AJ52" s="475"/>
      <c r="AK52" s="473"/>
      <c r="AL52" s="474"/>
      <c r="AM52" s="475"/>
      <c r="AN52" s="473"/>
      <c r="AO52" s="474"/>
      <c r="AP52" s="475"/>
      <c r="AQ52" s="473"/>
      <c r="AR52" s="474"/>
      <c r="AS52" s="475"/>
      <c r="AT52" s="473"/>
      <c r="AU52" s="474"/>
      <c r="AV52" s="475"/>
      <c r="AW52" s="473"/>
      <c r="AX52" s="474"/>
      <c r="AY52" s="475"/>
      <c r="AZ52" s="473"/>
      <c r="BA52" s="474"/>
      <c r="BB52" s="475"/>
      <c r="BC52" s="473"/>
      <c r="BD52" s="474"/>
      <c r="BE52" s="475"/>
      <c r="BF52" s="473"/>
      <c r="BG52" s="474"/>
      <c r="BH52" s="475"/>
      <c r="BI52" s="109"/>
    </row>
    <row r="53" spans="1:88" ht="7.4" customHeight="1" x14ac:dyDescent="0.5">
      <c r="A53" s="42"/>
      <c r="B53" s="61"/>
      <c r="C53" s="159"/>
      <c r="D53" s="159"/>
      <c r="E53" s="159"/>
      <c r="F53" s="159"/>
      <c r="G53" s="62"/>
      <c r="H53" s="160"/>
      <c r="I53" s="160"/>
      <c r="J53" s="160"/>
      <c r="K53" s="160"/>
      <c r="L53" s="152"/>
      <c r="M53" s="77"/>
      <c r="N53" s="77"/>
      <c r="O53" s="40"/>
      <c r="P53" s="81"/>
      <c r="Q53" s="77"/>
      <c r="R53" s="40"/>
      <c r="S53" s="81"/>
      <c r="T53" s="77"/>
      <c r="U53" s="40"/>
      <c r="V53" s="81"/>
      <c r="W53" s="77"/>
      <c r="X53" s="40"/>
      <c r="Y53" s="81"/>
      <c r="Z53" s="77"/>
      <c r="AA53" s="40"/>
      <c r="AB53" s="81"/>
      <c r="AC53" s="77"/>
      <c r="AD53" s="40"/>
      <c r="AE53" s="81"/>
      <c r="AF53" s="77"/>
      <c r="AG53" s="40"/>
      <c r="AH53" s="81"/>
      <c r="AI53" s="77"/>
      <c r="AJ53" s="40"/>
      <c r="AK53" s="81"/>
      <c r="AL53" s="77"/>
      <c r="AM53" s="40"/>
      <c r="AN53" s="81"/>
      <c r="AO53" s="77"/>
      <c r="AP53" s="40"/>
      <c r="AQ53" s="81"/>
      <c r="AR53" s="77"/>
      <c r="AS53" s="40"/>
      <c r="AT53" s="81"/>
      <c r="AU53" s="77"/>
      <c r="AV53" s="40"/>
      <c r="AW53" s="81"/>
      <c r="AX53" s="77"/>
      <c r="AY53" s="40"/>
      <c r="AZ53" s="81"/>
      <c r="BA53" s="77"/>
      <c r="BB53" s="40"/>
      <c r="BC53" s="81"/>
      <c r="BD53" s="77"/>
      <c r="BE53" s="40"/>
      <c r="BF53" s="81"/>
      <c r="BG53" s="77"/>
      <c r="BH53" s="40"/>
      <c r="BI53" s="41"/>
    </row>
    <row r="54" spans="1:88" ht="7.4" customHeight="1" x14ac:dyDescent="0.5">
      <c r="A54" s="42"/>
      <c r="B54" s="61"/>
      <c r="C54" s="469" t="str">
        <f>IF($AO$28="Landscape","Columns","Rows")</f>
        <v>Rows</v>
      </c>
      <c r="D54" s="469"/>
      <c r="E54" s="469"/>
      <c r="F54" s="469"/>
      <c r="G54" s="469"/>
      <c r="H54" s="469"/>
      <c r="I54" s="469"/>
      <c r="J54" s="469"/>
      <c r="K54" s="469"/>
      <c r="L54" s="470"/>
      <c r="M54" s="318">
        <v>10</v>
      </c>
      <c r="N54" s="318"/>
      <c r="O54" s="350"/>
      <c r="P54" s="349">
        <v>0</v>
      </c>
      <c r="Q54" s="318"/>
      <c r="R54" s="350"/>
      <c r="S54" s="349">
        <v>0</v>
      </c>
      <c r="T54" s="318"/>
      <c r="U54" s="350"/>
      <c r="V54" s="349">
        <v>0</v>
      </c>
      <c r="W54" s="318"/>
      <c r="X54" s="350"/>
      <c r="Y54" s="349">
        <v>0</v>
      </c>
      <c r="Z54" s="318"/>
      <c r="AA54" s="350"/>
      <c r="AB54" s="349">
        <v>0</v>
      </c>
      <c r="AC54" s="318"/>
      <c r="AD54" s="350"/>
      <c r="AE54" s="349">
        <v>0</v>
      </c>
      <c r="AF54" s="318"/>
      <c r="AG54" s="350"/>
      <c r="AH54" s="349">
        <v>0</v>
      </c>
      <c r="AI54" s="318"/>
      <c r="AJ54" s="350"/>
      <c r="AK54" s="349">
        <v>0</v>
      </c>
      <c r="AL54" s="318"/>
      <c r="AM54" s="350"/>
      <c r="AN54" s="349">
        <v>0</v>
      </c>
      <c r="AO54" s="318"/>
      <c r="AP54" s="350"/>
      <c r="AQ54" s="349">
        <v>0</v>
      </c>
      <c r="AR54" s="318"/>
      <c r="AS54" s="350"/>
      <c r="AT54" s="349">
        <v>0</v>
      </c>
      <c r="AU54" s="318"/>
      <c r="AV54" s="350"/>
      <c r="AW54" s="349">
        <v>0</v>
      </c>
      <c r="AX54" s="318"/>
      <c r="AY54" s="350"/>
      <c r="AZ54" s="349">
        <v>0</v>
      </c>
      <c r="BA54" s="318"/>
      <c r="BB54" s="350"/>
      <c r="BC54" s="349">
        <v>0</v>
      </c>
      <c r="BD54" s="318"/>
      <c r="BE54" s="350"/>
      <c r="BF54" s="349">
        <v>0</v>
      </c>
      <c r="BG54" s="318"/>
      <c r="BH54" s="350"/>
      <c r="BI54" s="109"/>
    </row>
    <row r="55" spans="1:88" ht="7.4" customHeight="1" x14ac:dyDescent="0.5">
      <c r="A55" s="42"/>
      <c r="B55" s="61"/>
      <c r="C55" s="469"/>
      <c r="D55" s="469"/>
      <c r="E55" s="469"/>
      <c r="F55" s="469"/>
      <c r="G55" s="469"/>
      <c r="H55" s="469"/>
      <c r="I55" s="469"/>
      <c r="J55" s="469"/>
      <c r="K55" s="469"/>
      <c r="L55" s="470"/>
      <c r="M55" s="318"/>
      <c r="N55" s="318"/>
      <c r="O55" s="350"/>
      <c r="P55" s="349"/>
      <c r="Q55" s="318"/>
      <c r="R55" s="350"/>
      <c r="S55" s="349"/>
      <c r="T55" s="318"/>
      <c r="U55" s="350"/>
      <c r="V55" s="349"/>
      <c r="W55" s="318"/>
      <c r="X55" s="350"/>
      <c r="Y55" s="349"/>
      <c r="Z55" s="318"/>
      <c r="AA55" s="350"/>
      <c r="AB55" s="349"/>
      <c r="AC55" s="318"/>
      <c r="AD55" s="350"/>
      <c r="AE55" s="349"/>
      <c r="AF55" s="318"/>
      <c r="AG55" s="350"/>
      <c r="AH55" s="349"/>
      <c r="AI55" s="318"/>
      <c r="AJ55" s="350"/>
      <c r="AK55" s="349"/>
      <c r="AL55" s="318"/>
      <c r="AM55" s="350"/>
      <c r="AN55" s="349"/>
      <c r="AO55" s="318"/>
      <c r="AP55" s="350"/>
      <c r="AQ55" s="349"/>
      <c r="AR55" s="318"/>
      <c r="AS55" s="350"/>
      <c r="AT55" s="349"/>
      <c r="AU55" s="318"/>
      <c r="AV55" s="350"/>
      <c r="AW55" s="349"/>
      <c r="AX55" s="318"/>
      <c r="AY55" s="350"/>
      <c r="AZ55" s="349"/>
      <c r="BA55" s="318"/>
      <c r="BB55" s="350"/>
      <c r="BC55" s="349"/>
      <c r="BD55" s="318"/>
      <c r="BE55" s="350"/>
      <c r="BF55" s="349"/>
      <c r="BG55" s="318"/>
      <c r="BH55" s="350"/>
      <c r="BI55" s="109"/>
    </row>
    <row r="56" spans="1:88" ht="7.4" customHeight="1" x14ac:dyDescent="0.5">
      <c r="A56" s="42"/>
      <c r="B56" s="61"/>
      <c r="C56" s="159"/>
      <c r="D56" s="159"/>
      <c r="E56" s="159"/>
      <c r="F56" s="159"/>
      <c r="G56" s="62"/>
      <c r="H56" s="160"/>
      <c r="I56" s="160"/>
      <c r="J56" s="160"/>
      <c r="K56" s="160"/>
      <c r="L56" s="152"/>
      <c r="M56" s="165"/>
      <c r="N56" s="165"/>
      <c r="O56" s="166"/>
      <c r="P56" s="164"/>
      <c r="Q56" s="165"/>
      <c r="R56" s="166"/>
      <c r="S56" s="164"/>
      <c r="T56" s="165"/>
      <c r="U56" s="166"/>
      <c r="V56" s="164"/>
      <c r="W56" s="165"/>
      <c r="X56" s="166"/>
      <c r="Y56" s="164"/>
      <c r="Z56" s="165"/>
      <c r="AA56" s="166"/>
      <c r="AB56" s="164"/>
      <c r="AC56" s="165"/>
      <c r="AD56" s="166"/>
      <c r="AE56" s="164"/>
      <c r="AF56" s="165"/>
      <c r="AG56" s="166"/>
      <c r="AH56" s="164"/>
      <c r="AI56" s="165"/>
      <c r="AJ56" s="166"/>
      <c r="AK56" s="164"/>
      <c r="AL56" s="165"/>
      <c r="AM56" s="166"/>
      <c r="AN56" s="164"/>
      <c r="AO56" s="165"/>
      <c r="AP56" s="166"/>
      <c r="AQ56" s="164"/>
      <c r="AR56" s="165"/>
      <c r="AS56" s="166"/>
      <c r="AT56" s="164"/>
      <c r="AU56" s="165"/>
      <c r="AV56" s="166"/>
      <c r="AW56" s="164"/>
      <c r="AX56" s="165"/>
      <c r="AY56" s="166"/>
      <c r="AZ56" s="164"/>
      <c r="BA56" s="165"/>
      <c r="BB56" s="166"/>
      <c r="BC56" s="164"/>
      <c r="BD56" s="165"/>
      <c r="BE56" s="166"/>
      <c r="BF56" s="164"/>
      <c r="BG56" s="165"/>
      <c r="BH56" s="166"/>
      <c r="BI56" s="78"/>
    </row>
    <row r="57" spans="1:88" ht="7.4" customHeight="1" x14ac:dyDescent="0.5">
      <c r="A57" s="42"/>
      <c r="B57" s="61"/>
      <c r="C57" s="159"/>
      <c r="D57" s="159"/>
      <c r="E57" s="159"/>
      <c r="F57" s="159"/>
      <c r="G57" s="62"/>
      <c r="H57" s="160"/>
      <c r="I57" s="160"/>
      <c r="J57" s="160"/>
      <c r="K57" s="160"/>
      <c r="L57" s="152"/>
      <c r="M57" s="171"/>
      <c r="N57" s="171"/>
      <c r="O57" s="172"/>
      <c r="P57" s="170"/>
      <c r="Q57" s="171"/>
      <c r="R57" s="172"/>
      <c r="S57" s="170"/>
      <c r="T57" s="171"/>
      <c r="U57" s="172"/>
      <c r="V57" s="170"/>
      <c r="W57" s="171"/>
      <c r="X57" s="172"/>
      <c r="Y57" s="170"/>
      <c r="Z57" s="171"/>
      <c r="AA57" s="172"/>
      <c r="AB57" s="170"/>
      <c r="AC57" s="171"/>
      <c r="AD57" s="172"/>
      <c r="AE57" s="170"/>
      <c r="AF57" s="171"/>
      <c r="AG57" s="172"/>
      <c r="AH57" s="170"/>
      <c r="AI57" s="171"/>
      <c r="AJ57" s="172"/>
      <c r="AK57" s="170"/>
      <c r="AL57" s="171"/>
      <c r="AM57" s="172"/>
      <c r="AN57" s="170"/>
      <c r="AO57" s="171"/>
      <c r="AP57" s="172"/>
      <c r="AQ57" s="170"/>
      <c r="AR57" s="171"/>
      <c r="AS57" s="172"/>
      <c r="AT57" s="170"/>
      <c r="AU57" s="171"/>
      <c r="AV57" s="172"/>
      <c r="AW57" s="170"/>
      <c r="AX57" s="171"/>
      <c r="AY57" s="172"/>
      <c r="AZ57" s="170"/>
      <c r="BA57" s="171"/>
      <c r="BB57" s="172"/>
      <c r="BC57" s="170"/>
      <c r="BD57" s="171"/>
      <c r="BE57" s="172"/>
      <c r="BF57" s="170"/>
      <c r="BG57" s="171"/>
      <c r="BH57" s="172"/>
      <c r="BI57" s="78"/>
    </row>
    <row r="58" spans="1:88" ht="7.4" customHeight="1" x14ac:dyDescent="0.5">
      <c r="A58" s="42"/>
      <c r="B58" s="61"/>
      <c r="C58" s="469" t="str">
        <f>IF($AO$28="Landscape","Modules/Column","Modules/Row")</f>
        <v>Modules/Row</v>
      </c>
      <c r="D58" s="469"/>
      <c r="E58" s="469"/>
      <c r="F58" s="469"/>
      <c r="G58" s="469"/>
      <c r="H58" s="469"/>
      <c r="I58" s="469"/>
      <c r="J58" s="469"/>
      <c r="K58" s="469"/>
      <c r="L58" s="470"/>
      <c r="M58" s="318">
        <v>25</v>
      </c>
      <c r="N58" s="318"/>
      <c r="O58" s="350"/>
      <c r="P58" s="349">
        <v>0</v>
      </c>
      <c r="Q58" s="318"/>
      <c r="R58" s="350"/>
      <c r="S58" s="349">
        <v>0</v>
      </c>
      <c r="T58" s="318"/>
      <c r="U58" s="350"/>
      <c r="V58" s="349">
        <v>0</v>
      </c>
      <c r="W58" s="318"/>
      <c r="X58" s="350"/>
      <c r="Y58" s="349">
        <v>0</v>
      </c>
      <c r="Z58" s="318"/>
      <c r="AA58" s="350"/>
      <c r="AB58" s="349">
        <v>0</v>
      </c>
      <c r="AC58" s="318"/>
      <c r="AD58" s="350"/>
      <c r="AE58" s="349">
        <v>0</v>
      </c>
      <c r="AF58" s="318"/>
      <c r="AG58" s="350"/>
      <c r="AH58" s="349">
        <v>0</v>
      </c>
      <c r="AI58" s="318"/>
      <c r="AJ58" s="350"/>
      <c r="AK58" s="349">
        <v>0</v>
      </c>
      <c r="AL58" s="318"/>
      <c r="AM58" s="350"/>
      <c r="AN58" s="349">
        <v>0</v>
      </c>
      <c r="AO58" s="318"/>
      <c r="AP58" s="350"/>
      <c r="AQ58" s="349">
        <v>0</v>
      </c>
      <c r="AR58" s="318"/>
      <c r="AS58" s="350"/>
      <c r="AT58" s="349">
        <v>0</v>
      </c>
      <c r="AU58" s="318"/>
      <c r="AV58" s="350"/>
      <c r="AW58" s="349">
        <v>0</v>
      </c>
      <c r="AX58" s="318"/>
      <c r="AY58" s="350"/>
      <c r="AZ58" s="349">
        <v>0</v>
      </c>
      <c r="BA58" s="318"/>
      <c r="BB58" s="350"/>
      <c r="BC58" s="349">
        <v>0</v>
      </c>
      <c r="BD58" s="318"/>
      <c r="BE58" s="350"/>
      <c r="BF58" s="349">
        <v>0</v>
      </c>
      <c r="BG58" s="318"/>
      <c r="BH58" s="350"/>
      <c r="BI58" s="109"/>
      <c r="BL58" s="252"/>
      <c r="BM58" s="252"/>
      <c r="BN58" s="252"/>
      <c r="BO58" s="252"/>
    </row>
    <row r="59" spans="1:88" ht="7.4" customHeight="1" x14ac:dyDescent="0.5">
      <c r="A59" s="42"/>
      <c r="B59" s="61"/>
      <c r="C59" s="469"/>
      <c r="D59" s="469"/>
      <c r="E59" s="469"/>
      <c r="F59" s="469"/>
      <c r="G59" s="469"/>
      <c r="H59" s="469"/>
      <c r="I59" s="469"/>
      <c r="J59" s="469"/>
      <c r="K59" s="469"/>
      <c r="L59" s="470"/>
      <c r="M59" s="318"/>
      <c r="N59" s="318"/>
      <c r="O59" s="350"/>
      <c r="P59" s="349"/>
      <c r="Q59" s="318"/>
      <c r="R59" s="350"/>
      <c r="S59" s="349"/>
      <c r="T59" s="318"/>
      <c r="U59" s="350"/>
      <c r="V59" s="349"/>
      <c r="W59" s="318"/>
      <c r="X59" s="350"/>
      <c r="Y59" s="349"/>
      <c r="Z59" s="318"/>
      <c r="AA59" s="350"/>
      <c r="AB59" s="349"/>
      <c r="AC59" s="318"/>
      <c r="AD59" s="350"/>
      <c r="AE59" s="349"/>
      <c r="AF59" s="318"/>
      <c r="AG59" s="350"/>
      <c r="AH59" s="349"/>
      <c r="AI59" s="318"/>
      <c r="AJ59" s="350"/>
      <c r="AK59" s="349"/>
      <c r="AL59" s="318"/>
      <c r="AM59" s="350"/>
      <c r="AN59" s="349"/>
      <c r="AO59" s="318"/>
      <c r="AP59" s="350"/>
      <c r="AQ59" s="349"/>
      <c r="AR59" s="318"/>
      <c r="AS59" s="350"/>
      <c r="AT59" s="349"/>
      <c r="AU59" s="318"/>
      <c r="AV59" s="350"/>
      <c r="AW59" s="349"/>
      <c r="AX59" s="318"/>
      <c r="AY59" s="350"/>
      <c r="AZ59" s="349"/>
      <c r="BA59" s="318"/>
      <c r="BB59" s="350"/>
      <c r="BC59" s="349"/>
      <c r="BD59" s="318"/>
      <c r="BE59" s="350"/>
      <c r="BF59" s="349"/>
      <c r="BG59" s="318"/>
      <c r="BH59" s="350"/>
      <c r="BI59" s="109"/>
      <c r="BL59" s="252"/>
      <c r="BM59" s="252"/>
      <c r="BN59" s="252"/>
      <c r="BO59" s="252"/>
    </row>
    <row r="60" spans="1:88" ht="7.4" customHeight="1" x14ac:dyDescent="0.5">
      <c r="A60" s="42"/>
      <c r="B60" s="61"/>
      <c r="C60" s="159"/>
      <c r="D60" s="159"/>
      <c r="E60" s="159"/>
      <c r="F60" s="159"/>
      <c r="G60" s="62"/>
      <c r="H60" s="160"/>
      <c r="I60" s="160"/>
      <c r="J60" s="160"/>
      <c r="K60" s="160"/>
      <c r="L60" s="152"/>
      <c r="M60" s="135"/>
      <c r="N60" s="135"/>
      <c r="O60" s="52"/>
      <c r="P60" s="174"/>
      <c r="Q60" s="135"/>
      <c r="R60" s="52"/>
      <c r="S60" s="174"/>
      <c r="T60" s="135"/>
      <c r="U60" s="52"/>
      <c r="V60" s="174"/>
      <c r="W60" s="135"/>
      <c r="X60" s="52"/>
      <c r="Y60" s="174"/>
      <c r="Z60" s="135"/>
      <c r="AA60" s="52"/>
      <c r="AB60" s="174"/>
      <c r="AC60" s="135"/>
      <c r="AD60" s="52"/>
      <c r="AE60" s="174"/>
      <c r="AF60" s="135"/>
      <c r="AG60" s="52"/>
      <c r="AH60" s="174"/>
      <c r="AI60" s="135"/>
      <c r="AJ60" s="52"/>
      <c r="AK60" s="174"/>
      <c r="AL60" s="135"/>
      <c r="AM60" s="52"/>
      <c r="AN60" s="174"/>
      <c r="AO60" s="135"/>
      <c r="AP60" s="52"/>
      <c r="AQ60" s="174"/>
      <c r="AR60" s="135"/>
      <c r="AS60" s="52"/>
      <c r="AT60" s="174"/>
      <c r="AU60" s="135"/>
      <c r="AV60" s="52"/>
      <c r="AW60" s="174"/>
      <c r="AX60" s="135"/>
      <c r="AY60" s="52"/>
      <c r="AZ60" s="174"/>
      <c r="BA60" s="135"/>
      <c r="BB60" s="52"/>
      <c r="BC60" s="174"/>
      <c r="BD60" s="135"/>
      <c r="BE60" s="52"/>
      <c r="BF60" s="174"/>
      <c r="BG60" s="135"/>
      <c r="BH60" s="52"/>
      <c r="BI60" s="41"/>
      <c r="BK60" s="253"/>
      <c r="BL60" s="253"/>
      <c r="BM60" s="253"/>
      <c r="BN60" s="253"/>
      <c r="BO60" s="253"/>
      <c r="BP60" s="253"/>
      <c r="BQ60" s="253"/>
    </row>
    <row r="61" spans="1:88" ht="7.4" customHeight="1" x14ac:dyDescent="0.5">
      <c r="A61" s="42"/>
      <c r="B61" s="61"/>
      <c r="C61" s="159"/>
      <c r="D61" s="159"/>
      <c r="E61" s="159"/>
      <c r="F61" s="159"/>
      <c r="G61" s="62"/>
      <c r="H61" s="160"/>
      <c r="I61" s="160"/>
      <c r="J61" s="160"/>
      <c r="K61" s="160"/>
      <c r="L61" s="152"/>
      <c r="M61" s="212"/>
      <c r="N61" s="212"/>
      <c r="O61" s="76"/>
      <c r="P61" s="212"/>
      <c r="Q61" s="212"/>
      <c r="R61" s="76"/>
      <c r="S61" s="212"/>
      <c r="T61" s="212"/>
      <c r="U61" s="76"/>
      <c r="V61" s="212"/>
      <c r="W61" s="212"/>
      <c r="X61" s="76"/>
      <c r="Y61" s="212"/>
      <c r="Z61" s="212"/>
      <c r="AA61" s="76"/>
      <c r="AB61" s="212"/>
      <c r="AC61" s="212"/>
      <c r="AD61" s="76"/>
      <c r="AE61" s="212"/>
      <c r="AF61" s="212"/>
      <c r="AG61" s="76"/>
      <c r="AH61" s="212"/>
      <c r="AI61" s="212"/>
      <c r="AJ61" s="76"/>
      <c r="AK61" s="212"/>
      <c r="AL61" s="212"/>
      <c r="AM61" s="76"/>
      <c r="AN61" s="212"/>
      <c r="AO61" s="212"/>
      <c r="AP61" s="76"/>
      <c r="AQ61" s="212"/>
      <c r="AR61" s="212"/>
      <c r="AS61" s="76"/>
      <c r="AT61" s="212"/>
      <c r="AU61" s="212"/>
      <c r="AV61" s="76"/>
      <c r="AW61" s="212"/>
      <c r="AX61" s="212"/>
      <c r="AY61" s="76"/>
      <c r="AZ61" s="212"/>
      <c r="BA61" s="212"/>
      <c r="BB61" s="76"/>
      <c r="BC61" s="212"/>
      <c r="BD61" s="212"/>
      <c r="BE61" s="76"/>
      <c r="BF61" s="212"/>
      <c r="BG61" s="212"/>
      <c r="BH61" s="76"/>
      <c r="BI61" s="78"/>
      <c r="BK61" s="463" t="s">
        <v>82</v>
      </c>
      <c r="BL61" s="464"/>
      <c r="BM61" s="464"/>
      <c r="BN61" s="464"/>
      <c r="BO61" s="464"/>
      <c r="BP61" s="464"/>
      <c r="BQ61" s="465"/>
    </row>
    <row r="62" spans="1:88" ht="7.4" customHeight="1" x14ac:dyDescent="0.5">
      <c r="A62" s="42"/>
      <c r="B62" s="61"/>
      <c r="C62" s="400" t="s">
        <v>137</v>
      </c>
      <c r="D62" s="400"/>
      <c r="E62" s="400"/>
      <c r="F62" s="400"/>
      <c r="G62" s="400"/>
      <c r="H62" s="400"/>
      <c r="I62" s="400"/>
      <c r="J62" s="400"/>
      <c r="K62" s="400"/>
      <c r="L62" s="448"/>
      <c r="M62" s="311">
        <f>IF(M54&gt;0,BK139/2/M54,0)</f>
        <v>20</v>
      </c>
      <c r="N62" s="311"/>
      <c r="O62" s="312"/>
      <c r="P62" s="311">
        <f>IF(P54&gt;0,BN139/2/P54,0)</f>
        <v>0</v>
      </c>
      <c r="Q62" s="311"/>
      <c r="R62" s="312"/>
      <c r="S62" s="311">
        <f>IF(S54&gt;0,BQ139/2/S54,0)</f>
        <v>0</v>
      </c>
      <c r="T62" s="311"/>
      <c r="U62" s="312"/>
      <c r="V62" s="311">
        <f>IF(V54&gt;0,BT139/2/V54,0)</f>
        <v>0</v>
      </c>
      <c r="W62" s="311"/>
      <c r="X62" s="312"/>
      <c r="Y62" s="311">
        <f>IF(Y54&gt;0,BW139/2/Y54,0)</f>
        <v>0</v>
      </c>
      <c r="Z62" s="311"/>
      <c r="AA62" s="312"/>
      <c r="AB62" s="311">
        <f>IF(AB54&gt;0,BZ139/2/AB54,0)</f>
        <v>0</v>
      </c>
      <c r="AC62" s="311"/>
      <c r="AD62" s="312"/>
      <c r="AE62" s="311">
        <f>IF(AE54&gt;0,CC139/2/AE54,0)</f>
        <v>0</v>
      </c>
      <c r="AF62" s="311"/>
      <c r="AG62" s="312"/>
      <c r="AH62" s="311">
        <f>IF(AH54&gt;0,CF139/2/AH54,0)</f>
        <v>0</v>
      </c>
      <c r="AI62" s="311"/>
      <c r="AJ62" s="312"/>
      <c r="AK62" s="311">
        <f>IF(AK54&gt;0,CI139/2/AK54,0)</f>
        <v>0</v>
      </c>
      <c r="AL62" s="311"/>
      <c r="AM62" s="312"/>
      <c r="AN62" s="311">
        <f>IF(AN54&gt;0,CL139/2/AN54,0)</f>
        <v>0</v>
      </c>
      <c r="AO62" s="311"/>
      <c r="AP62" s="312"/>
      <c r="AQ62" s="311">
        <f>IF(AQ54&gt;0,CO139/2/AQ54,0)</f>
        <v>0</v>
      </c>
      <c r="AR62" s="311"/>
      <c r="AS62" s="312"/>
      <c r="AT62" s="311">
        <f>IF(AT54&gt;0,CR139/2/AT54,0)</f>
        <v>0</v>
      </c>
      <c r="AU62" s="311"/>
      <c r="AV62" s="312"/>
      <c r="AW62" s="311">
        <f>IF(AW54&gt;0,CU139/2/AW54,0)</f>
        <v>0</v>
      </c>
      <c r="AX62" s="311"/>
      <c r="AY62" s="312"/>
      <c r="AZ62" s="311">
        <f>IF(AZ54&gt;0,CX139/2/AZ54,0)</f>
        <v>0</v>
      </c>
      <c r="BA62" s="311"/>
      <c r="BB62" s="312"/>
      <c r="BC62" s="311">
        <f>IF(BC54&gt;0,DA139/2/BC54,0)</f>
        <v>0</v>
      </c>
      <c r="BD62" s="311"/>
      <c r="BE62" s="312"/>
      <c r="BF62" s="311">
        <f>IF(BF54&gt;0,DD139/2/BF54,0)</f>
        <v>0</v>
      </c>
      <c r="BG62" s="311"/>
      <c r="BH62" s="312"/>
      <c r="BI62" s="109"/>
      <c r="BK62" s="466"/>
      <c r="BL62" s="467"/>
      <c r="BM62" s="467"/>
      <c r="BN62" s="467"/>
      <c r="BO62" s="467"/>
      <c r="BP62" s="467"/>
      <c r="BQ62" s="468"/>
    </row>
    <row r="63" spans="1:88" ht="7.4" customHeight="1" x14ac:dyDescent="0.5">
      <c r="A63" s="42"/>
      <c r="B63" s="61"/>
      <c r="C63" s="400"/>
      <c r="D63" s="400"/>
      <c r="E63" s="400"/>
      <c r="F63" s="400"/>
      <c r="G63" s="400"/>
      <c r="H63" s="400"/>
      <c r="I63" s="400"/>
      <c r="J63" s="400"/>
      <c r="K63" s="400"/>
      <c r="L63" s="448"/>
      <c r="M63" s="311"/>
      <c r="N63" s="311"/>
      <c r="O63" s="312"/>
      <c r="P63" s="311"/>
      <c r="Q63" s="311"/>
      <c r="R63" s="312"/>
      <c r="S63" s="311"/>
      <c r="T63" s="311"/>
      <c r="U63" s="312"/>
      <c r="V63" s="311"/>
      <c r="W63" s="311"/>
      <c r="X63" s="312"/>
      <c r="Y63" s="311"/>
      <c r="Z63" s="311"/>
      <c r="AA63" s="312"/>
      <c r="AB63" s="311"/>
      <c r="AC63" s="311"/>
      <c r="AD63" s="312"/>
      <c r="AE63" s="311"/>
      <c r="AF63" s="311"/>
      <c r="AG63" s="312"/>
      <c r="AH63" s="311"/>
      <c r="AI63" s="311"/>
      <c r="AJ63" s="312"/>
      <c r="AK63" s="311"/>
      <c r="AL63" s="311"/>
      <c r="AM63" s="312"/>
      <c r="AN63" s="311"/>
      <c r="AO63" s="311"/>
      <c r="AP63" s="312"/>
      <c r="AQ63" s="311"/>
      <c r="AR63" s="311"/>
      <c r="AS63" s="312"/>
      <c r="AT63" s="311"/>
      <c r="AU63" s="311"/>
      <c r="AV63" s="312"/>
      <c r="AW63" s="311"/>
      <c r="AX63" s="311"/>
      <c r="AY63" s="312"/>
      <c r="AZ63" s="311"/>
      <c r="BA63" s="311"/>
      <c r="BB63" s="312"/>
      <c r="BC63" s="311"/>
      <c r="BD63" s="311"/>
      <c r="BE63" s="312"/>
      <c r="BF63" s="311"/>
      <c r="BG63" s="311"/>
      <c r="BH63" s="312"/>
      <c r="BI63" s="109"/>
      <c r="BK63" s="466"/>
      <c r="BL63" s="467"/>
      <c r="BM63" s="467"/>
      <c r="BN63" s="467"/>
      <c r="BO63" s="467"/>
      <c r="BP63" s="467"/>
      <c r="BQ63" s="468"/>
    </row>
    <row r="64" spans="1:88" ht="7.4" customHeight="1" x14ac:dyDescent="0.5">
      <c r="A64" s="42"/>
      <c r="B64" s="61"/>
      <c r="C64" s="159"/>
      <c r="D64" s="159"/>
      <c r="E64" s="159"/>
      <c r="F64" s="159"/>
      <c r="G64" s="62"/>
      <c r="H64" s="160"/>
      <c r="I64" s="160"/>
      <c r="J64" s="160"/>
      <c r="K64" s="160"/>
      <c r="L64" s="152"/>
      <c r="M64" s="135"/>
      <c r="N64" s="135"/>
      <c r="O64" s="52"/>
      <c r="P64" s="135"/>
      <c r="Q64" s="135"/>
      <c r="R64" s="52"/>
      <c r="S64" s="135"/>
      <c r="T64" s="135"/>
      <c r="U64" s="52"/>
      <c r="V64" s="135"/>
      <c r="W64" s="135"/>
      <c r="X64" s="52"/>
      <c r="Y64" s="135"/>
      <c r="Z64" s="135"/>
      <c r="AA64" s="52"/>
      <c r="AB64" s="135"/>
      <c r="AC64" s="135"/>
      <c r="AD64" s="52"/>
      <c r="AE64" s="135"/>
      <c r="AF64" s="135"/>
      <c r="AG64" s="52"/>
      <c r="AH64" s="135"/>
      <c r="AI64" s="135"/>
      <c r="AJ64" s="52"/>
      <c r="AK64" s="135"/>
      <c r="AL64" s="135"/>
      <c r="AM64" s="52"/>
      <c r="AN64" s="135"/>
      <c r="AO64" s="135"/>
      <c r="AP64" s="52"/>
      <c r="AQ64" s="135"/>
      <c r="AR64" s="135"/>
      <c r="AS64" s="52"/>
      <c r="AT64" s="135"/>
      <c r="AU64" s="135"/>
      <c r="AV64" s="52"/>
      <c r="AW64" s="135"/>
      <c r="AX64" s="135"/>
      <c r="AY64" s="52"/>
      <c r="AZ64" s="135"/>
      <c r="BA64" s="135"/>
      <c r="BB64" s="52"/>
      <c r="BC64" s="135"/>
      <c r="BD64" s="135"/>
      <c r="BE64" s="52"/>
      <c r="BF64" s="135"/>
      <c r="BG64" s="135"/>
      <c r="BH64" s="52"/>
      <c r="BI64" s="41"/>
      <c r="BK64" s="515"/>
      <c r="BL64" s="516"/>
      <c r="BM64" s="516"/>
      <c r="BN64" s="516"/>
      <c r="BO64" s="516"/>
      <c r="BP64" s="516"/>
      <c r="BQ64" s="517"/>
    </row>
    <row r="65" spans="1:110" ht="7.4" customHeight="1" x14ac:dyDescent="0.5">
      <c r="A65" s="42"/>
      <c r="B65" s="61"/>
      <c r="C65" s="513" t="s">
        <v>182</v>
      </c>
      <c r="D65" s="513"/>
      <c r="E65" s="513"/>
      <c r="F65" s="513"/>
      <c r="G65" s="513"/>
      <c r="H65" s="513"/>
      <c r="I65" s="513"/>
      <c r="J65" s="513"/>
      <c r="K65" s="513"/>
      <c r="L65" s="514"/>
      <c r="M65" s="212"/>
      <c r="N65" s="212"/>
      <c r="O65" s="76"/>
      <c r="P65" s="212"/>
      <c r="Q65" s="212"/>
      <c r="R65" s="76"/>
      <c r="S65" s="212"/>
      <c r="T65" s="212"/>
      <c r="U65" s="76"/>
      <c r="V65" s="212"/>
      <c r="W65" s="212"/>
      <c r="X65" s="76"/>
      <c r="Y65" s="212"/>
      <c r="Z65" s="212"/>
      <c r="AA65" s="76"/>
      <c r="AB65" s="212"/>
      <c r="AC65" s="212"/>
      <c r="AD65" s="76"/>
      <c r="AE65" s="212"/>
      <c r="AF65" s="212"/>
      <c r="AG65" s="76"/>
      <c r="AH65" s="212"/>
      <c r="AI65" s="212"/>
      <c r="AJ65" s="76"/>
      <c r="AK65" s="212"/>
      <c r="AL65" s="212"/>
      <c r="AM65" s="76"/>
      <c r="AN65" s="212"/>
      <c r="AO65" s="212"/>
      <c r="AP65" s="76"/>
      <c r="AQ65" s="212"/>
      <c r="AR65" s="212"/>
      <c r="AS65" s="76"/>
      <c r="AT65" s="212"/>
      <c r="AU65" s="212"/>
      <c r="AV65" s="76"/>
      <c r="AW65" s="212"/>
      <c r="AX65" s="212"/>
      <c r="AY65" s="76"/>
      <c r="AZ65" s="212"/>
      <c r="BA65" s="212"/>
      <c r="BB65" s="76"/>
      <c r="BC65" s="212"/>
      <c r="BD65" s="212"/>
      <c r="BE65" s="76"/>
      <c r="BF65" s="212"/>
      <c r="BG65" s="212"/>
      <c r="BH65" s="76"/>
      <c r="BI65" s="78"/>
      <c r="BK65" s="38"/>
      <c r="BL65" s="39"/>
      <c r="BM65" s="39"/>
      <c r="BN65" s="39"/>
      <c r="BO65" s="39"/>
      <c r="BP65" s="39"/>
      <c r="BQ65" s="40"/>
    </row>
    <row r="66" spans="1:110" ht="7.4" customHeight="1" x14ac:dyDescent="0.5">
      <c r="A66" s="42"/>
      <c r="B66" s="61"/>
      <c r="C66" s="513"/>
      <c r="D66" s="513"/>
      <c r="E66" s="513"/>
      <c r="F66" s="513"/>
      <c r="G66" s="513"/>
      <c r="H66" s="513"/>
      <c r="I66" s="513"/>
      <c r="J66" s="513"/>
      <c r="K66" s="513"/>
      <c r="L66" s="514"/>
      <c r="M66" s="331">
        <f>IF(M58&gt;0,($AE$45*M58+20*(M58-1)+$N$78*2-2*$N$82)/(M62-1),0)</f>
        <v>1496.3157894736842</v>
      </c>
      <c r="N66" s="331"/>
      <c r="O66" s="332"/>
      <c r="P66" s="331">
        <f>IF(P58&gt;0,($AE$45*P58+20*(P58-1)+$N$78*2-2*$N$82)/(P62-1),0)</f>
        <v>0</v>
      </c>
      <c r="Q66" s="331"/>
      <c r="R66" s="332"/>
      <c r="S66" s="331">
        <f>IF(S58&gt;0,($AE$45*S58+20*(S58-1)+$N$78*2-2*$N$82)/(S62-1),0)</f>
        <v>0</v>
      </c>
      <c r="T66" s="331"/>
      <c r="U66" s="332"/>
      <c r="V66" s="331">
        <f>IF(V58&gt;0,($AE$45*V58+20*(V58-1)+$N$78*2-2*$N$82)/(V62-1),0)</f>
        <v>0</v>
      </c>
      <c r="W66" s="331"/>
      <c r="X66" s="332"/>
      <c r="Y66" s="331">
        <f>IF(Y58&gt;0,($AE$45*Y58+20*(Y58-1)+$N$78*2-2*$N$82)/(Y62-1),0)</f>
        <v>0</v>
      </c>
      <c r="Z66" s="331"/>
      <c r="AA66" s="332"/>
      <c r="AB66" s="331">
        <f>IF(AB58&gt;0,($AE$45*AB58+20*(AB58-1)+$N$78*2-2*$N$82)/(AB62-1),0)</f>
        <v>0</v>
      </c>
      <c r="AC66" s="331"/>
      <c r="AD66" s="332"/>
      <c r="AE66" s="331">
        <f>IF(AE58&gt;0,($AE$45*AE58+20*(AE58-1)+$N$78*2-2*$N$82)/(AE62-1),0)</f>
        <v>0</v>
      </c>
      <c r="AF66" s="331"/>
      <c r="AG66" s="332"/>
      <c r="AH66" s="331">
        <f>IF(AH58&gt;0,($AE$45*AH58+20*(AH58-1)+$N$78*2-2*$N$82)/(AH62-1),0)</f>
        <v>0</v>
      </c>
      <c r="AI66" s="331"/>
      <c r="AJ66" s="332"/>
      <c r="AK66" s="331">
        <f>IF(AK58&gt;0,($AE$45*AK58+20*(AK58-1)+$N$78*2-2*$N$82)/(AK62-1),0)</f>
        <v>0</v>
      </c>
      <c r="AL66" s="331"/>
      <c r="AM66" s="332"/>
      <c r="AN66" s="331">
        <f>IF(AN58&gt;0,($AE$45*AN58+20*(AN58-1)+$N$78*2-2*$N$82)/(AN62-1),0)</f>
        <v>0</v>
      </c>
      <c r="AO66" s="331"/>
      <c r="AP66" s="332"/>
      <c r="AQ66" s="331">
        <f>IF(AQ58&gt;0,($AE$45*AQ58+20*(AQ58-1)+$N$78*2-2*$N$82)/(AQ62-1),0)</f>
        <v>0</v>
      </c>
      <c r="AR66" s="331"/>
      <c r="AS66" s="332"/>
      <c r="AT66" s="331">
        <f>IF(AT58&gt;0,($AE$45*AT58+20*(AT58-1)+$N$78*2-2*$N$82)/(AT62-1),0)</f>
        <v>0</v>
      </c>
      <c r="AU66" s="331"/>
      <c r="AV66" s="332"/>
      <c r="AW66" s="331">
        <f>IF(AW58&gt;0,($AE$45*AW58+20*(AW58-1)+$N$78*2-2*$N$82)/(AW62-1),0)</f>
        <v>0</v>
      </c>
      <c r="AX66" s="331"/>
      <c r="AY66" s="332"/>
      <c r="AZ66" s="331">
        <f>IF(AZ58&gt;0,($AE$45*AZ58+20*(AZ58-1)+$N$78*2-2*$N$82)/(AZ62-1),0)</f>
        <v>0</v>
      </c>
      <c r="BA66" s="331"/>
      <c r="BB66" s="332"/>
      <c r="BC66" s="331">
        <f>IF(BC58&gt;0,($AE$45*BC58+20*(BC58-1)+$N$78*2-2*$N$82)/(BC62-1),0)</f>
        <v>0</v>
      </c>
      <c r="BD66" s="331"/>
      <c r="BE66" s="332"/>
      <c r="BF66" s="331">
        <f>IF(BF58&gt;0,($AE$45*BF58+20*(BF58-1)+$N$78*2-2*$N$82)/(BF62-1),0)</f>
        <v>0</v>
      </c>
      <c r="BG66" s="331"/>
      <c r="BH66" s="332"/>
      <c r="BI66" s="107"/>
      <c r="BK66" s="42"/>
      <c r="BL66" s="459">
        <f>IF(OR(AO35="Corrugated (Side)",AO35="Corrugated (Top)",AO35="Corrugated (Hangerbolt)"),76.2*18,IF(AO35="IBR",171.5*8,IF(OR(AO35="Klip-Lok",AO35="ProLok",AO35="Saflok"),233*6,IF(AO35="Brownbuilt",203*7,IF(OR(AO35="Dimondek (Pinch)",AO35="Dimondek (Stand Rib)"),203*7,IF(AO35="Zip-Tek",420*3,IF(AO35="Craft-Lock",350*4,0)))))))</f>
        <v>1372</v>
      </c>
      <c r="BM66" s="459"/>
      <c r="BN66" s="459"/>
      <c r="BO66" s="460" t="s">
        <v>69</v>
      </c>
      <c r="BP66" s="460"/>
      <c r="BQ66" s="41"/>
    </row>
    <row r="67" spans="1:110" ht="7.4" customHeight="1" x14ac:dyDescent="0.5">
      <c r="A67" s="42"/>
      <c r="B67" s="61"/>
      <c r="C67" s="513"/>
      <c r="D67" s="513"/>
      <c r="E67" s="513"/>
      <c r="F67" s="513"/>
      <c r="G67" s="513"/>
      <c r="H67" s="513"/>
      <c r="I67" s="513"/>
      <c r="J67" s="513"/>
      <c r="K67" s="513"/>
      <c r="L67" s="514"/>
      <c r="M67" s="331"/>
      <c r="N67" s="331"/>
      <c r="O67" s="332"/>
      <c r="P67" s="331"/>
      <c r="Q67" s="331"/>
      <c r="R67" s="332"/>
      <c r="S67" s="331"/>
      <c r="T67" s="331"/>
      <c r="U67" s="332"/>
      <c r="V67" s="331"/>
      <c r="W67" s="331"/>
      <c r="X67" s="332"/>
      <c r="Y67" s="331"/>
      <c r="Z67" s="331"/>
      <c r="AA67" s="332"/>
      <c r="AB67" s="331"/>
      <c r="AC67" s="331"/>
      <c r="AD67" s="332"/>
      <c r="AE67" s="331"/>
      <c r="AF67" s="331"/>
      <c r="AG67" s="332"/>
      <c r="AH67" s="331"/>
      <c r="AI67" s="331"/>
      <c r="AJ67" s="332"/>
      <c r="AK67" s="331"/>
      <c r="AL67" s="331"/>
      <c r="AM67" s="332"/>
      <c r="AN67" s="331"/>
      <c r="AO67" s="331"/>
      <c r="AP67" s="332"/>
      <c r="AQ67" s="331"/>
      <c r="AR67" s="331"/>
      <c r="AS67" s="332"/>
      <c r="AT67" s="331"/>
      <c r="AU67" s="331"/>
      <c r="AV67" s="332"/>
      <c r="AW67" s="331"/>
      <c r="AX67" s="331"/>
      <c r="AY67" s="332"/>
      <c r="AZ67" s="331"/>
      <c r="BA67" s="331"/>
      <c r="BB67" s="332"/>
      <c r="BC67" s="331"/>
      <c r="BD67" s="331"/>
      <c r="BE67" s="332"/>
      <c r="BF67" s="331"/>
      <c r="BG67" s="331"/>
      <c r="BH67" s="332"/>
      <c r="BI67" s="107"/>
      <c r="BK67" s="42"/>
      <c r="BL67" s="459"/>
      <c r="BM67" s="459"/>
      <c r="BN67" s="459"/>
      <c r="BO67" s="460"/>
      <c r="BP67" s="460"/>
      <c r="BQ67" s="41"/>
    </row>
    <row r="68" spans="1:110" ht="7.4" customHeight="1" x14ac:dyDescent="0.5">
      <c r="A68" s="42"/>
      <c r="B68" s="64"/>
      <c r="C68" s="96"/>
      <c r="D68" s="96"/>
      <c r="E68" s="96"/>
      <c r="F68" s="96"/>
      <c r="G68" s="65"/>
      <c r="H68" s="173"/>
      <c r="I68" s="173"/>
      <c r="J68" s="173"/>
      <c r="K68" s="173"/>
      <c r="L68" s="157"/>
      <c r="M68" s="135"/>
      <c r="N68" s="135"/>
      <c r="O68" s="52"/>
      <c r="P68" s="135"/>
      <c r="Q68" s="135"/>
      <c r="R68" s="52"/>
      <c r="S68" s="135"/>
      <c r="T68" s="135"/>
      <c r="U68" s="52"/>
      <c r="V68" s="135"/>
      <c r="W68" s="135"/>
      <c r="X68" s="52"/>
      <c r="Y68" s="135"/>
      <c r="Z68" s="135"/>
      <c r="AA68" s="52"/>
      <c r="AB68" s="135"/>
      <c r="AC68" s="135"/>
      <c r="AD68" s="52"/>
      <c r="AE68" s="135"/>
      <c r="AF68" s="135"/>
      <c r="AG68" s="52"/>
      <c r="AH68" s="135"/>
      <c r="AI68" s="135"/>
      <c r="AJ68" s="52"/>
      <c r="AK68" s="135"/>
      <c r="AL68" s="135"/>
      <c r="AM68" s="52"/>
      <c r="AN68" s="135"/>
      <c r="AO68" s="135"/>
      <c r="AP68" s="52"/>
      <c r="AQ68" s="135"/>
      <c r="AR68" s="135"/>
      <c r="AS68" s="52"/>
      <c r="AT68" s="135"/>
      <c r="AU68" s="135"/>
      <c r="AV68" s="52"/>
      <c r="AW68" s="135"/>
      <c r="AX68" s="135"/>
      <c r="AY68" s="52"/>
      <c r="AZ68" s="135"/>
      <c r="BA68" s="135"/>
      <c r="BB68" s="52"/>
      <c r="BC68" s="135"/>
      <c r="BD68" s="135"/>
      <c r="BE68" s="52"/>
      <c r="BF68" s="135"/>
      <c r="BG68" s="135"/>
      <c r="BH68" s="52"/>
      <c r="BI68" s="41"/>
      <c r="BK68" s="50"/>
      <c r="BL68" s="51"/>
      <c r="BM68" s="51"/>
      <c r="BN68" s="51"/>
      <c r="BO68" s="51"/>
      <c r="BP68" s="51"/>
      <c r="BQ68" s="52"/>
    </row>
    <row r="69" spans="1:110" ht="7.4" customHeight="1" x14ac:dyDescent="0.5">
      <c r="A69" s="42"/>
      <c r="R69" s="25"/>
      <c r="S69" s="25"/>
      <c r="T69" s="25"/>
      <c r="U69" s="25"/>
      <c r="V69" s="25"/>
      <c r="W69" s="25"/>
      <c r="X69" s="25"/>
      <c r="Y69" s="25"/>
      <c r="Z69" s="25"/>
      <c r="AS69" s="79"/>
      <c r="AT69" s="79"/>
      <c r="AU69" s="79"/>
      <c r="AV69" s="79"/>
      <c r="AW69" s="79"/>
      <c r="AX69" s="79"/>
      <c r="AY69" s="79"/>
      <c r="AZ69" s="79"/>
      <c r="BA69" s="79"/>
      <c r="BB69" s="79"/>
      <c r="BE69" s="79"/>
      <c r="BF69" s="79"/>
      <c r="BG69" s="79"/>
      <c r="BH69" s="79"/>
      <c r="BI69" s="124"/>
    </row>
    <row r="70" spans="1:110" ht="7.4" customHeight="1" x14ac:dyDescent="0.5">
      <c r="A70" s="42"/>
      <c r="B70" s="299" t="s">
        <v>139</v>
      </c>
      <c r="C70" s="363"/>
      <c r="D70" s="363"/>
      <c r="E70" s="363"/>
      <c r="F70" s="363"/>
      <c r="G70" s="363"/>
      <c r="H70" s="363"/>
      <c r="I70" s="363"/>
      <c r="J70" s="363"/>
      <c r="K70" s="363"/>
      <c r="L70" s="363"/>
      <c r="M70" s="363"/>
      <c r="N70" s="363"/>
      <c r="O70" s="363"/>
      <c r="P70" s="363"/>
      <c r="Q70" s="363"/>
      <c r="R70" s="363"/>
      <c r="S70" s="363"/>
      <c r="T70" s="363"/>
      <c r="U70" s="364"/>
      <c r="W70" s="299" t="s">
        <v>83</v>
      </c>
      <c r="X70" s="363"/>
      <c r="Y70" s="363"/>
      <c r="Z70" s="363"/>
      <c r="AA70" s="363"/>
      <c r="AB70" s="363"/>
      <c r="AC70" s="363"/>
      <c r="AD70" s="363"/>
      <c r="AE70" s="363"/>
      <c r="AF70" s="363"/>
      <c r="AG70" s="363"/>
      <c r="AH70" s="363"/>
      <c r="AI70" s="363"/>
      <c r="AJ70" s="363"/>
      <c r="AK70" s="363"/>
      <c r="AL70" s="363"/>
      <c r="AM70" s="363"/>
      <c r="AN70" s="363"/>
      <c r="AO70" s="363"/>
      <c r="AP70" s="364"/>
      <c r="AQ70" s="79"/>
      <c r="AR70" s="299" t="s">
        <v>37</v>
      </c>
      <c r="AS70" s="363"/>
      <c r="AT70" s="363"/>
      <c r="AU70" s="363"/>
      <c r="AV70" s="363"/>
      <c r="AW70" s="363"/>
      <c r="AX70" s="363"/>
      <c r="AY70" s="363"/>
      <c r="AZ70" s="363"/>
      <c r="BA70" s="363"/>
      <c r="BB70" s="363"/>
      <c r="BC70" s="363"/>
      <c r="BD70" s="363"/>
      <c r="BE70" s="363"/>
      <c r="BF70" s="363"/>
      <c r="BG70" s="363"/>
      <c r="BH70" s="364"/>
      <c r="BI70" s="44"/>
    </row>
    <row r="71" spans="1:110" ht="7.4" customHeight="1" x14ac:dyDescent="0.5">
      <c r="A71" s="42"/>
      <c r="B71" s="365"/>
      <c r="C71" s="366"/>
      <c r="D71" s="366"/>
      <c r="E71" s="366"/>
      <c r="F71" s="366"/>
      <c r="G71" s="366"/>
      <c r="H71" s="366"/>
      <c r="I71" s="366"/>
      <c r="J71" s="366"/>
      <c r="K71" s="366"/>
      <c r="L71" s="366"/>
      <c r="M71" s="366"/>
      <c r="N71" s="366"/>
      <c r="O71" s="366"/>
      <c r="P71" s="366"/>
      <c r="Q71" s="366"/>
      <c r="R71" s="366"/>
      <c r="S71" s="366"/>
      <c r="T71" s="366"/>
      <c r="U71" s="367"/>
      <c r="W71" s="365"/>
      <c r="X71" s="366"/>
      <c r="Y71" s="366"/>
      <c r="Z71" s="366"/>
      <c r="AA71" s="366"/>
      <c r="AB71" s="366"/>
      <c r="AC71" s="366"/>
      <c r="AD71" s="366"/>
      <c r="AE71" s="366"/>
      <c r="AF71" s="366"/>
      <c r="AG71" s="366"/>
      <c r="AH71" s="366"/>
      <c r="AI71" s="366"/>
      <c r="AJ71" s="366"/>
      <c r="AK71" s="366"/>
      <c r="AL71" s="366"/>
      <c r="AM71" s="366"/>
      <c r="AN71" s="366"/>
      <c r="AO71" s="366"/>
      <c r="AP71" s="367"/>
      <c r="AQ71" s="79"/>
      <c r="AR71" s="365"/>
      <c r="AS71" s="366"/>
      <c r="AT71" s="366"/>
      <c r="AU71" s="366"/>
      <c r="AV71" s="366"/>
      <c r="AW71" s="366"/>
      <c r="AX71" s="366"/>
      <c r="AY71" s="366"/>
      <c r="AZ71" s="366"/>
      <c r="BA71" s="366"/>
      <c r="BB71" s="366"/>
      <c r="BC71" s="366"/>
      <c r="BD71" s="366"/>
      <c r="BE71" s="366"/>
      <c r="BF71" s="366"/>
      <c r="BG71" s="366"/>
      <c r="BH71" s="367"/>
      <c r="BI71" s="44"/>
    </row>
    <row r="72" spans="1:110" ht="7.4" customHeight="1" x14ac:dyDescent="0.5">
      <c r="A72" s="42"/>
      <c r="B72" s="368"/>
      <c r="C72" s="369"/>
      <c r="D72" s="369"/>
      <c r="E72" s="369"/>
      <c r="F72" s="369"/>
      <c r="G72" s="369"/>
      <c r="H72" s="369"/>
      <c r="I72" s="369"/>
      <c r="J72" s="369"/>
      <c r="K72" s="369"/>
      <c r="L72" s="369"/>
      <c r="M72" s="369"/>
      <c r="N72" s="369"/>
      <c r="O72" s="369"/>
      <c r="P72" s="369"/>
      <c r="Q72" s="369"/>
      <c r="R72" s="369"/>
      <c r="S72" s="369"/>
      <c r="T72" s="369"/>
      <c r="U72" s="370"/>
      <c r="W72" s="368"/>
      <c r="X72" s="369"/>
      <c r="Y72" s="369"/>
      <c r="Z72" s="369"/>
      <c r="AA72" s="369"/>
      <c r="AB72" s="369"/>
      <c r="AC72" s="369"/>
      <c r="AD72" s="369"/>
      <c r="AE72" s="369"/>
      <c r="AF72" s="369"/>
      <c r="AG72" s="369"/>
      <c r="AH72" s="369"/>
      <c r="AI72" s="369"/>
      <c r="AJ72" s="369"/>
      <c r="AK72" s="369"/>
      <c r="AL72" s="369"/>
      <c r="AM72" s="369"/>
      <c r="AN72" s="369"/>
      <c r="AO72" s="369"/>
      <c r="AP72" s="370"/>
      <c r="AQ72" s="79"/>
      <c r="AR72" s="368"/>
      <c r="AS72" s="369"/>
      <c r="AT72" s="369"/>
      <c r="AU72" s="369"/>
      <c r="AV72" s="369"/>
      <c r="AW72" s="369"/>
      <c r="AX72" s="369"/>
      <c r="AY72" s="369"/>
      <c r="AZ72" s="369"/>
      <c r="BA72" s="369"/>
      <c r="BB72" s="369"/>
      <c r="BC72" s="369"/>
      <c r="BD72" s="369"/>
      <c r="BE72" s="369"/>
      <c r="BF72" s="369"/>
      <c r="BG72" s="369"/>
      <c r="BH72" s="370"/>
      <c r="BI72" s="41"/>
    </row>
    <row r="73" spans="1:110" ht="7.4" customHeight="1" x14ac:dyDescent="0.5">
      <c r="A73" s="42"/>
      <c r="B73" s="58"/>
      <c r="C73" s="59"/>
      <c r="D73" s="59"/>
      <c r="E73" s="59"/>
      <c r="F73" s="59"/>
      <c r="G73" s="59"/>
      <c r="H73" s="59"/>
      <c r="I73" s="59"/>
      <c r="J73" s="59"/>
      <c r="K73" s="59"/>
      <c r="L73" s="59"/>
      <c r="M73" s="59"/>
      <c r="N73" s="38"/>
      <c r="O73" s="39"/>
      <c r="P73" s="39"/>
      <c r="Q73" s="39"/>
      <c r="R73" s="89"/>
      <c r="S73" s="89"/>
      <c r="T73" s="89"/>
      <c r="U73" s="40"/>
      <c r="W73" s="58"/>
      <c r="X73" s="511" t="s">
        <v>91</v>
      </c>
      <c r="Y73" s="511"/>
      <c r="Z73" s="511"/>
      <c r="AA73" s="511"/>
      <c r="AB73" s="511"/>
      <c r="AC73" s="511"/>
      <c r="AD73" s="511"/>
      <c r="AE73" s="511"/>
      <c r="AF73" s="511"/>
      <c r="AG73" s="511"/>
      <c r="AH73" s="512"/>
      <c r="AI73" s="38"/>
      <c r="AJ73" s="39"/>
      <c r="AK73" s="39"/>
      <c r="AL73" s="39"/>
      <c r="AM73" s="89"/>
      <c r="AN73" s="89"/>
      <c r="AO73" s="89"/>
      <c r="AP73" s="176"/>
      <c r="AQ73" s="79"/>
      <c r="AR73" s="61"/>
      <c r="AS73" s="62"/>
      <c r="AT73" s="62"/>
      <c r="AU73" s="62"/>
      <c r="AV73" s="62"/>
      <c r="AW73" s="62"/>
      <c r="AX73" s="62"/>
      <c r="AY73" s="62"/>
      <c r="AZ73" s="62"/>
      <c r="BA73" s="62"/>
      <c r="BB73" s="62"/>
      <c r="BC73" s="62"/>
      <c r="BD73" s="62"/>
      <c r="BE73" s="38"/>
      <c r="BF73" s="39"/>
      <c r="BG73" s="39"/>
      <c r="BH73" s="40"/>
      <c r="BI73" s="41"/>
      <c r="BL73" s="533" t="s">
        <v>95</v>
      </c>
      <c r="BM73" s="533"/>
      <c r="BN73" s="533"/>
      <c r="BO73" s="533"/>
      <c r="BP73" s="533"/>
      <c r="BQ73" s="533"/>
      <c r="BR73" s="533"/>
      <c r="BS73" s="533"/>
      <c r="BT73" s="533"/>
      <c r="BU73" s="533"/>
      <c r="BV73" s="254"/>
      <c r="BW73" s="38"/>
      <c r="BX73" s="89"/>
      <c r="BY73" s="89"/>
      <c r="BZ73" s="89"/>
      <c r="CA73" s="89"/>
      <c r="CB73" s="89"/>
      <c r="CC73" s="89"/>
      <c r="CD73" s="176"/>
    </row>
    <row r="74" spans="1:110" ht="7.4" customHeight="1" x14ac:dyDescent="0.5">
      <c r="A74" s="42"/>
      <c r="B74" s="61"/>
      <c r="C74" s="400" t="s">
        <v>85</v>
      </c>
      <c r="D74" s="400"/>
      <c r="E74" s="400"/>
      <c r="F74" s="400"/>
      <c r="G74" s="400"/>
      <c r="H74" s="400"/>
      <c r="I74" s="400"/>
      <c r="J74" s="400"/>
      <c r="K74" s="400"/>
      <c r="L74" s="400"/>
      <c r="M74" s="400"/>
      <c r="N74" s="461" t="s">
        <v>86</v>
      </c>
      <c r="O74" s="462"/>
      <c r="P74" s="462"/>
      <c r="Q74" s="462"/>
      <c r="R74" s="462"/>
      <c r="S74" s="405" t="s">
        <v>69</v>
      </c>
      <c r="T74" s="405"/>
      <c r="U74" s="411"/>
      <c r="W74" s="61"/>
      <c r="X74" s="455"/>
      <c r="Y74" s="455"/>
      <c r="Z74" s="455"/>
      <c r="AA74" s="455"/>
      <c r="AB74" s="455"/>
      <c r="AC74" s="455"/>
      <c r="AD74" s="455"/>
      <c r="AE74" s="455"/>
      <c r="AF74" s="455"/>
      <c r="AG74" s="455"/>
      <c r="AH74" s="458"/>
      <c r="AI74" s="452" t="s">
        <v>42</v>
      </c>
      <c r="AJ74" s="453"/>
      <c r="AK74" s="453"/>
      <c r="AL74" s="453"/>
      <c r="AM74" s="453"/>
      <c r="AN74" s="453"/>
      <c r="AO74" s="453"/>
      <c r="AP74" s="454"/>
      <c r="AQ74" s="79"/>
      <c r="AR74" s="61"/>
      <c r="AS74" s="400" t="s">
        <v>140</v>
      </c>
      <c r="AT74" s="400"/>
      <c r="AU74" s="400"/>
      <c r="AV74" s="400"/>
      <c r="AW74" s="400"/>
      <c r="AX74" s="400"/>
      <c r="AY74" s="400"/>
      <c r="AZ74" s="400"/>
      <c r="BA74" s="400"/>
      <c r="BB74" s="400"/>
      <c r="BC74" s="400"/>
      <c r="BD74" s="400"/>
      <c r="BE74" s="42"/>
      <c r="BF74" s="531">
        <v>0.02</v>
      </c>
      <c r="BG74" s="531"/>
      <c r="BH74" s="532"/>
      <c r="BI74" s="255"/>
      <c r="BL74" s="533"/>
      <c r="BM74" s="533"/>
      <c r="BN74" s="533"/>
      <c r="BO74" s="533"/>
      <c r="BP74" s="533"/>
      <c r="BQ74" s="533"/>
      <c r="BR74" s="533"/>
      <c r="BS74" s="533"/>
      <c r="BT74" s="533"/>
      <c r="BU74" s="533"/>
      <c r="BV74" s="254"/>
      <c r="BW74" s="310">
        <v>1000</v>
      </c>
      <c r="BX74" s="311"/>
      <c r="BY74" s="311"/>
      <c r="BZ74" s="311"/>
      <c r="CA74" s="311"/>
      <c r="CB74" s="405" t="s">
        <v>69</v>
      </c>
      <c r="CC74" s="405"/>
      <c r="CD74" s="411"/>
    </row>
    <row r="75" spans="1:110" ht="7.4" customHeight="1" x14ac:dyDescent="0.5">
      <c r="A75" s="42"/>
      <c r="B75" s="61"/>
      <c r="C75" s="400"/>
      <c r="D75" s="400"/>
      <c r="E75" s="400"/>
      <c r="F75" s="400"/>
      <c r="G75" s="400"/>
      <c r="H75" s="400"/>
      <c r="I75" s="400"/>
      <c r="J75" s="400"/>
      <c r="K75" s="400"/>
      <c r="L75" s="400"/>
      <c r="M75" s="400"/>
      <c r="N75" s="461"/>
      <c r="O75" s="462"/>
      <c r="P75" s="462"/>
      <c r="Q75" s="462"/>
      <c r="R75" s="462"/>
      <c r="S75" s="405"/>
      <c r="T75" s="405"/>
      <c r="U75" s="411"/>
      <c r="W75" s="61"/>
      <c r="X75" s="455"/>
      <c r="Y75" s="455"/>
      <c r="Z75" s="455"/>
      <c r="AA75" s="455"/>
      <c r="AB75" s="455"/>
      <c r="AC75" s="455"/>
      <c r="AD75" s="455"/>
      <c r="AE75" s="455"/>
      <c r="AF75" s="455"/>
      <c r="AG75" s="455"/>
      <c r="AH75" s="458"/>
      <c r="AI75" s="452"/>
      <c r="AJ75" s="453"/>
      <c r="AK75" s="453"/>
      <c r="AL75" s="453"/>
      <c r="AM75" s="453"/>
      <c r="AN75" s="453"/>
      <c r="AO75" s="453"/>
      <c r="AP75" s="454"/>
      <c r="AQ75" s="79"/>
      <c r="AR75" s="61"/>
      <c r="AS75" s="400"/>
      <c r="AT75" s="400"/>
      <c r="AU75" s="400"/>
      <c r="AV75" s="400"/>
      <c r="AW75" s="400"/>
      <c r="AX75" s="400"/>
      <c r="AY75" s="400"/>
      <c r="AZ75" s="400"/>
      <c r="BA75" s="400"/>
      <c r="BB75" s="400"/>
      <c r="BC75" s="400"/>
      <c r="BD75" s="400"/>
      <c r="BE75" s="42"/>
      <c r="BF75" s="531"/>
      <c r="BG75" s="531"/>
      <c r="BH75" s="532"/>
      <c r="BI75" s="255"/>
      <c r="BL75" s="533"/>
      <c r="BM75" s="533"/>
      <c r="BN75" s="533"/>
      <c r="BO75" s="533"/>
      <c r="BP75" s="533"/>
      <c r="BQ75" s="533"/>
      <c r="BR75" s="533"/>
      <c r="BS75" s="533"/>
      <c r="BT75" s="533"/>
      <c r="BU75" s="533"/>
      <c r="BV75" s="254"/>
      <c r="BW75" s="310"/>
      <c r="BX75" s="311"/>
      <c r="BY75" s="311"/>
      <c r="BZ75" s="311"/>
      <c r="CA75" s="311"/>
      <c r="CB75" s="405"/>
      <c r="CC75" s="405"/>
      <c r="CD75" s="411"/>
    </row>
    <row r="76" spans="1:110" ht="7.4" customHeight="1" x14ac:dyDescent="0.5">
      <c r="A76" s="42"/>
      <c r="B76" s="61"/>
      <c r="C76" s="62"/>
      <c r="D76" s="62"/>
      <c r="E76" s="62"/>
      <c r="F76" s="62"/>
      <c r="G76" s="62"/>
      <c r="H76" s="62"/>
      <c r="I76" s="62"/>
      <c r="J76" s="62"/>
      <c r="K76" s="62"/>
      <c r="L76" s="62"/>
      <c r="M76" s="62"/>
      <c r="N76" s="42"/>
      <c r="U76" s="41"/>
      <c r="W76" s="61"/>
      <c r="X76" s="62"/>
      <c r="Y76" s="62"/>
      <c r="Z76" s="62"/>
      <c r="AA76" s="62"/>
      <c r="AB76" s="62"/>
      <c r="AC76" s="62"/>
      <c r="AD76" s="62"/>
      <c r="AE76" s="62"/>
      <c r="AF76" s="62"/>
      <c r="AG76" s="62"/>
      <c r="AH76" s="63"/>
      <c r="AI76" s="50"/>
      <c r="AJ76" s="51"/>
      <c r="AK76" s="51"/>
      <c r="AL76" s="51"/>
      <c r="AM76" s="97"/>
      <c r="AN76" s="97"/>
      <c r="AO76" s="97"/>
      <c r="AP76" s="98"/>
      <c r="AQ76" s="79"/>
      <c r="AR76" s="61"/>
      <c r="AS76" s="400" t="s">
        <v>141</v>
      </c>
      <c r="AT76" s="400"/>
      <c r="AU76" s="400"/>
      <c r="AV76" s="400"/>
      <c r="AW76" s="400"/>
      <c r="AX76" s="400"/>
      <c r="AY76" s="400"/>
      <c r="AZ76" s="400"/>
      <c r="BA76" s="400"/>
      <c r="BB76" s="400"/>
      <c r="BC76" s="400"/>
      <c r="BD76" s="400"/>
      <c r="BE76" s="42"/>
      <c r="BF76" s="531"/>
      <c r="BG76" s="531"/>
      <c r="BH76" s="532"/>
      <c r="BI76" s="255"/>
      <c r="BW76" s="50"/>
      <c r="BX76" s="51"/>
      <c r="BY76" s="51"/>
      <c r="BZ76" s="51"/>
      <c r="CA76" s="97"/>
      <c r="CB76" s="97"/>
      <c r="CC76" s="97"/>
      <c r="CD76" s="52"/>
    </row>
    <row r="77" spans="1:110" ht="7.4" customHeight="1" x14ac:dyDescent="0.5">
      <c r="A77" s="42"/>
      <c r="B77" s="61"/>
      <c r="C77" s="457" t="s">
        <v>142</v>
      </c>
      <c r="D77" s="457"/>
      <c r="E77" s="457"/>
      <c r="F77" s="457"/>
      <c r="G77" s="457"/>
      <c r="H77" s="457"/>
      <c r="I77" s="457"/>
      <c r="J77" s="457"/>
      <c r="K77" s="457"/>
      <c r="L77" s="457"/>
      <c r="M77" s="214"/>
      <c r="N77" s="38"/>
      <c r="O77" s="39"/>
      <c r="P77" s="39"/>
      <c r="Q77" s="39"/>
      <c r="R77" s="89"/>
      <c r="S77" s="89"/>
      <c r="T77" s="89"/>
      <c r="U77" s="176"/>
      <c r="W77" s="61"/>
      <c r="X77" s="455" t="s">
        <v>94</v>
      </c>
      <c r="Y77" s="455"/>
      <c r="Z77" s="455"/>
      <c r="AA77" s="455"/>
      <c r="AB77" s="455"/>
      <c r="AC77" s="455"/>
      <c r="AD77" s="455"/>
      <c r="AE77" s="455"/>
      <c r="AF77" s="455"/>
      <c r="AG77" s="455"/>
      <c r="AH77" s="458"/>
      <c r="AI77" s="38"/>
      <c r="AJ77" s="39"/>
      <c r="AK77" s="39"/>
      <c r="AL77" s="39"/>
      <c r="AM77" s="89"/>
      <c r="AN77" s="89"/>
      <c r="AO77" s="89"/>
      <c r="AP77" s="176"/>
      <c r="AQ77" s="79"/>
      <c r="AR77" s="61"/>
      <c r="AS77" s="400"/>
      <c r="AT77" s="400"/>
      <c r="AU77" s="400"/>
      <c r="AV77" s="400"/>
      <c r="AW77" s="400"/>
      <c r="AX77" s="400"/>
      <c r="AY77" s="400"/>
      <c r="AZ77" s="400"/>
      <c r="BA77" s="400"/>
      <c r="BB77" s="400"/>
      <c r="BC77" s="400"/>
      <c r="BD77" s="400"/>
      <c r="BE77" s="42"/>
      <c r="BF77" s="531"/>
      <c r="BG77" s="531"/>
      <c r="BH77" s="532"/>
      <c r="BI77" s="255"/>
    </row>
    <row r="78" spans="1:110" ht="7.4" customHeight="1" x14ac:dyDescent="0.5">
      <c r="A78" s="42"/>
      <c r="B78" s="61"/>
      <c r="C78" s="457"/>
      <c r="D78" s="457"/>
      <c r="E78" s="457"/>
      <c r="F78" s="457"/>
      <c r="G78" s="457"/>
      <c r="H78" s="457"/>
      <c r="I78" s="457"/>
      <c r="J78" s="457"/>
      <c r="K78" s="457"/>
      <c r="L78" s="457"/>
      <c r="M78" s="214"/>
      <c r="N78" s="349">
        <v>50</v>
      </c>
      <c r="O78" s="318"/>
      <c r="P78" s="318"/>
      <c r="Q78" s="318"/>
      <c r="R78" s="318"/>
      <c r="S78" s="405" t="s">
        <v>69</v>
      </c>
      <c r="T78" s="405"/>
      <c r="U78" s="411"/>
      <c r="W78" s="61"/>
      <c r="X78" s="455"/>
      <c r="Y78" s="455"/>
      <c r="Z78" s="455"/>
      <c r="AA78" s="455"/>
      <c r="AB78" s="455"/>
      <c r="AC78" s="455"/>
      <c r="AD78" s="455"/>
      <c r="AE78" s="455"/>
      <c r="AF78" s="455"/>
      <c r="AG78" s="455"/>
      <c r="AH78" s="458"/>
      <c r="AI78" s="452" t="s">
        <v>143</v>
      </c>
      <c r="AJ78" s="453"/>
      <c r="AK78" s="453"/>
      <c r="AL78" s="453"/>
      <c r="AM78" s="453"/>
      <c r="AN78" s="453"/>
      <c r="AO78" s="453"/>
      <c r="AP78" s="454"/>
      <c r="AQ78" s="79"/>
      <c r="AR78" s="61"/>
      <c r="AS78" s="62"/>
      <c r="AT78" s="62"/>
      <c r="AU78" s="62"/>
      <c r="AV78" s="62"/>
      <c r="AW78" s="62"/>
      <c r="AX78" s="62"/>
      <c r="AY78" s="62"/>
      <c r="AZ78" s="62"/>
      <c r="BA78" s="62"/>
      <c r="BB78" s="62"/>
      <c r="BC78" s="62"/>
      <c r="BD78" s="62"/>
      <c r="BE78" s="50"/>
      <c r="BF78" s="51"/>
      <c r="BG78" s="51"/>
      <c r="BH78" s="52"/>
      <c r="BI78" s="255"/>
    </row>
    <row r="79" spans="1:110" ht="7.4" customHeight="1" x14ac:dyDescent="0.5">
      <c r="A79" s="42"/>
      <c r="B79" s="61"/>
      <c r="C79" s="457"/>
      <c r="D79" s="457"/>
      <c r="E79" s="457"/>
      <c r="F79" s="457"/>
      <c r="G79" s="457"/>
      <c r="H79" s="457"/>
      <c r="I79" s="457"/>
      <c r="J79" s="457"/>
      <c r="K79" s="457"/>
      <c r="L79" s="457"/>
      <c r="M79" s="214"/>
      <c r="N79" s="349"/>
      <c r="O79" s="318"/>
      <c r="P79" s="318"/>
      <c r="Q79" s="318"/>
      <c r="R79" s="318"/>
      <c r="S79" s="405"/>
      <c r="T79" s="405"/>
      <c r="U79" s="411"/>
      <c r="W79" s="61"/>
      <c r="X79" s="455"/>
      <c r="Y79" s="455"/>
      <c r="Z79" s="455"/>
      <c r="AA79" s="455"/>
      <c r="AB79" s="455"/>
      <c r="AC79" s="455"/>
      <c r="AD79" s="455"/>
      <c r="AE79" s="455"/>
      <c r="AF79" s="455"/>
      <c r="AG79" s="455"/>
      <c r="AH79" s="458"/>
      <c r="AI79" s="452"/>
      <c r="AJ79" s="453"/>
      <c r="AK79" s="453"/>
      <c r="AL79" s="453"/>
      <c r="AM79" s="453"/>
      <c r="AN79" s="453"/>
      <c r="AO79" s="453"/>
      <c r="AP79" s="454"/>
      <c r="AQ79" s="79"/>
      <c r="AR79" s="61"/>
      <c r="AS79" s="62"/>
      <c r="AT79" s="62"/>
      <c r="AU79" s="62"/>
      <c r="AV79" s="62"/>
      <c r="AW79" s="62"/>
      <c r="AX79" s="62"/>
      <c r="AY79" s="62"/>
      <c r="AZ79" s="62"/>
      <c r="BA79" s="62"/>
      <c r="BB79" s="62"/>
      <c r="BC79" s="62"/>
      <c r="BD79" s="63"/>
      <c r="BH79" s="41"/>
      <c r="BI79" s="255"/>
      <c r="BK79" s="351">
        <v>1</v>
      </c>
      <c r="BL79" s="352"/>
      <c r="BM79" s="353"/>
      <c r="BN79" s="351">
        <v>2</v>
      </c>
      <c r="BO79" s="352"/>
      <c r="BP79" s="353"/>
      <c r="BQ79" s="351">
        <v>3</v>
      </c>
      <c r="BR79" s="352"/>
      <c r="BS79" s="353"/>
      <c r="BT79" s="351">
        <v>4</v>
      </c>
      <c r="BU79" s="352"/>
      <c r="BV79" s="353"/>
      <c r="BW79" s="351">
        <v>5</v>
      </c>
      <c r="BX79" s="352"/>
      <c r="BY79" s="353"/>
      <c r="BZ79" s="351">
        <v>6</v>
      </c>
      <c r="CA79" s="352"/>
      <c r="CB79" s="353"/>
      <c r="CC79" s="351">
        <v>7</v>
      </c>
      <c r="CD79" s="352"/>
      <c r="CE79" s="353"/>
      <c r="CF79" s="351">
        <v>8</v>
      </c>
      <c r="CG79" s="352"/>
      <c r="CH79" s="353"/>
      <c r="CI79" s="351">
        <v>9</v>
      </c>
      <c r="CJ79" s="352"/>
      <c r="CK79" s="353"/>
      <c r="CL79" s="351">
        <v>10</v>
      </c>
      <c r="CM79" s="352"/>
      <c r="CN79" s="353"/>
      <c r="CO79" s="351">
        <v>11</v>
      </c>
      <c r="CP79" s="352"/>
      <c r="CQ79" s="353"/>
      <c r="CR79" s="351">
        <v>12</v>
      </c>
      <c r="CS79" s="352"/>
      <c r="CT79" s="353"/>
      <c r="CU79" s="351">
        <v>13</v>
      </c>
      <c r="CV79" s="352"/>
      <c r="CW79" s="353"/>
      <c r="CX79" s="351">
        <v>14</v>
      </c>
      <c r="CY79" s="352"/>
      <c r="CZ79" s="353"/>
      <c r="DA79" s="351">
        <v>15</v>
      </c>
      <c r="DB79" s="352"/>
      <c r="DC79" s="353"/>
      <c r="DD79" s="351">
        <v>16</v>
      </c>
      <c r="DE79" s="352"/>
      <c r="DF79" s="353"/>
    </row>
    <row r="80" spans="1:110" ht="7.4" customHeight="1" x14ac:dyDescent="0.5">
      <c r="A80" s="42"/>
      <c r="B80" s="61"/>
      <c r="C80" s="180"/>
      <c r="D80" s="180"/>
      <c r="E80" s="180"/>
      <c r="F80" s="180"/>
      <c r="G80" s="180"/>
      <c r="H80" s="180"/>
      <c r="I80" s="180"/>
      <c r="J80" s="180"/>
      <c r="K80" s="180"/>
      <c r="L80" s="180"/>
      <c r="M80" s="180"/>
      <c r="N80" s="42"/>
      <c r="O80" s="25"/>
      <c r="P80" s="25"/>
      <c r="Q80" s="25"/>
      <c r="R80" s="25"/>
      <c r="S80" s="25"/>
      <c r="T80" s="25"/>
      <c r="U80" s="44"/>
      <c r="W80" s="61"/>
      <c r="X80" s="62"/>
      <c r="Y80" s="62"/>
      <c r="Z80" s="62"/>
      <c r="AA80" s="62"/>
      <c r="AB80" s="62"/>
      <c r="AC80" s="62"/>
      <c r="AD80" s="62"/>
      <c r="AE80" s="62"/>
      <c r="AF80" s="62"/>
      <c r="AG80" s="62"/>
      <c r="AH80" s="63"/>
      <c r="AI80" s="50"/>
      <c r="AJ80" s="51"/>
      <c r="AK80" s="51"/>
      <c r="AL80" s="51"/>
      <c r="AM80" s="97"/>
      <c r="AN80" s="97"/>
      <c r="AO80" s="97"/>
      <c r="AP80" s="98"/>
      <c r="AQ80" s="79"/>
      <c r="AR80" s="61"/>
      <c r="AS80" s="400" t="s">
        <v>93</v>
      </c>
      <c r="AT80" s="400"/>
      <c r="AU80" s="400"/>
      <c r="AV80" s="400"/>
      <c r="AW80" s="400"/>
      <c r="AX80" s="400"/>
      <c r="AY80" s="400"/>
      <c r="AZ80" s="400"/>
      <c r="BA80" s="400"/>
      <c r="BB80" s="400"/>
      <c r="BC80" s="400"/>
      <c r="BD80" s="448"/>
      <c r="BF80" s="531">
        <v>0.04</v>
      </c>
      <c r="BG80" s="531"/>
      <c r="BH80" s="532"/>
      <c r="BI80" s="41"/>
      <c r="BK80" s="310"/>
      <c r="BL80" s="311"/>
      <c r="BM80" s="312"/>
      <c r="BN80" s="354"/>
      <c r="BO80" s="355"/>
      <c r="BP80" s="356"/>
      <c r="BQ80" s="354"/>
      <c r="BR80" s="355"/>
      <c r="BS80" s="356"/>
      <c r="BT80" s="354"/>
      <c r="BU80" s="355"/>
      <c r="BV80" s="356"/>
      <c r="BW80" s="354"/>
      <c r="BX80" s="355"/>
      <c r="BY80" s="356"/>
      <c r="BZ80" s="354"/>
      <c r="CA80" s="355"/>
      <c r="CB80" s="356"/>
      <c r="CC80" s="354"/>
      <c r="CD80" s="355"/>
      <c r="CE80" s="356"/>
      <c r="CF80" s="354"/>
      <c r="CG80" s="355"/>
      <c r="CH80" s="356"/>
      <c r="CI80" s="354"/>
      <c r="CJ80" s="355"/>
      <c r="CK80" s="356"/>
      <c r="CL80" s="354"/>
      <c r="CM80" s="355"/>
      <c r="CN80" s="356"/>
      <c r="CO80" s="354"/>
      <c r="CP80" s="355"/>
      <c r="CQ80" s="356"/>
      <c r="CR80" s="354"/>
      <c r="CS80" s="355"/>
      <c r="CT80" s="356"/>
      <c r="CU80" s="354"/>
      <c r="CV80" s="355"/>
      <c r="CW80" s="356"/>
      <c r="CX80" s="354"/>
      <c r="CY80" s="355"/>
      <c r="CZ80" s="356"/>
      <c r="DA80" s="354"/>
      <c r="DB80" s="355"/>
      <c r="DC80" s="356"/>
      <c r="DD80" s="354"/>
      <c r="DE80" s="355"/>
      <c r="DF80" s="356"/>
    </row>
    <row r="81" spans="1:126" ht="7.4" customHeight="1" x14ac:dyDescent="0.5">
      <c r="A81" s="42"/>
      <c r="B81" s="61"/>
      <c r="C81" s="457" t="s">
        <v>144</v>
      </c>
      <c r="D81" s="457"/>
      <c r="E81" s="457"/>
      <c r="F81" s="457"/>
      <c r="G81" s="457"/>
      <c r="H81" s="457"/>
      <c r="I81" s="457"/>
      <c r="J81" s="457"/>
      <c r="K81" s="457"/>
      <c r="L81" s="457"/>
      <c r="M81" s="214"/>
      <c r="N81" s="38"/>
      <c r="O81" s="39"/>
      <c r="P81" s="39"/>
      <c r="Q81" s="39"/>
      <c r="R81" s="89"/>
      <c r="S81" s="89"/>
      <c r="T81" s="89"/>
      <c r="U81" s="176"/>
      <c r="W81" s="61"/>
      <c r="X81" s="180"/>
      <c r="Y81" s="180"/>
      <c r="Z81" s="180"/>
      <c r="AA81" s="180"/>
      <c r="AB81" s="180"/>
      <c r="AC81" s="180"/>
      <c r="AD81" s="180"/>
      <c r="AE81" s="180"/>
      <c r="AF81" s="180"/>
      <c r="AG81" s="180"/>
      <c r="AH81" s="215"/>
      <c r="AI81" s="38"/>
      <c r="AJ81" s="39"/>
      <c r="AK81" s="39"/>
      <c r="AL81" s="39"/>
      <c r="AM81" s="89"/>
      <c r="AN81" s="89"/>
      <c r="AO81" s="89"/>
      <c r="AP81" s="176"/>
      <c r="AQ81" s="79"/>
      <c r="AR81" s="61"/>
      <c r="AS81" s="400"/>
      <c r="AT81" s="400"/>
      <c r="AU81" s="400"/>
      <c r="AV81" s="400"/>
      <c r="AW81" s="400"/>
      <c r="AX81" s="400"/>
      <c r="AY81" s="400"/>
      <c r="AZ81" s="400"/>
      <c r="BA81" s="400"/>
      <c r="BB81" s="400"/>
      <c r="BC81" s="400"/>
      <c r="BD81" s="448"/>
      <c r="BF81" s="531"/>
      <c r="BG81" s="531"/>
      <c r="BH81" s="532"/>
      <c r="BI81" s="41"/>
      <c r="BK81" s="445" cm="1">
        <f t="array" ref="BK81">IF(M54&gt;0,MIN(IF($DY$110:$ME$110*1000&gt;=BK87,$DY$110:$ME$110*1000)),0)/1000</f>
        <v>29.25</v>
      </c>
      <c r="BL81" s="446"/>
      <c r="BM81" s="447"/>
      <c r="BN81" s="445" cm="1">
        <f t="array" ref="BN81">IF(P54&gt;0,MIN(IF($DY$110:$ME$110*1000&gt;=BN87,$DY$110:$ME$110*1000)),0)/1000</f>
        <v>0</v>
      </c>
      <c r="BO81" s="446"/>
      <c r="BP81" s="447"/>
      <c r="BQ81" s="445" cm="1">
        <f t="array" ref="BQ81">IF(S54&gt;0,MIN(IF($DY$110:$ME$110*1000&gt;=BQ87,$DY$110:$ME$110*1000)),0)/1000</f>
        <v>0</v>
      </c>
      <c r="BR81" s="446"/>
      <c r="BS81" s="447"/>
      <c r="BT81" s="445" cm="1">
        <f t="array" ref="BT81">IF(V54&gt;0,MIN(IF($DY$110:$ME$110*1000&gt;=BT87,$DY$110:$ME$110*1000)),0)/1000</f>
        <v>0</v>
      </c>
      <c r="BU81" s="446"/>
      <c r="BV81" s="447"/>
      <c r="BW81" s="445" cm="1">
        <f t="array" ref="BW81">IF(Y54&gt;0,MIN(IF($DY$110:$ME$110*1000&gt;=BW87,$DY$110:$ME$110*1000)),0)/1000</f>
        <v>0</v>
      </c>
      <c r="BX81" s="446"/>
      <c r="BY81" s="447"/>
      <c r="BZ81" s="445" cm="1">
        <f t="array" ref="BZ81">IF(AB54&gt;0,MIN(IF($DY$110:$ME$110*1000&gt;=BZ87,$DY$110:$ME$110*1000)),0)/1000</f>
        <v>0</v>
      </c>
      <c r="CA81" s="446"/>
      <c r="CB81" s="447"/>
      <c r="CC81" s="445" cm="1">
        <f t="array" ref="CC81">IF(AE54&gt;0,MIN(IF($DY$110:$ME$110*1000&gt;=CC87,$DY$110:$ME$110*1000)),0)/1000</f>
        <v>0</v>
      </c>
      <c r="CD81" s="446"/>
      <c r="CE81" s="447"/>
      <c r="CF81" s="445" cm="1">
        <f t="array" ref="CF81">IF(AH54&gt;0,MIN(IF($DY$110:$ME$110*1000&gt;=CF87,$DY$110:$ME$110*1000)),0)/1000</f>
        <v>0</v>
      </c>
      <c r="CG81" s="446"/>
      <c r="CH81" s="447"/>
      <c r="CI81" s="445" cm="1">
        <f t="array" ref="CI81">IF(AK54&gt;0,MIN(IF($DY$110:$ME$110*1000&gt;=CI87,$DY$110:$ME$110*1000)),0)/1000</f>
        <v>0</v>
      </c>
      <c r="CJ81" s="446"/>
      <c r="CK81" s="447"/>
      <c r="CL81" s="445" cm="1">
        <f t="array" ref="CL81">IF(AN54&gt;0,MIN(IF($DY$110:$ME$110*1000&gt;=CL87,$DY$110:$ME$110*1000)),0)/1000</f>
        <v>0</v>
      </c>
      <c r="CM81" s="446"/>
      <c r="CN81" s="447"/>
      <c r="CO81" s="445" cm="1">
        <f t="array" ref="CO81">IF(AQ54&gt;0,MIN(IF($DY$110:$ME$110*1000&gt;=CO87,$DY$110:$ME$110*1000)),0)/1000</f>
        <v>0</v>
      </c>
      <c r="CP81" s="446"/>
      <c r="CQ81" s="447"/>
      <c r="CR81" s="445" cm="1">
        <f t="array" ref="CR81">IF(AT54&gt;0,MIN(IF($DY$110:$ME$110*1000&gt;=CR87,$DY$110:$ME$110*1000)),0)/1000</f>
        <v>0</v>
      </c>
      <c r="CS81" s="446"/>
      <c r="CT81" s="447"/>
      <c r="CU81" s="445" cm="1">
        <f t="array" ref="CU81">IF(AW54&gt;0,MIN(IF($DY$110:$ME$110*1000&gt;=CU87,$DY$110:$ME$110*1000)),0)/1000</f>
        <v>0</v>
      </c>
      <c r="CV81" s="446"/>
      <c r="CW81" s="447"/>
      <c r="CX81" s="445" cm="1">
        <f t="array" ref="CX81">IF(AZ54&gt;0,MIN(IF($DY$110:$ME$110*1000&gt;=CX87,$DY$110:$ME$110*1000)),0)/1000</f>
        <v>0</v>
      </c>
      <c r="CY81" s="446"/>
      <c r="CZ81" s="447"/>
      <c r="DA81" s="445" cm="1">
        <f t="array" ref="DA81">IF(BC54&gt;0,MIN(IF($DY$110:$ME$110*1000&gt;=DA87,$DY$110:$ME$110*1000)),0)/1000</f>
        <v>0</v>
      </c>
      <c r="DB81" s="446"/>
      <c r="DC81" s="447"/>
      <c r="DD81" s="445" cm="1">
        <f t="array" ref="DD81">IF(BF54&gt;0,MIN(IF($DY$110:$ME$110*1000&gt;=DD87,$DY$110:$ME$110*1000)),0)/1000</f>
        <v>0</v>
      </c>
      <c r="DE81" s="446"/>
      <c r="DF81" s="447"/>
      <c r="DG81" s="38"/>
      <c r="DH81" s="380" t="s">
        <v>100</v>
      </c>
      <c r="DI81" s="380"/>
      <c r="DJ81" s="380"/>
      <c r="DK81" s="380"/>
      <c r="DL81" s="380"/>
      <c r="DM81" s="380"/>
      <c r="DN81" s="380"/>
      <c r="DO81" s="380"/>
      <c r="DP81" s="380"/>
      <c r="DQ81" s="380"/>
      <c r="DR81" s="380"/>
      <c r="DS81" s="380"/>
      <c r="DT81" s="380"/>
      <c r="DU81" s="380"/>
      <c r="DV81" s="40"/>
    </row>
    <row r="82" spans="1:126" ht="7.4" customHeight="1" x14ac:dyDescent="0.5">
      <c r="A82" s="42"/>
      <c r="B82" s="61"/>
      <c r="C82" s="457"/>
      <c r="D82" s="457"/>
      <c r="E82" s="457"/>
      <c r="F82" s="457"/>
      <c r="G82" s="457"/>
      <c r="H82" s="457"/>
      <c r="I82" s="457"/>
      <c r="J82" s="457"/>
      <c r="K82" s="457"/>
      <c r="L82" s="457"/>
      <c r="M82" s="214"/>
      <c r="N82" s="349">
        <v>250</v>
      </c>
      <c r="O82" s="318"/>
      <c r="P82" s="318"/>
      <c r="Q82" s="318"/>
      <c r="R82" s="318"/>
      <c r="S82" s="405" t="s">
        <v>69</v>
      </c>
      <c r="T82" s="405"/>
      <c r="U82" s="411"/>
      <c r="W82" s="61"/>
      <c r="X82" s="400" t="s">
        <v>145</v>
      </c>
      <c r="Y82" s="400"/>
      <c r="Z82" s="400"/>
      <c r="AA82" s="400"/>
      <c r="AB82" s="400"/>
      <c r="AC82" s="400"/>
      <c r="AD82" s="400"/>
      <c r="AE82" s="400"/>
      <c r="AF82" s="400"/>
      <c r="AG82" s="400"/>
      <c r="AH82" s="448"/>
      <c r="AI82" s="452" t="s">
        <v>42</v>
      </c>
      <c r="AJ82" s="453"/>
      <c r="AK82" s="453"/>
      <c r="AL82" s="453"/>
      <c r="AM82" s="453"/>
      <c r="AN82" s="453"/>
      <c r="AO82" s="453"/>
      <c r="AP82" s="454"/>
      <c r="AQ82" s="79"/>
      <c r="AR82" s="61"/>
      <c r="AS82" s="62"/>
      <c r="AT82" s="62"/>
      <c r="AU82" s="62"/>
      <c r="AV82" s="62"/>
      <c r="AW82" s="62"/>
      <c r="AX82" s="62"/>
      <c r="AY82" s="62"/>
      <c r="AZ82" s="62"/>
      <c r="BA82" s="62"/>
      <c r="BB82" s="62"/>
      <c r="BC82" s="62"/>
      <c r="BD82" s="63"/>
      <c r="BE82" s="51"/>
      <c r="BF82" s="51"/>
      <c r="BG82" s="51"/>
      <c r="BH82" s="52"/>
      <c r="BI82" s="255"/>
      <c r="BK82" s="357"/>
      <c r="BL82" s="358"/>
      <c r="BM82" s="359"/>
      <c r="BN82" s="357"/>
      <c r="BO82" s="358"/>
      <c r="BP82" s="359"/>
      <c r="BQ82" s="357"/>
      <c r="BR82" s="358"/>
      <c r="BS82" s="359"/>
      <c r="BT82" s="357"/>
      <c r="BU82" s="358"/>
      <c r="BV82" s="359"/>
      <c r="BW82" s="357"/>
      <c r="BX82" s="358"/>
      <c r="BY82" s="359"/>
      <c r="BZ82" s="357"/>
      <c r="CA82" s="358"/>
      <c r="CB82" s="359"/>
      <c r="CC82" s="357"/>
      <c r="CD82" s="358"/>
      <c r="CE82" s="359"/>
      <c r="CF82" s="357"/>
      <c r="CG82" s="358"/>
      <c r="CH82" s="359"/>
      <c r="CI82" s="357"/>
      <c r="CJ82" s="358"/>
      <c r="CK82" s="359"/>
      <c r="CL82" s="357"/>
      <c r="CM82" s="358"/>
      <c r="CN82" s="359"/>
      <c r="CO82" s="357"/>
      <c r="CP82" s="358"/>
      <c r="CQ82" s="359"/>
      <c r="CR82" s="357"/>
      <c r="CS82" s="358"/>
      <c r="CT82" s="359"/>
      <c r="CU82" s="357"/>
      <c r="CV82" s="358"/>
      <c r="CW82" s="359"/>
      <c r="CX82" s="357"/>
      <c r="CY82" s="358"/>
      <c r="CZ82" s="359"/>
      <c r="DA82" s="357"/>
      <c r="DB82" s="358"/>
      <c r="DC82" s="359"/>
      <c r="DD82" s="357"/>
      <c r="DE82" s="358"/>
      <c r="DF82" s="359"/>
      <c r="DG82" s="42"/>
      <c r="DH82" s="382"/>
      <c r="DI82" s="382"/>
      <c r="DJ82" s="382"/>
      <c r="DK82" s="382"/>
      <c r="DL82" s="382"/>
      <c r="DM82" s="382"/>
      <c r="DN82" s="382"/>
      <c r="DO82" s="382"/>
      <c r="DP82" s="382"/>
      <c r="DQ82" s="382"/>
      <c r="DR82" s="382"/>
      <c r="DS82" s="382"/>
      <c r="DT82" s="382"/>
      <c r="DU82" s="382"/>
      <c r="DV82" s="41"/>
    </row>
    <row r="83" spans="1:126" ht="7.4" customHeight="1" x14ac:dyDescent="0.5">
      <c r="A83" s="42"/>
      <c r="B83" s="61"/>
      <c r="C83" s="457"/>
      <c r="D83" s="457"/>
      <c r="E83" s="457"/>
      <c r="F83" s="457"/>
      <c r="G83" s="457"/>
      <c r="H83" s="457"/>
      <c r="I83" s="457"/>
      <c r="J83" s="457"/>
      <c r="K83" s="457"/>
      <c r="L83" s="457"/>
      <c r="M83" s="214"/>
      <c r="N83" s="349"/>
      <c r="O83" s="318"/>
      <c r="P83" s="318"/>
      <c r="Q83" s="318"/>
      <c r="R83" s="318"/>
      <c r="S83" s="405"/>
      <c r="T83" s="405"/>
      <c r="U83" s="411"/>
      <c r="W83" s="61"/>
      <c r="X83" s="400"/>
      <c r="Y83" s="400"/>
      <c r="Z83" s="400"/>
      <c r="AA83" s="400"/>
      <c r="AB83" s="400"/>
      <c r="AC83" s="400"/>
      <c r="AD83" s="400"/>
      <c r="AE83" s="400"/>
      <c r="AF83" s="400"/>
      <c r="AG83" s="400"/>
      <c r="AH83" s="448"/>
      <c r="AI83" s="452"/>
      <c r="AJ83" s="453"/>
      <c r="AK83" s="453"/>
      <c r="AL83" s="453"/>
      <c r="AM83" s="453"/>
      <c r="AN83" s="453"/>
      <c r="AO83" s="453"/>
      <c r="AP83" s="454"/>
      <c r="AQ83" s="79"/>
      <c r="AR83" s="61"/>
      <c r="AS83" s="62"/>
      <c r="AT83" s="62"/>
      <c r="AU83" s="62"/>
      <c r="AV83" s="62"/>
      <c r="AW83" s="62"/>
      <c r="AX83" s="62"/>
      <c r="AY83" s="62"/>
      <c r="AZ83" s="62"/>
      <c r="BA83" s="62"/>
      <c r="BB83" s="62"/>
      <c r="BC83" s="62"/>
      <c r="BD83" s="63"/>
      <c r="BE83" s="39"/>
      <c r="BF83" s="39"/>
      <c r="BG83" s="39"/>
      <c r="BH83" s="40"/>
      <c r="BI83" s="255"/>
      <c r="BK83" s="440">
        <f>IF(M54&gt;0,HLOOKUP(BK81,$DY$110:$ME$112,2),0)</f>
        <v>0</v>
      </c>
      <c r="BL83" s="441"/>
      <c r="BM83" s="442"/>
      <c r="BN83" s="440">
        <f>IF(P54&gt;0,HLOOKUP(BN81,$DY$110:$ME$112,2),0)</f>
        <v>0</v>
      </c>
      <c r="BO83" s="441"/>
      <c r="BP83" s="442"/>
      <c r="BQ83" s="440">
        <f>IF(S54&gt;0,HLOOKUP(BQ81,$DY$110:$ME$112,2),0)</f>
        <v>0</v>
      </c>
      <c r="BR83" s="441"/>
      <c r="BS83" s="442"/>
      <c r="BT83" s="440">
        <f>IF(V54&gt;0,HLOOKUP(BT81,$DY$110:$ME$112,2),0)</f>
        <v>0</v>
      </c>
      <c r="BU83" s="441"/>
      <c r="BV83" s="442"/>
      <c r="BW83" s="440">
        <f>IF(Y54&gt;0,HLOOKUP(BW81,$DY$110:$ME$112,2),0)</f>
        <v>0</v>
      </c>
      <c r="BX83" s="441"/>
      <c r="BY83" s="442"/>
      <c r="BZ83" s="440">
        <f>IF(AB54&gt;0,HLOOKUP(BZ81,$DY$110:$ME$112,2),0)</f>
        <v>0</v>
      </c>
      <c r="CA83" s="441"/>
      <c r="CB83" s="442"/>
      <c r="CC83" s="440">
        <f>IF(AE54&gt;0,HLOOKUP(CC81,$DY$110:$ME$112,2),0)</f>
        <v>0</v>
      </c>
      <c r="CD83" s="441"/>
      <c r="CE83" s="442"/>
      <c r="CF83" s="440">
        <f>IF(AH54&gt;0,HLOOKUP(CF81,$DY$110:$ME$112,2),0)</f>
        <v>0</v>
      </c>
      <c r="CG83" s="441"/>
      <c r="CH83" s="442"/>
      <c r="CI83" s="440">
        <f>IF(AK54&gt;0,HLOOKUP(CI81,$DY$110:$ME$112,2),0)</f>
        <v>0</v>
      </c>
      <c r="CJ83" s="441"/>
      <c r="CK83" s="442"/>
      <c r="CL83" s="440">
        <f>IF(AN54&gt;0,HLOOKUP(CL81,$DY$110:$ME$112,2),0)</f>
        <v>0</v>
      </c>
      <c r="CM83" s="441"/>
      <c r="CN83" s="442"/>
      <c r="CO83" s="440">
        <f>IF(AQ54&gt;0,HLOOKUP(CO81,$DY$110:$ME$112,2),0)</f>
        <v>0</v>
      </c>
      <c r="CP83" s="441"/>
      <c r="CQ83" s="442"/>
      <c r="CR83" s="440">
        <f>IF(AT54&gt;0,HLOOKUP(CR81,$DY$110:$ME$112,2),0)</f>
        <v>0</v>
      </c>
      <c r="CS83" s="441"/>
      <c r="CT83" s="442"/>
      <c r="CU83" s="440">
        <f>IF(AW54&gt;0,HLOOKUP(CU81,$DY$110:$ME$112,2),0)</f>
        <v>0</v>
      </c>
      <c r="CV83" s="441"/>
      <c r="CW83" s="442"/>
      <c r="CX83" s="440">
        <f>IF(AZ54&gt;0,HLOOKUP(CX81,$DY$110:$ME$112,2),0)</f>
        <v>0</v>
      </c>
      <c r="CY83" s="441"/>
      <c r="CZ83" s="442"/>
      <c r="DA83" s="440">
        <f>IF(BC54&gt;0,HLOOKUP(DA81,$DY$110:$ME$112,2),0)</f>
        <v>0</v>
      </c>
      <c r="DB83" s="441"/>
      <c r="DC83" s="442"/>
      <c r="DD83" s="440">
        <f>IF(BF54&gt;0,HLOOKUP(DD81,$DY$110:$ME$112,2),0)</f>
        <v>0</v>
      </c>
      <c r="DE83" s="441"/>
      <c r="DF83" s="442"/>
      <c r="DG83" s="42"/>
      <c r="DH83" s="443">
        <f>DX111</f>
        <v>4.7</v>
      </c>
      <c r="DI83" s="443"/>
      <c r="DJ83" s="444" t="s">
        <v>101</v>
      </c>
      <c r="DK83" s="444"/>
      <c r="DL83" s="444"/>
      <c r="DM83" s="444"/>
      <c r="DN83" s="444"/>
      <c r="DO83" s="444"/>
      <c r="DP83" s="444"/>
      <c r="DQ83" s="444"/>
      <c r="DR83" s="444"/>
      <c r="DS83" s="444"/>
      <c r="DV83" s="41"/>
    </row>
    <row r="84" spans="1:126" ht="7.4" customHeight="1" x14ac:dyDescent="0.5">
      <c r="A84" s="42"/>
      <c r="B84" s="64"/>
      <c r="C84" s="65"/>
      <c r="D84" s="65"/>
      <c r="E84" s="65"/>
      <c r="F84" s="65"/>
      <c r="G84" s="65"/>
      <c r="H84" s="65"/>
      <c r="I84" s="65"/>
      <c r="J84" s="65"/>
      <c r="K84" s="65"/>
      <c r="L84" s="65"/>
      <c r="M84" s="66"/>
      <c r="N84" s="50"/>
      <c r="O84" s="51"/>
      <c r="P84" s="51"/>
      <c r="Q84" s="51"/>
      <c r="R84" s="97"/>
      <c r="S84" s="97"/>
      <c r="T84" s="97"/>
      <c r="U84" s="98"/>
      <c r="W84" s="61"/>
      <c r="X84" s="216"/>
      <c r="Y84" s="216"/>
      <c r="Z84" s="216"/>
      <c r="AA84" s="216"/>
      <c r="AB84" s="216"/>
      <c r="AC84" s="216"/>
      <c r="AD84" s="216"/>
      <c r="AE84" s="216"/>
      <c r="AF84" s="216"/>
      <c r="AG84" s="216"/>
      <c r="AH84" s="217"/>
      <c r="AI84" s="50"/>
      <c r="AJ84" s="51"/>
      <c r="AK84" s="51"/>
      <c r="AL84" s="51"/>
      <c r="AM84" s="97"/>
      <c r="AN84" s="97"/>
      <c r="AO84" s="97"/>
      <c r="AP84" s="98"/>
      <c r="AQ84" s="79"/>
      <c r="AR84" s="61"/>
      <c r="AS84" s="400" t="s">
        <v>97</v>
      </c>
      <c r="AT84" s="400"/>
      <c r="AU84" s="400"/>
      <c r="AV84" s="400"/>
      <c r="AW84" s="400"/>
      <c r="AX84" s="400"/>
      <c r="AY84" s="400"/>
      <c r="AZ84" s="400"/>
      <c r="BA84" s="400"/>
      <c r="BB84" s="400"/>
      <c r="BC84" s="400"/>
      <c r="BD84" s="448"/>
      <c r="BF84" s="531">
        <v>0.03</v>
      </c>
      <c r="BG84" s="531"/>
      <c r="BH84" s="532"/>
      <c r="BI84" s="41"/>
      <c r="BK84" s="440"/>
      <c r="BL84" s="441"/>
      <c r="BM84" s="442"/>
      <c r="BN84" s="440"/>
      <c r="BO84" s="441"/>
      <c r="BP84" s="442"/>
      <c r="BQ84" s="440"/>
      <c r="BR84" s="441"/>
      <c r="BS84" s="442"/>
      <c r="BT84" s="440"/>
      <c r="BU84" s="441"/>
      <c r="BV84" s="442"/>
      <c r="BW84" s="440"/>
      <c r="BX84" s="441"/>
      <c r="BY84" s="442"/>
      <c r="BZ84" s="440"/>
      <c r="CA84" s="441"/>
      <c r="CB84" s="442"/>
      <c r="CC84" s="440"/>
      <c r="CD84" s="441"/>
      <c r="CE84" s="442"/>
      <c r="CF84" s="440"/>
      <c r="CG84" s="441"/>
      <c r="CH84" s="442"/>
      <c r="CI84" s="440"/>
      <c r="CJ84" s="441"/>
      <c r="CK84" s="442"/>
      <c r="CL84" s="440"/>
      <c r="CM84" s="441"/>
      <c r="CN84" s="442"/>
      <c r="CO84" s="440"/>
      <c r="CP84" s="441"/>
      <c r="CQ84" s="442"/>
      <c r="CR84" s="440"/>
      <c r="CS84" s="441"/>
      <c r="CT84" s="442"/>
      <c r="CU84" s="440"/>
      <c r="CV84" s="441"/>
      <c r="CW84" s="442"/>
      <c r="CX84" s="440"/>
      <c r="CY84" s="441"/>
      <c r="CZ84" s="442"/>
      <c r="DA84" s="440"/>
      <c r="DB84" s="441"/>
      <c r="DC84" s="442"/>
      <c r="DD84" s="440"/>
      <c r="DE84" s="441"/>
      <c r="DF84" s="442"/>
      <c r="DG84" s="42"/>
      <c r="DH84" s="443"/>
      <c r="DI84" s="443"/>
      <c r="DJ84" s="444"/>
      <c r="DK84" s="444"/>
      <c r="DL84" s="444"/>
      <c r="DM84" s="444"/>
      <c r="DN84" s="444"/>
      <c r="DO84" s="444"/>
      <c r="DP84" s="444"/>
      <c r="DQ84" s="444"/>
      <c r="DR84" s="444"/>
      <c r="DS84" s="444"/>
      <c r="DV84" s="41"/>
    </row>
    <row r="85" spans="1:126" ht="7.4" customHeight="1" x14ac:dyDescent="0.5">
      <c r="A85" s="42"/>
      <c r="C85" s="254"/>
      <c r="D85" s="254"/>
      <c r="E85" s="254"/>
      <c r="F85" s="254"/>
      <c r="G85" s="254"/>
      <c r="H85" s="254"/>
      <c r="I85" s="254"/>
      <c r="J85" s="254"/>
      <c r="K85" s="254"/>
      <c r="L85" s="254"/>
      <c r="M85" s="254"/>
      <c r="O85" s="291"/>
      <c r="P85" s="291"/>
      <c r="Q85" s="291"/>
      <c r="R85" s="291"/>
      <c r="S85" s="291"/>
      <c r="T85" s="291"/>
      <c r="U85" s="291"/>
      <c r="V85" s="256"/>
      <c r="W85" s="61"/>
      <c r="X85" s="180"/>
      <c r="Y85" s="180"/>
      <c r="Z85" s="180"/>
      <c r="AA85" s="180"/>
      <c r="AB85" s="180"/>
      <c r="AC85" s="180"/>
      <c r="AD85" s="180"/>
      <c r="AE85" s="180"/>
      <c r="AF85" s="180"/>
      <c r="AG85" s="180"/>
      <c r="AH85" s="215"/>
      <c r="AI85" s="39"/>
      <c r="AJ85" s="39"/>
      <c r="AK85" s="39"/>
      <c r="AL85" s="39"/>
      <c r="AM85" s="89"/>
      <c r="AN85" s="89"/>
      <c r="AO85" s="89"/>
      <c r="AP85" s="176"/>
      <c r="AQ85" s="79"/>
      <c r="AR85" s="61"/>
      <c r="AS85" s="400"/>
      <c r="AT85" s="400"/>
      <c r="AU85" s="400"/>
      <c r="AV85" s="400"/>
      <c r="AW85" s="400"/>
      <c r="AX85" s="400"/>
      <c r="AY85" s="400"/>
      <c r="AZ85" s="400"/>
      <c r="BA85" s="400"/>
      <c r="BB85" s="400"/>
      <c r="BC85" s="400"/>
      <c r="BD85" s="448"/>
      <c r="BF85" s="531"/>
      <c r="BG85" s="531"/>
      <c r="BH85" s="532"/>
      <c r="BI85" s="41"/>
      <c r="BK85" s="440">
        <f>IF(M54&gt;0,HLOOKUP(BK81,$DY$110:$ME$112,3),0)</f>
        <v>5</v>
      </c>
      <c r="BL85" s="441"/>
      <c r="BM85" s="442"/>
      <c r="BN85" s="440">
        <f>IF(P54&gt;0,HLOOKUP(BN81,$DY$110:$ME$112,3),0)</f>
        <v>0</v>
      </c>
      <c r="BO85" s="441"/>
      <c r="BP85" s="442"/>
      <c r="BQ85" s="440">
        <f>IF(S54&gt;0,HLOOKUP(BQ81,$DY$110:$ME$112,3),0)</f>
        <v>0</v>
      </c>
      <c r="BR85" s="441"/>
      <c r="BS85" s="442"/>
      <c r="BT85" s="440">
        <f>IF(V54&gt;0,HLOOKUP(BT81,$DY$110:$ME$112,3),0)</f>
        <v>0</v>
      </c>
      <c r="BU85" s="441"/>
      <c r="BV85" s="442"/>
      <c r="BW85" s="440">
        <f>IF(Y54&gt;0,HLOOKUP(BW81,$DY$110:$ME$112,3),0)</f>
        <v>0</v>
      </c>
      <c r="BX85" s="441"/>
      <c r="BY85" s="442"/>
      <c r="BZ85" s="440">
        <f>IF(AB54&gt;0,HLOOKUP(BZ81,$DY$110:$ME$112,3),0)</f>
        <v>0</v>
      </c>
      <c r="CA85" s="441"/>
      <c r="CB85" s="442"/>
      <c r="CC85" s="440">
        <f>IF(AE54&gt;0,HLOOKUP(CC81,$DY$110:$ME$112,3),0)</f>
        <v>0</v>
      </c>
      <c r="CD85" s="441"/>
      <c r="CE85" s="442"/>
      <c r="CF85" s="440">
        <f>IF(AH54&gt;0,HLOOKUP(CF81,$DY$110:$ME$112,3),0)</f>
        <v>0</v>
      </c>
      <c r="CG85" s="441"/>
      <c r="CH85" s="442"/>
      <c r="CI85" s="440">
        <f>IF(AK54&gt;0,HLOOKUP(CI81,$DY$110:$ME$112,3),0)</f>
        <v>0</v>
      </c>
      <c r="CJ85" s="441"/>
      <c r="CK85" s="442"/>
      <c r="CL85" s="440">
        <f>IF(AN54&gt;0,HLOOKUP(CL81,$DY$110:$ME$112,3),0)</f>
        <v>0</v>
      </c>
      <c r="CM85" s="441"/>
      <c r="CN85" s="442"/>
      <c r="CO85" s="440">
        <f>IF(AQ54&gt;0,HLOOKUP(CO81,$DY$110:$ME$112,3),0)</f>
        <v>0</v>
      </c>
      <c r="CP85" s="441"/>
      <c r="CQ85" s="442"/>
      <c r="CR85" s="440">
        <f>IF(AT54&gt;0,HLOOKUP(CR81,$DY$110:$ME$112,3),0)</f>
        <v>0</v>
      </c>
      <c r="CS85" s="441"/>
      <c r="CT85" s="442"/>
      <c r="CU85" s="440">
        <f>IF(AW54&gt;0,HLOOKUP(CU81,$DY$110:$ME$112,3),0)</f>
        <v>0</v>
      </c>
      <c r="CV85" s="441"/>
      <c r="CW85" s="442"/>
      <c r="CX85" s="440">
        <f>IF(AZ54&gt;0,HLOOKUP(CX81,$DY$110:$ME$112,3),0)</f>
        <v>0</v>
      </c>
      <c r="CY85" s="441"/>
      <c r="CZ85" s="442"/>
      <c r="DA85" s="440">
        <f>IF(BC54&gt;0,HLOOKUP(DA81,$DY$110:$ME$112,3),0)</f>
        <v>0</v>
      </c>
      <c r="DB85" s="441"/>
      <c r="DC85" s="442"/>
      <c r="DD85" s="440">
        <f>IF(BF54&gt;0,HLOOKUP(DD81,$DY$110:$ME$112,3),0)</f>
        <v>0</v>
      </c>
      <c r="DE85" s="441"/>
      <c r="DF85" s="442"/>
      <c r="DG85" s="42"/>
      <c r="DH85" s="443">
        <f>DX112</f>
        <v>5.85</v>
      </c>
      <c r="DI85" s="443"/>
      <c r="DJ85" s="444" t="s">
        <v>101</v>
      </c>
      <c r="DK85" s="444"/>
      <c r="DL85" s="444"/>
      <c r="DM85" s="444"/>
      <c r="DN85" s="444"/>
      <c r="DO85" s="444"/>
      <c r="DP85" s="444"/>
      <c r="DQ85" s="444"/>
      <c r="DR85" s="444"/>
      <c r="DS85" s="444"/>
      <c r="DV85" s="41"/>
    </row>
    <row r="86" spans="1:126" ht="7.4" customHeight="1" x14ac:dyDescent="0.5">
      <c r="A86" s="42"/>
      <c r="C86" s="254"/>
      <c r="D86" s="254"/>
      <c r="E86" s="254"/>
      <c r="F86" s="254"/>
      <c r="G86" s="254"/>
      <c r="H86" s="254"/>
      <c r="I86" s="254"/>
      <c r="J86" s="254"/>
      <c r="K86" s="254"/>
      <c r="L86" s="254"/>
      <c r="M86" s="254"/>
      <c r="N86" s="295"/>
      <c r="O86" s="295"/>
      <c r="P86" s="295"/>
      <c r="Q86" s="295"/>
      <c r="R86" s="295"/>
      <c r="S86" s="295"/>
      <c r="T86" s="295"/>
      <c r="U86" s="295"/>
      <c r="V86" s="256"/>
      <c r="W86" s="61"/>
      <c r="X86" s="476" t="s">
        <v>148</v>
      </c>
      <c r="Y86" s="476"/>
      <c r="Z86" s="476"/>
      <c r="AA86" s="476"/>
      <c r="AB86" s="476"/>
      <c r="AC86" s="476"/>
      <c r="AD86" s="476"/>
      <c r="AE86" s="476"/>
      <c r="AF86" s="476"/>
      <c r="AG86" s="476"/>
      <c r="AH86" s="477"/>
      <c r="AI86" s="452" t="s">
        <v>42</v>
      </c>
      <c r="AJ86" s="453"/>
      <c r="AK86" s="453"/>
      <c r="AL86" s="453"/>
      <c r="AM86" s="453"/>
      <c r="AN86" s="453"/>
      <c r="AO86" s="453"/>
      <c r="AP86" s="454"/>
      <c r="AQ86" s="79"/>
      <c r="AR86" s="64"/>
      <c r="AS86" s="65"/>
      <c r="AT86" s="65"/>
      <c r="AU86" s="65"/>
      <c r="AV86" s="65"/>
      <c r="AW86" s="65"/>
      <c r="AX86" s="65"/>
      <c r="AY86" s="65"/>
      <c r="AZ86" s="65"/>
      <c r="BA86" s="65"/>
      <c r="BB86" s="65"/>
      <c r="BC86" s="65"/>
      <c r="BD86" s="66"/>
      <c r="BE86" s="51"/>
      <c r="BF86" s="51"/>
      <c r="BG86" s="51"/>
      <c r="BH86" s="52"/>
      <c r="BI86" s="255"/>
      <c r="BK86" s="440"/>
      <c r="BL86" s="441"/>
      <c r="BM86" s="442"/>
      <c r="BN86" s="440"/>
      <c r="BO86" s="441"/>
      <c r="BP86" s="442"/>
      <c r="BQ86" s="440"/>
      <c r="BR86" s="441"/>
      <c r="BS86" s="442"/>
      <c r="BT86" s="440"/>
      <c r="BU86" s="441"/>
      <c r="BV86" s="442"/>
      <c r="BW86" s="440"/>
      <c r="BX86" s="441"/>
      <c r="BY86" s="442"/>
      <c r="BZ86" s="440"/>
      <c r="CA86" s="441"/>
      <c r="CB86" s="442"/>
      <c r="CC86" s="440"/>
      <c r="CD86" s="441"/>
      <c r="CE86" s="442"/>
      <c r="CF86" s="440"/>
      <c r="CG86" s="441"/>
      <c r="CH86" s="442"/>
      <c r="CI86" s="440"/>
      <c r="CJ86" s="441"/>
      <c r="CK86" s="442"/>
      <c r="CL86" s="440"/>
      <c r="CM86" s="441"/>
      <c r="CN86" s="442"/>
      <c r="CO86" s="440"/>
      <c r="CP86" s="441"/>
      <c r="CQ86" s="442"/>
      <c r="CR86" s="440"/>
      <c r="CS86" s="441"/>
      <c r="CT86" s="442"/>
      <c r="CU86" s="440"/>
      <c r="CV86" s="441"/>
      <c r="CW86" s="442"/>
      <c r="CX86" s="440"/>
      <c r="CY86" s="441"/>
      <c r="CZ86" s="442"/>
      <c r="DA86" s="440"/>
      <c r="DB86" s="441"/>
      <c r="DC86" s="442"/>
      <c r="DD86" s="440"/>
      <c r="DE86" s="441"/>
      <c r="DF86" s="442"/>
      <c r="DG86" s="42"/>
      <c r="DH86" s="443"/>
      <c r="DI86" s="443"/>
      <c r="DJ86" s="444"/>
      <c r="DK86" s="444"/>
      <c r="DL86" s="444"/>
      <c r="DM86" s="444"/>
      <c r="DN86" s="444"/>
      <c r="DO86" s="444"/>
      <c r="DP86" s="444"/>
      <c r="DQ86" s="444"/>
      <c r="DR86" s="444"/>
      <c r="DS86" s="444"/>
      <c r="DV86" s="41"/>
    </row>
    <row r="87" spans="1:126" ht="7.4" customHeight="1" x14ac:dyDescent="0.5">
      <c r="A87" s="42"/>
      <c r="C87" s="254"/>
      <c r="D87" s="254"/>
      <c r="E87" s="254"/>
      <c r="F87" s="254"/>
      <c r="G87" s="254"/>
      <c r="H87" s="254"/>
      <c r="I87" s="254"/>
      <c r="J87" s="254"/>
      <c r="K87" s="254"/>
      <c r="L87" s="254"/>
      <c r="M87" s="254"/>
      <c r="N87" s="295"/>
      <c r="O87" s="295"/>
      <c r="P87" s="295"/>
      <c r="Q87" s="295"/>
      <c r="R87" s="295"/>
      <c r="S87" s="295"/>
      <c r="T87" s="295"/>
      <c r="U87" s="295"/>
      <c r="V87" s="256"/>
      <c r="W87" s="61"/>
      <c r="X87" s="476"/>
      <c r="Y87" s="476"/>
      <c r="Z87" s="476"/>
      <c r="AA87" s="476"/>
      <c r="AB87" s="476"/>
      <c r="AC87" s="476"/>
      <c r="AD87" s="476"/>
      <c r="AE87" s="476"/>
      <c r="AF87" s="476"/>
      <c r="AG87" s="476"/>
      <c r="AH87" s="477"/>
      <c r="AI87" s="452"/>
      <c r="AJ87" s="453"/>
      <c r="AK87" s="453"/>
      <c r="AL87" s="453"/>
      <c r="AM87" s="453"/>
      <c r="AN87" s="453"/>
      <c r="AO87" s="453"/>
      <c r="AP87" s="454"/>
      <c r="AQ87" s="79"/>
      <c r="BI87" s="255"/>
      <c r="BK87" s="430">
        <f>IF(M58&gt;0,$AE$45*M58+20*(M58-1)+$N$78*2,0)</f>
        <v>28930</v>
      </c>
      <c r="BL87" s="431"/>
      <c r="BM87" s="432"/>
      <c r="BN87" s="430">
        <f>IF(P58&gt;0,$AE$45*P58+20*(P58-1)+$N$78*2,0)</f>
        <v>0</v>
      </c>
      <c r="BO87" s="431"/>
      <c r="BP87" s="432"/>
      <c r="BQ87" s="430">
        <f>IF(S58&gt;0,$AE$45*S58+20*(S58-1)+$N$78*2,0)</f>
        <v>0</v>
      </c>
      <c r="BR87" s="431"/>
      <c r="BS87" s="432"/>
      <c r="BT87" s="430">
        <f>IF(V58&gt;0,$AE$45*V58+20*(V58-1)+$N$78*2,0)</f>
        <v>0</v>
      </c>
      <c r="BU87" s="431"/>
      <c r="BV87" s="432"/>
      <c r="BW87" s="430">
        <f>IF(Y58&gt;0,$AE$45*Y58+20*(Y58-1)+$N$78*2,0)</f>
        <v>0</v>
      </c>
      <c r="BX87" s="431"/>
      <c r="BY87" s="432"/>
      <c r="BZ87" s="430">
        <f>IF(AB58&gt;0,$AE$45*AB58+20*(AB58-1)+$N$78*2,0)</f>
        <v>0</v>
      </c>
      <c r="CA87" s="431"/>
      <c r="CB87" s="432"/>
      <c r="CC87" s="430">
        <f>IF(AE58&gt;0,$AE$45*AE58+20*(AE58-1)+$N$78*2,0)</f>
        <v>0</v>
      </c>
      <c r="CD87" s="431"/>
      <c r="CE87" s="432"/>
      <c r="CF87" s="430">
        <f>IF(AH58&gt;0,$AE$45*AH58+20*(AH58-1)+$N$78*2,0)</f>
        <v>0</v>
      </c>
      <c r="CG87" s="431"/>
      <c r="CH87" s="432"/>
      <c r="CI87" s="430">
        <f>IF(AK58&gt;0,$AE$45*AK58+20*(AK58-1)+$N$78*2,0)</f>
        <v>0</v>
      </c>
      <c r="CJ87" s="431"/>
      <c r="CK87" s="432"/>
      <c r="CL87" s="430">
        <f>IF(AN58&gt;0,$AE$45*AN58+20*(AN58-1)+$N$78*2,0)</f>
        <v>0</v>
      </c>
      <c r="CM87" s="431"/>
      <c r="CN87" s="432"/>
      <c r="CO87" s="430">
        <f>IF(AQ58&gt;0,$AE$45*AQ58+20*(AQ58-1)+$N$78*2,0)</f>
        <v>0</v>
      </c>
      <c r="CP87" s="431"/>
      <c r="CQ87" s="432"/>
      <c r="CR87" s="430">
        <f>IF(AT58&gt;0,$AE$45*AT58+20*(AT58-1)+$N$78*2,0)</f>
        <v>0</v>
      </c>
      <c r="CS87" s="431"/>
      <c r="CT87" s="432"/>
      <c r="CU87" s="430">
        <f>IF(AW58&gt;0,$AE$45*AW58+20*(AW58-1)+$N$78*2,0)</f>
        <v>0</v>
      </c>
      <c r="CV87" s="431"/>
      <c r="CW87" s="432"/>
      <c r="CX87" s="430">
        <f>IF(AZ58&gt;0,$AE$45*AZ58+20*(AZ58-1)+$N$78*2,0)</f>
        <v>0</v>
      </c>
      <c r="CY87" s="431"/>
      <c r="CZ87" s="432"/>
      <c r="DA87" s="430">
        <f>IF(BC58&gt;0,$AE$45*BC58+20*(BC58-1)+$N$78*2,0)</f>
        <v>0</v>
      </c>
      <c r="DB87" s="431"/>
      <c r="DC87" s="432"/>
      <c r="DD87" s="430">
        <f>IF(BF58&gt;0,$AE$45*BF58+20*(BF58-1)+$N$78*2,0)</f>
        <v>0</v>
      </c>
      <c r="DE87" s="431"/>
      <c r="DF87" s="432"/>
      <c r="DG87" s="42"/>
      <c r="DH87" s="382" t="s">
        <v>102</v>
      </c>
      <c r="DI87" s="382"/>
      <c r="DJ87" s="382"/>
      <c r="DK87" s="382"/>
      <c r="DL87" s="382"/>
      <c r="DM87" s="382"/>
      <c r="DN87" s="382"/>
      <c r="DO87" s="382"/>
      <c r="DP87" s="382"/>
      <c r="DQ87" s="382"/>
      <c r="DR87" s="382"/>
      <c r="DS87" s="382"/>
      <c r="DT87" s="382"/>
      <c r="DU87" s="382"/>
      <c r="DV87" s="41"/>
    </row>
    <row r="88" spans="1:126" ht="7.4" customHeight="1" x14ac:dyDescent="0.5">
      <c r="A88" s="42"/>
      <c r="W88" s="64"/>
      <c r="X88" s="218"/>
      <c r="Y88" s="218"/>
      <c r="Z88" s="218"/>
      <c r="AA88" s="218"/>
      <c r="AB88" s="218"/>
      <c r="AC88" s="218"/>
      <c r="AD88" s="218"/>
      <c r="AE88" s="218"/>
      <c r="AF88" s="218"/>
      <c r="AG88" s="218"/>
      <c r="AH88" s="219"/>
      <c r="AI88" s="50"/>
      <c r="AJ88" s="51"/>
      <c r="AK88" s="51"/>
      <c r="AL88" s="51"/>
      <c r="AM88" s="97"/>
      <c r="AN88" s="97"/>
      <c r="AO88" s="97"/>
      <c r="AP88" s="98"/>
      <c r="AQ88" s="79"/>
      <c r="BI88" s="41"/>
      <c r="BK88" s="430"/>
      <c r="BL88" s="431"/>
      <c r="BM88" s="432"/>
      <c r="BN88" s="430"/>
      <c r="BO88" s="431"/>
      <c r="BP88" s="432"/>
      <c r="BQ88" s="430"/>
      <c r="BR88" s="431"/>
      <c r="BS88" s="432"/>
      <c r="BT88" s="430"/>
      <c r="BU88" s="431"/>
      <c r="BV88" s="432"/>
      <c r="BW88" s="430"/>
      <c r="BX88" s="431"/>
      <c r="BY88" s="432"/>
      <c r="BZ88" s="430"/>
      <c r="CA88" s="431"/>
      <c r="CB88" s="432"/>
      <c r="CC88" s="430"/>
      <c r="CD88" s="431"/>
      <c r="CE88" s="432"/>
      <c r="CF88" s="430"/>
      <c r="CG88" s="431"/>
      <c r="CH88" s="432"/>
      <c r="CI88" s="430"/>
      <c r="CJ88" s="431"/>
      <c r="CK88" s="432"/>
      <c r="CL88" s="430"/>
      <c r="CM88" s="431"/>
      <c r="CN88" s="432"/>
      <c r="CO88" s="430"/>
      <c r="CP88" s="431"/>
      <c r="CQ88" s="432"/>
      <c r="CR88" s="430"/>
      <c r="CS88" s="431"/>
      <c r="CT88" s="432"/>
      <c r="CU88" s="430"/>
      <c r="CV88" s="431"/>
      <c r="CW88" s="432"/>
      <c r="CX88" s="430"/>
      <c r="CY88" s="431"/>
      <c r="CZ88" s="432"/>
      <c r="DA88" s="430"/>
      <c r="DB88" s="431"/>
      <c r="DC88" s="432"/>
      <c r="DD88" s="430"/>
      <c r="DE88" s="431"/>
      <c r="DF88" s="432"/>
      <c r="DG88" s="42"/>
      <c r="DH88" s="382"/>
      <c r="DI88" s="382"/>
      <c r="DJ88" s="382"/>
      <c r="DK88" s="382"/>
      <c r="DL88" s="382"/>
      <c r="DM88" s="382"/>
      <c r="DN88" s="382"/>
      <c r="DO88" s="382"/>
      <c r="DP88" s="382"/>
      <c r="DQ88" s="382"/>
      <c r="DR88" s="382"/>
      <c r="DS88" s="382"/>
      <c r="DT88" s="382"/>
      <c r="DU88" s="382"/>
      <c r="DV88" s="41"/>
    </row>
    <row r="89" spans="1:126" ht="7.4" customHeight="1" x14ac:dyDescent="0.5">
      <c r="A89" s="42"/>
      <c r="X89" s="79"/>
      <c r="Y89" s="79"/>
      <c r="Z89" s="79"/>
      <c r="AA89" s="79"/>
      <c r="AB89" s="79"/>
      <c r="AC89" s="79"/>
      <c r="AD89" s="79"/>
      <c r="AE89" s="79"/>
      <c r="AF89" s="79"/>
      <c r="AG89" s="79"/>
      <c r="AH89" s="79"/>
      <c r="AI89" s="79"/>
      <c r="AJ89" s="79"/>
      <c r="AK89" s="79"/>
      <c r="AL89" s="79"/>
      <c r="AM89" s="79"/>
      <c r="AN89" s="79"/>
      <c r="AO89" s="79"/>
      <c r="AP89" s="79"/>
      <c r="AQ89" s="79"/>
      <c r="AR89" s="79"/>
      <c r="AS89" s="79"/>
      <c r="AT89" s="79"/>
      <c r="AU89" s="79"/>
      <c r="AV89" s="79"/>
      <c r="AW89" s="79"/>
      <c r="AX89" s="79"/>
      <c r="AY89" s="79"/>
      <c r="AZ89" s="79"/>
      <c r="BA89" s="79"/>
      <c r="BB89" s="79"/>
      <c r="BC89" s="79"/>
      <c r="BD89" s="79"/>
      <c r="BE89" s="79"/>
      <c r="BF89" s="79"/>
      <c r="BG89" s="79"/>
      <c r="BH89" s="79"/>
      <c r="BI89" s="124"/>
      <c r="BK89" s="430">
        <f>IF($N$74="Combination",0,IF(M58&gt;0,(($AE$45*M58+20*(M58-1)+$N$78*2)/$N$74-ROUNDDOWN(($AE$45*M58+20*(M58-1)+$N$78*2)/$N$74,0))*$N$74,0))</f>
        <v>0</v>
      </c>
      <c r="BL89" s="431"/>
      <c r="BM89" s="432"/>
      <c r="BN89" s="430">
        <f>IF($N$74="Combination",0,IF(P58&gt;0,(($AE$45*P58+20*(P58-1)+$N$78*2)/$N$74-ROUNDDOWN(($AE$45*P58+20*(P58-1)+$N$78*2)/$N$74,0))*$N$74,0))</f>
        <v>0</v>
      </c>
      <c r="BO89" s="431"/>
      <c r="BP89" s="432"/>
      <c r="BQ89" s="430">
        <f>IF($N$74="Combination",0,IF(S58&gt;0,(($AE$45*S58+20*(S58-1)+$N$78*2)/$N$74-ROUNDDOWN(($AE$45*S58+20*(S58-1)+$N$78*2)/$N$74,0))*$N$74,0))</f>
        <v>0</v>
      </c>
      <c r="BR89" s="431"/>
      <c r="BS89" s="432"/>
      <c r="BT89" s="430">
        <f>IF($N$74="Combination",0,IF(V58&gt;0,(($AE$45*V58+20*(V58-1)+$N$78*2)/$N$74-ROUNDDOWN(($AE$45*V58+20*(V58-1)+$N$78*2)/$N$74,0))*$N$74,0))</f>
        <v>0</v>
      </c>
      <c r="BU89" s="431"/>
      <c r="BV89" s="432"/>
      <c r="BW89" s="430">
        <f>IF($N$74="Combination",0,IF(Y58&gt;0,(($AE$45*Y58+20*(Y58-1)+$N$78*2)/$N$74-ROUNDDOWN(($AE$45*Y58+20*(Y58-1)+$N$78*2)/$N$74,0))*$N$74,0))</f>
        <v>0</v>
      </c>
      <c r="BX89" s="431"/>
      <c r="BY89" s="432"/>
      <c r="BZ89" s="430">
        <f>IF($N$74="Combination",0,IF(AB58&gt;0,(($AE$45*AB58+20*(AB58-1)+$N$78*2)/$N$74-ROUNDDOWN(($AE$45*AB58+20*(AB58-1)+$N$78*2)/$N$74,0))*$N$74,0))</f>
        <v>0</v>
      </c>
      <c r="CA89" s="431"/>
      <c r="CB89" s="432"/>
      <c r="CC89" s="430">
        <f>IF($N$74="Combination",0,IF(AE58&gt;0,(($AE$45*AE58+20*(AE58-1)+$N$78*2)/$N$74-ROUNDDOWN(($AE$45*AE58+20*(AE58-1)+$N$78*2)/$N$74,0))*$N$74,0))</f>
        <v>0</v>
      </c>
      <c r="CD89" s="431"/>
      <c r="CE89" s="432"/>
      <c r="CF89" s="430">
        <f>IF($N$74="Combination",0,IF(AH58&gt;0,(($AE$45*AH58+20*(AH58-1)+$N$78*2)/$N$74-ROUNDDOWN(($AE$45*AH58+20*(AH58-1)+$N$78*2)/$N$74,0))*$N$74,0))</f>
        <v>0</v>
      </c>
      <c r="CG89" s="431"/>
      <c r="CH89" s="432"/>
      <c r="CI89" s="430">
        <f>IF($N$74="Combination",0,IF(AK58&gt;0,(($AE$45*AK58+20*(AK58-1)+$N$78*2)/$N$74-ROUNDDOWN(($AE$45*AK58+20*(AK58-1)+$N$78*2)/$N$74,0))*$N$74,0))</f>
        <v>0</v>
      </c>
      <c r="CJ89" s="431"/>
      <c r="CK89" s="432"/>
      <c r="CL89" s="430">
        <f>IF($N$74="Combination",0,IF(AN58&gt;0,(($AE$45*AN58+20*(AN58-1)+$N$78*2)/$N$74-ROUNDDOWN(($AE$45*AN58+20*(AN58-1)+$N$78*2)/$N$74,0))*$N$74,0))</f>
        <v>0</v>
      </c>
      <c r="CM89" s="431"/>
      <c r="CN89" s="432"/>
      <c r="CO89" s="430">
        <f>IF($N$74="Combination",0,IF(AQ58&gt;0,(($AE$45*AQ58+20*(AQ58-1)+$N$78*2)/$N$74-ROUNDDOWN(($AE$45*AQ58+20*(AQ58-1)+$N$78*2)/$N$74,0))*$N$74,0))</f>
        <v>0</v>
      </c>
      <c r="CP89" s="431"/>
      <c r="CQ89" s="432"/>
      <c r="CR89" s="430">
        <f>IF($N$74="Combination",0,IF(AT58&gt;0,(($AE$45*AT58+20*(AT58-1)+$N$78*2)/$N$74-ROUNDDOWN(($AE$45*AT58+20*(AT58-1)+$N$78*2)/$N$74,0))*$N$74,0))</f>
        <v>0</v>
      </c>
      <c r="CS89" s="431"/>
      <c r="CT89" s="432"/>
      <c r="CU89" s="430">
        <f>IF($N$74="Combination",0,IF(AW58&gt;0,(($AE$45*AW58+20*(AW58-1)+$N$78*2)/$N$74-ROUNDDOWN(($AE$45*AW58+20*(AW58-1)+$N$78*2)/$N$74,0))*$N$74,0))</f>
        <v>0</v>
      </c>
      <c r="CV89" s="431"/>
      <c r="CW89" s="432"/>
      <c r="CX89" s="430">
        <f>IF($N$74="Combination",0,IF(AZ58&gt;0,(($AE$45*AZ58+20*(AZ58-1)+$N$78*2)/$N$74-ROUNDDOWN(($AE$45*AZ58+20*(AZ58-1)+$N$78*2)/$N$74,0))*$N$74,0))</f>
        <v>0</v>
      </c>
      <c r="CY89" s="431"/>
      <c r="CZ89" s="432"/>
      <c r="DA89" s="430">
        <f>IF($N$74="Combination",0,IF(BC58&gt;0,(($AE$45*BC58+20*(BC58-1)+$N$78*2)/$N$74-ROUNDDOWN(($AE$45*BC58+20*(BC58-1)+$N$78*2)/$N$74,0))*$N$74,0))</f>
        <v>0</v>
      </c>
      <c r="DB89" s="431"/>
      <c r="DC89" s="432"/>
      <c r="DD89" s="430">
        <f>IF($N$74="Combination",0,IF(BF58&gt;0,(($AE$45*BF58+20*(BF58-1)+$N$78*2)/$N$74-ROUNDDOWN(($AE$45*BF58+20*(BF58-1)+$N$78*2)/$N$74,0))*$N$74,0))</f>
        <v>0</v>
      </c>
      <c r="DE89" s="431"/>
      <c r="DF89" s="432"/>
      <c r="DG89" s="42"/>
      <c r="DH89" s="382" t="s">
        <v>103</v>
      </c>
      <c r="DI89" s="382"/>
      <c r="DJ89" s="382"/>
      <c r="DK89" s="382"/>
      <c r="DL89" s="382"/>
      <c r="DM89" s="382"/>
      <c r="DN89" s="382"/>
      <c r="DO89" s="382"/>
      <c r="DP89" s="382"/>
      <c r="DQ89" s="382"/>
      <c r="DR89" s="382"/>
      <c r="DS89" s="382"/>
      <c r="DV89" s="41"/>
    </row>
    <row r="90" spans="1:126" ht="7.4" customHeight="1" x14ac:dyDescent="0.5">
      <c r="A90" s="39"/>
      <c r="B90" s="39"/>
      <c r="C90" s="39"/>
      <c r="D90" s="77"/>
      <c r="E90" s="77"/>
      <c r="F90" s="77"/>
      <c r="G90" s="77"/>
      <c r="H90" s="77"/>
      <c r="I90" s="77"/>
      <c r="J90" s="77"/>
      <c r="K90" s="77"/>
      <c r="L90" s="77"/>
      <c r="M90" s="77"/>
      <c r="N90" s="77"/>
      <c r="O90" s="77"/>
      <c r="P90" s="77"/>
      <c r="Q90" s="77"/>
      <c r="R90" s="77"/>
      <c r="S90" s="77"/>
      <c r="T90" s="77"/>
      <c r="U90" s="77"/>
      <c r="V90" s="77"/>
      <c r="W90" s="77"/>
      <c r="X90" s="77"/>
      <c r="Y90" s="77"/>
      <c r="Z90" s="77"/>
      <c r="AA90" s="77"/>
      <c r="AB90" s="77"/>
      <c r="AC90" s="77"/>
      <c r="AD90" s="77"/>
      <c r="AE90" s="77"/>
      <c r="AF90" s="77"/>
      <c r="AG90" s="77"/>
      <c r="AH90" s="77"/>
      <c r="AI90" s="77"/>
      <c r="AJ90" s="77"/>
      <c r="AK90" s="77"/>
      <c r="AL90" s="77"/>
      <c r="AM90" s="77"/>
      <c r="AN90" s="77"/>
      <c r="AO90" s="77"/>
      <c r="AP90" s="77"/>
      <c r="AQ90" s="77"/>
      <c r="AR90" s="77"/>
      <c r="AS90" s="77"/>
      <c r="AT90" s="77"/>
      <c r="AU90" s="77"/>
      <c r="AV90" s="77"/>
      <c r="AW90" s="77"/>
      <c r="AX90" s="77"/>
      <c r="AY90" s="77"/>
      <c r="AZ90" s="77"/>
      <c r="BA90" s="77"/>
      <c r="BB90" s="77"/>
      <c r="BC90" s="77"/>
      <c r="BD90" s="77"/>
      <c r="BE90" s="77"/>
      <c r="BF90" s="77"/>
      <c r="BG90" s="77"/>
      <c r="BH90" s="77"/>
      <c r="BI90" s="77"/>
      <c r="BK90" s="430"/>
      <c r="BL90" s="431"/>
      <c r="BM90" s="432"/>
      <c r="BN90" s="430"/>
      <c r="BO90" s="431"/>
      <c r="BP90" s="432"/>
      <c r="BQ90" s="430"/>
      <c r="BR90" s="431"/>
      <c r="BS90" s="432"/>
      <c r="BT90" s="430"/>
      <c r="BU90" s="431"/>
      <c r="BV90" s="432"/>
      <c r="BW90" s="430"/>
      <c r="BX90" s="431"/>
      <c r="BY90" s="432"/>
      <c r="BZ90" s="430"/>
      <c r="CA90" s="431"/>
      <c r="CB90" s="432"/>
      <c r="CC90" s="430"/>
      <c r="CD90" s="431"/>
      <c r="CE90" s="432"/>
      <c r="CF90" s="430"/>
      <c r="CG90" s="431"/>
      <c r="CH90" s="432"/>
      <c r="CI90" s="430"/>
      <c r="CJ90" s="431"/>
      <c r="CK90" s="432"/>
      <c r="CL90" s="430"/>
      <c r="CM90" s="431"/>
      <c r="CN90" s="432"/>
      <c r="CO90" s="430"/>
      <c r="CP90" s="431"/>
      <c r="CQ90" s="432"/>
      <c r="CR90" s="430"/>
      <c r="CS90" s="431"/>
      <c r="CT90" s="432"/>
      <c r="CU90" s="430"/>
      <c r="CV90" s="431"/>
      <c r="CW90" s="432"/>
      <c r="CX90" s="430"/>
      <c r="CY90" s="431"/>
      <c r="CZ90" s="432"/>
      <c r="DA90" s="430"/>
      <c r="DB90" s="431"/>
      <c r="DC90" s="432"/>
      <c r="DD90" s="430"/>
      <c r="DE90" s="431"/>
      <c r="DF90" s="432"/>
      <c r="DG90" s="42"/>
      <c r="DH90" s="382"/>
      <c r="DI90" s="382"/>
      <c r="DJ90" s="382"/>
      <c r="DK90" s="382"/>
      <c r="DL90" s="382"/>
      <c r="DM90" s="382"/>
      <c r="DN90" s="382"/>
      <c r="DO90" s="382"/>
      <c r="DP90" s="382"/>
      <c r="DQ90" s="382"/>
      <c r="DR90" s="382"/>
      <c r="DS90" s="382"/>
      <c r="DV90" s="41"/>
    </row>
    <row r="91" spans="1:126" ht="7.4" customHeight="1" x14ac:dyDescent="0.5">
      <c r="A91" s="337" t="s">
        <v>46</v>
      </c>
      <c r="B91" s="337"/>
      <c r="C91" s="337"/>
      <c r="D91" s="337"/>
      <c r="E91" s="337"/>
      <c r="F91" s="337"/>
      <c r="G91" s="337"/>
      <c r="H91" s="337"/>
      <c r="I91" s="337"/>
      <c r="J91" s="337"/>
      <c r="K91" s="337"/>
      <c r="L91" s="337"/>
      <c r="M91" s="337"/>
      <c r="N91" s="337"/>
      <c r="O91" s="337"/>
      <c r="P91" s="337"/>
      <c r="Q91" s="337"/>
      <c r="R91" s="337"/>
      <c r="S91" s="337"/>
      <c r="T91" s="337"/>
      <c r="U91" s="337"/>
      <c r="V91" s="337"/>
      <c r="W91" s="337"/>
      <c r="X91" s="337"/>
      <c r="Y91" s="337"/>
      <c r="Z91" s="337"/>
      <c r="AA91" s="337"/>
      <c r="AB91" s="337"/>
      <c r="AC91" s="337"/>
      <c r="AD91" s="337"/>
      <c r="AE91" s="337"/>
      <c r="AF91" s="337"/>
      <c r="AG91" s="337"/>
      <c r="AH91" s="337"/>
      <c r="AI91" s="337"/>
      <c r="AJ91" s="337"/>
      <c r="AK91" s="337"/>
      <c r="AL91" s="337"/>
      <c r="AM91" s="337"/>
      <c r="AN91" s="337"/>
      <c r="AO91" s="337"/>
      <c r="AP91" s="337"/>
      <c r="AQ91" s="337"/>
      <c r="AR91" s="337"/>
      <c r="AS91" s="337"/>
      <c r="AT91" s="337"/>
      <c r="AU91" s="337"/>
      <c r="AV91" s="337"/>
      <c r="AW91" s="337"/>
      <c r="AX91" s="337"/>
      <c r="AY91" s="337"/>
      <c r="AZ91" s="337"/>
      <c r="BA91" s="337"/>
      <c r="BB91" s="337"/>
      <c r="BC91" s="337"/>
      <c r="BD91" s="337"/>
      <c r="BE91" s="337"/>
      <c r="BF91" s="337"/>
      <c r="BG91" s="337"/>
      <c r="BH91" s="337"/>
      <c r="BI91" s="337"/>
      <c r="BK91" s="430">
        <f>IF($N$74="Combination",0,IF(M58&gt;0,$N$74-BK89,0))</f>
        <v>0</v>
      </c>
      <c r="BL91" s="431"/>
      <c r="BM91" s="432"/>
      <c r="BN91" s="430">
        <f>IF($N$74="Combination",0,IF(P58&gt;0,$N$74-BN89,0))</f>
        <v>0</v>
      </c>
      <c r="BO91" s="431"/>
      <c r="BP91" s="432"/>
      <c r="BQ91" s="430">
        <f>IF($N$74="Combination",0,IF(S58&gt;0,$N$74-BQ89,0))</f>
        <v>0</v>
      </c>
      <c r="BR91" s="431"/>
      <c r="BS91" s="432"/>
      <c r="BT91" s="430">
        <f>IF($N$74="Combination",0,IF(V58&gt;0,$N$74-BT89,0))</f>
        <v>0</v>
      </c>
      <c r="BU91" s="431"/>
      <c r="BV91" s="432"/>
      <c r="BW91" s="430">
        <f>IF($N$74="Combination",0,IF(Y58&gt;0,$N$74-BW89,0))</f>
        <v>0</v>
      </c>
      <c r="BX91" s="431"/>
      <c r="BY91" s="432"/>
      <c r="BZ91" s="430">
        <f>IF($N$74="Combination",0,IF(AB58&gt;0,$N$74-BZ89,0))</f>
        <v>0</v>
      </c>
      <c r="CA91" s="431"/>
      <c r="CB91" s="432"/>
      <c r="CC91" s="430">
        <f>IF($N$74="Combination",0,IF(AE58&gt;0,$N$74-CC89,0))</f>
        <v>0</v>
      </c>
      <c r="CD91" s="431"/>
      <c r="CE91" s="432"/>
      <c r="CF91" s="430">
        <f>IF($N$74="Combination",0,IF(AH58&gt;0,$N$74-CF89,0))</f>
        <v>0</v>
      </c>
      <c r="CG91" s="431"/>
      <c r="CH91" s="432"/>
      <c r="CI91" s="430">
        <f>IF($N$74="Combination",0,IF(AK58&gt;0,$N$74-CI89,0))</f>
        <v>0</v>
      </c>
      <c r="CJ91" s="431"/>
      <c r="CK91" s="432"/>
      <c r="CL91" s="430">
        <f>IF($N$74="Combination",0,IF(AN58&gt;0,$N$74-CL89,0))</f>
        <v>0</v>
      </c>
      <c r="CM91" s="431"/>
      <c r="CN91" s="432"/>
      <c r="CO91" s="430">
        <f>IF($N$74="Combination",0,IF(AQ58&gt;0,$N$74-CO89,0))</f>
        <v>0</v>
      </c>
      <c r="CP91" s="431"/>
      <c r="CQ91" s="432"/>
      <c r="CR91" s="430">
        <f>IF($N$74="Combination",0,IF(AT58&gt;0,$N$74-CR89,0))</f>
        <v>0</v>
      </c>
      <c r="CS91" s="431"/>
      <c r="CT91" s="432"/>
      <c r="CU91" s="430">
        <f>IF($N$74="Combination",0,IF(AW58&gt;0,$N$74-CU89,0))</f>
        <v>0</v>
      </c>
      <c r="CV91" s="431"/>
      <c r="CW91" s="432"/>
      <c r="CX91" s="430">
        <f>IF($N$74="Combination",0,IF(AZ58&gt;0,$N$74-CX89,0))</f>
        <v>0</v>
      </c>
      <c r="CY91" s="431"/>
      <c r="CZ91" s="432"/>
      <c r="DA91" s="430">
        <f>IF($N$74="Combination",0,IF(BC58&gt;0,$N$74-DA89,0))</f>
        <v>0</v>
      </c>
      <c r="DB91" s="431"/>
      <c r="DC91" s="432"/>
      <c r="DD91" s="430">
        <f>IF($N$74="Combination",0,IF(BF58&gt;0,$N$74-DD89,0))</f>
        <v>0</v>
      </c>
      <c r="DE91" s="431"/>
      <c r="DF91" s="432"/>
      <c r="DG91" s="42"/>
      <c r="DH91" s="382" t="s">
        <v>104</v>
      </c>
      <c r="DI91" s="382"/>
      <c r="DJ91" s="382"/>
      <c r="DK91" s="382"/>
      <c r="DL91" s="382"/>
      <c r="DM91" s="382"/>
      <c r="DN91" s="382"/>
      <c r="DO91" s="382"/>
      <c r="DP91" s="382"/>
      <c r="DQ91" s="382"/>
      <c r="DR91" s="382"/>
      <c r="DS91" s="382"/>
      <c r="DV91" s="41"/>
    </row>
    <row r="92" spans="1:126" ht="7.4" customHeight="1" x14ac:dyDescent="0.5">
      <c r="A92" s="337"/>
      <c r="B92" s="337"/>
      <c r="C92" s="337"/>
      <c r="D92" s="337"/>
      <c r="E92" s="337"/>
      <c r="F92" s="337"/>
      <c r="G92" s="337"/>
      <c r="H92" s="337"/>
      <c r="I92" s="337"/>
      <c r="J92" s="337"/>
      <c r="K92" s="337"/>
      <c r="L92" s="337"/>
      <c r="M92" s="337"/>
      <c r="N92" s="337"/>
      <c r="O92" s="337"/>
      <c r="P92" s="337"/>
      <c r="Q92" s="337"/>
      <c r="R92" s="337"/>
      <c r="S92" s="337"/>
      <c r="T92" s="337"/>
      <c r="U92" s="337"/>
      <c r="V92" s="337"/>
      <c r="W92" s="337"/>
      <c r="X92" s="337"/>
      <c r="Y92" s="337"/>
      <c r="Z92" s="337"/>
      <c r="AA92" s="337"/>
      <c r="AB92" s="337"/>
      <c r="AC92" s="337"/>
      <c r="AD92" s="337"/>
      <c r="AE92" s="337"/>
      <c r="AF92" s="337"/>
      <c r="AG92" s="337"/>
      <c r="AH92" s="337"/>
      <c r="AI92" s="337"/>
      <c r="AJ92" s="337"/>
      <c r="AK92" s="337"/>
      <c r="AL92" s="337"/>
      <c r="AM92" s="337"/>
      <c r="AN92" s="337"/>
      <c r="AO92" s="337"/>
      <c r="AP92" s="337"/>
      <c r="AQ92" s="337"/>
      <c r="AR92" s="337"/>
      <c r="AS92" s="337"/>
      <c r="AT92" s="337"/>
      <c r="AU92" s="337"/>
      <c r="AV92" s="337"/>
      <c r="AW92" s="337"/>
      <c r="AX92" s="337"/>
      <c r="AY92" s="337"/>
      <c r="AZ92" s="337"/>
      <c r="BA92" s="337"/>
      <c r="BB92" s="337"/>
      <c r="BC92" s="337"/>
      <c r="BD92" s="337"/>
      <c r="BE92" s="337"/>
      <c r="BF92" s="337"/>
      <c r="BG92" s="337"/>
      <c r="BH92" s="337"/>
      <c r="BI92" s="337"/>
      <c r="BK92" s="430"/>
      <c r="BL92" s="431"/>
      <c r="BM92" s="432"/>
      <c r="BN92" s="430"/>
      <c r="BO92" s="431"/>
      <c r="BP92" s="432"/>
      <c r="BQ92" s="430"/>
      <c r="BR92" s="431"/>
      <c r="BS92" s="432"/>
      <c r="BT92" s="430"/>
      <c r="BU92" s="431"/>
      <c r="BV92" s="432"/>
      <c r="BW92" s="430"/>
      <c r="BX92" s="431"/>
      <c r="BY92" s="432"/>
      <c r="BZ92" s="430"/>
      <c r="CA92" s="431"/>
      <c r="CB92" s="432"/>
      <c r="CC92" s="430"/>
      <c r="CD92" s="431"/>
      <c r="CE92" s="432"/>
      <c r="CF92" s="430"/>
      <c r="CG92" s="431"/>
      <c r="CH92" s="432"/>
      <c r="CI92" s="430"/>
      <c r="CJ92" s="431"/>
      <c r="CK92" s="432"/>
      <c r="CL92" s="430"/>
      <c r="CM92" s="431"/>
      <c r="CN92" s="432"/>
      <c r="CO92" s="430"/>
      <c r="CP92" s="431"/>
      <c r="CQ92" s="432"/>
      <c r="CR92" s="430"/>
      <c r="CS92" s="431"/>
      <c r="CT92" s="432"/>
      <c r="CU92" s="430"/>
      <c r="CV92" s="431"/>
      <c r="CW92" s="432"/>
      <c r="CX92" s="430"/>
      <c r="CY92" s="431"/>
      <c r="CZ92" s="432"/>
      <c r="DA92" s="430"/>
      <c r="DB92" s="431"/>
      <c r="DC92" s="432"/>
      <c r="DD92" s="430"/>
      <c r="DE92" s="431"/>
      <c r="DF92" s="432"/>
      <c r="DG92" s="42"/>
      <c r="DH92" s="382"/>
      <c r="DI92" s="382"/>
      <c r="DJ92" s="382"/>
      <c r="DK92" s="382"/>
      <c r="DL92" s="382"/>
      <c r="DM92" s="382"/>
      <c r="DN92" s="382"/>
      <c r="DO92" s="382"/>
      <c r="DP92" s="382"/>
      <c r="DQ92" s="382"/>
      <c r="DR92" s="382"/>
      <c r="DS92" s="382"/>
      <c r="DV92" s="41"/>
    </row>
    <row r="93" spans="1:126" ht="7.4" customHeight="1" x14ac:dyDescent="0.5">
      <c r="D93" s="79"/>
      <c r="E93" s="79"/>
      <c r="F93" s="79"/>
      <c r="G93" s="79"/>
      <c r="H93" s="79"/>
      <c r="I93" s="79"/>
      <c r="J93" s="79"/>
      <c r="K93" s="79"/>
      <c r="L93" s="79"/>
      <c r="M93" s="79"/>
      <c r="N93" s="79"/>
      <c r="O93" s="79"/>
      <c r="P93" s="79"/>
      <c r="Q93" s="79"/>
      <c r="R93" s="79"/>
      <c r="S93" s="79"/>
      <c r="T93" s="79"/>
      <c r="U93" s="79"/>
      <c r="V93" s="79"/>
      <c r="W93" s="79"/>
      <c r="X93" s="79"/>
      <c r="Y93" s="79"/>
      <c r="Z93" s="79"/>
      <c r="AA93" s="79"/>
      <c r="AB93" s="79"/>
      <c r="AC93" s="79"/>
      <c r="AD93" s="79"/>
      <c r="AE93" s="79"/>
      <c r="AF93" s="79"/>
      <c r="AG93" s="79"/>
      <c r="AH93" s="79"/>
      <c r="AI93" s="79"/>
      <c r="AJ93" s="79"/>
      <c r="AK93" s="79"/>
      <c r="AL93" s="79"/>
      <c r="AM93" s="79"/>
      <c r="AN93" s="79"/>
      <c r="AO93" s="79"/>
      <c r="AP93" s="79"/>
      <c r="AQ93" s="79"/>
      <c r="AR93" s="79"/>
      <c r="AS93" s="79"/>
      <c r="AT93" s="79"/>
      <c r="AU93" s="79"/>
      <c r="AV93" s="79"/>
      <c r="AW93" s="79"/>
      <c r="AX93" s="79"/>
      <c r="AY93" s="79"/>
      <c r="AZ93" s="79"/>
      <c r="BA93" s="79"/>
      <c r="BB93" s="79"/>
      <c r="BC93" s="79"/>
      <c r="BD93" s="79"/>
      <c r="BE93" s="79"/>
      <c r="BF93" s="79"/>
      <c r="BG93" s="79"/>
      <c r="BH93" s="79"/>
      <c r="BI93" s="79"/>
      <c r="BK93" s="523">
        <f>BK81*1000-BK87</f>
        <v>320</v>
      </c>
      <c r="BL93" s="524"/>
      <c r="BM93" s="525"/>
      <c r="BN93" s="523">
        <f>BN81*1000-BN87</f>
        <v>0</v>
      </c>
      <c r="BO93" s="524"/>
      <c r="BP93" s="525"/>
      <c r="BQ93" s="523">
        <f>BQ81*1000-BQ87</f>
        <v>0</v>
      </c>
      <c r="BR93" s="524"/>
      <c r="BS93" s="525"/>
      <c r="BT93" s="523">
        <f>BT81*1000-BT87</f>
        <v>0</v>
      </c>
      <c r="BU93" s="524"/>
      <c r="BV93" s="525"/>
      <c r="BW93" s="523">
        <f>BW81*1000-BW87</f>
        <v>0</v>
      </c>
      <c r="BX93" s="524"/>
      <c r="BY93" s="525"/>
      <c r="BZ93" s="523">
        <f>BZ81*1000-BZ87</f>
        <v>0</v>
      </c>
      <c r="CA93" s="524"/>
      <c r="CB93" s="525"/>
      <c r="CC93" s="523">
        <f>CC81*1000-CC87</f>
        <v>0</v>
      </c>
      <c r="CD93" s="524"/>
      <c r="CE93" s="525"/>
      <c r="CF93" s="523">
        <f>CF81*1000-CF87</f>
        <v>0</v>
      </c>
      <c r="CG93" s="524"/>
      <c r="CH93" s="525"/>
      <c r="CI93" s="523">
        <f>CI81*1000-CI87</f>
        <v>0</v>
      </c>
      <c r="CJ93" s="524"/>
      <c r="CK93" s="525"/>
      <c r="CL93" s="523">
        <f>CL81*1000-CL87</f>
        <v>0</v>
      </c>
      <c r="CM93" s="524"/>
      <c r="CN93" s="525"/>
      <c r="CO93" s="523">
        <f>CO81*1000-CO87</f>
        <v>0</v>
      </c>
      <c r="CP93" s="524"/>
      <c r="CQ93" s="525"/>
      <c r="CR93" s="523">
        <f>CR81*1000-CR87</f>
        <v>0</v>
      </c>
      <c r="CS93" s="524"/>
      <c r="CT93" s="525"/>
      <c r="CU93" s="523">
        <f>CU81*1000-CU87</f>
        <v>0</v>
      </c>
      <c r="CV93" s="524"/>
      <c r="CW93" s="525"/>
      <c r="CX93" s="523">
        <f>CX81*1000-CX87</f>
        <v>0</v>
      </c>
      <c r="CY93" s="524"/>
      <c r="CZ93" s="525"/>
      <c r="DA93" s="523">
        <f>DA81*1000-DA87</f>
        <v>0</v>
      </c>
      <c r="DB93" s="524"/>
      <c r="DC93" s="525"/>
      <c r="DD93" s="523">
        <f>DD81*1000-DD87</f>
        <v>0</v>
      </c>
      <c r="DE93" s="524"/>
      <c r="DF93" s="525"/>
      <c r="DG93" s="42"/>
      <c r="DH93" s="436" t="s">
        <v>105</v>
      </c>
      <c r="DI93" s="436"/>
      <c r="DJ93" s="436"/>
      <c r="DK93" s="436"/>
      <c r="DL93" s="436"/>
      <c r="DM93" s="436"/>
      <c r="DN93" s="436"/>
      <c r="DO93" s="436"/>
      <c r="DP93" s="436"/>
      <c r="DQ93" s="436"/>
      <c r="DR93" s="436"/>
      <c r="DS93" s="436"/>
      <c r="DT93" s="436"/>
      <c r="DU93" s="436"/>
      <c r="DV93" s="437"/>
    </row>
    <row r="94" spans="1:126" ht="7.4" customHeight="1" x14ac:dyDescent="0.5">
      <c r="D94" s="79"/>
      <c r="E94" s="79"/>
      <c r="F94" s="79"/>
      <c r="G94" s="79"/>
      <c r="H94" s="79"/>
      <c r="I94" s="79"/>
      <c r="J94" s="79"/>
      <c r="K94" s="79"/>
      <c r="L94" s="79"/>
      <c r="M94" s="79"/>
      <c r="N94" s="79"/>
      <c r="O94" s="79"/>
      <c r="P94" s="79"/>
      <c r="Q94" s="79"/>
      <c r="R94" s="79"/>
      <c r="S94" s="79"/>
      <c r="T94" s="79"/>
      <c r="U94" s="79"/>
      <c r="V94" s="79"/>
      <c r="W94" s="79"/>
      <c r="X94" s="79"/>
      <c r="Y94" s="79"/>
      <c r="Z94" s="79"/>
      <c r="AA94" s="79"/>
      <c r="AB94" s="79"/>
      <c r="AC94" s="79"/>
      <c r="AD94" s="79"/>
      <c r="AE94" s="79"/>
      <c r="AF94" s="79"/>
      <c r="AG94" s="79"/>
      <c r="AH94" s="79"/>
      <c r="AI94" s="79"/>
      <c r="AJ94" s="79"/>
      <c r="AK94" s="79"/>
      <c r="AL94" s="79"/>
      <c r="AM94" s="79"/>
      <c r="AN94" s="79"/>
      <c r="AO94" s="79"/>
      <c r="AP94" s="79"/>
      <c r="AQ94" s="79"/>
      <c r="AR94" s="79"/>
      <c r="AS94" s="79"/>
      <c r="AT94" s="79"/>
      <c r="AU94" s="79"/>
      <c r="AV94" s="79"/>
      <c r="AW94" s="79"/>
      <c r="AX94" s="79"/>
      <c r="AY94" s="79"/>
      <c r="AZ94" s="79"/>
      <c r="BA94" s="79"/>
      <c r="BB94" s="79"/>
      <c r="BC94" s="79"/>
      <c r="BD94" s="79"/>
      <c r="BE94" s="79"/>
      <c r="BF94" s="79"/>
      <c r="BG94" s="79"/>
      <c r="BH94" s="79"/>
      <c r="BI94" s="79"/>
      <c r="BK94" s="526"/>
      <c r="BL94" s="527"/>
      <c r="BM94" s="528"/>
      <c r="BN94" s="526"/>
      <c r="BO94" s="527"/>
      <c r="BP94" s="528"/>
      <c r="BQ94" s="526"/>
      <c r="BR94" s="527"/>
      <c r="BS94" s="528"/>
      <c r="BT94" s="526"/>
      <c r="BU94" s="527"/>
      <c r="BV94" s="528"/>
      <c r="BW94" s="526"/>
      <c r="BX94" s="527"/>
      <c r="BY94" s="528"/>
      <c r="BZ94" s="526"/>
      <c r="CA94" s="527"/>
      <c r="CB94" s="528"/>
      <c r="CC94" s="526"/>
      <c r="CD94" s="527"/>
      <c r="CE94" s="528"/>
      <c r="CF94" s="526"/>
      <c r="CG94" s="527"/>
      <c r="CH94" s="528"/>
      <c r="CI94" s="526"/>
      <c r="CJ94" s="527"/>
      <c r="CK94" s="528"/>
      <c r="CL94" s="526"/>
      <c r="CM94" s="527"/>
      <c r="CN94" s="528"/>
      <c r="CO94" s="526"/>
      <c r="CP94" s="527"/>
      <c r="CQ94" s="528"/>
      <c r="CR94" s="526"/>
      <c r="CS94" s="527"/>
      <c r="CT94" s="528"/>
      <c r="CU94" s="526"/>
      <c r="CV94" s="527"/>
      <c r="CW94" s="528"/>
      <c r="CX94" s="526"/>
      <c r="CY94" s="527"/>
      <c r="CZ94" s="528"/>
      <c r="DA94" s="526"/>
      <c r="DB94" s="527"/>
      <c r="DC94" s="528"/>
      <c r="DD94" s="526"/>
      <c r="DE94" s="527"/>
      <c r="DF94" s="528"/>
      <c r="DG94" s="50"/>
      <c r="DH94" s="438"/>
      <c r="DI94" s="438"/>
      <c r="DJ94" s="438"/>
      <c r="DK94" s="438"/>
      <c r="DL94" s="438"/>
      <c r="DM94" s="438"/>
      <c r="DN94" s="438"/>
      <c r="DO94" s="438"/>
      <c r="DP94" s="438"/>
      <c r="DQ94" s="438"/>
      <c r="DR94" s="438"/>
      <c r="DS94" s="438"/>
      <c r="DT94" s="438"/>
      <c r="DU94" s="438"/>
      <c r="DV94" s="439"/>
    </row>
    <row r="95" spans="1:126" ht="7.4" customHeight="1" x14ac:dyDescent="0.5">
      <c r="CJ95" s="46"/>
      <c r="CK95" s="46"/>
      <c r="CL95" s="46"/>
      <c r="CM95" s="46"/>
      <c r="CN95" s="46"/>
    </row>
    <row r="96" spans="1:126" ht="7.4" customHeight="1" x14ac:dyDescent="0.5">
      <c r="CJ96" s="46"/>
      <c r="CK96" s="46"/>
      <c r="CL96" s="46"/>
      <c r="CM96" s="46"/>
      <c r="CN96" s="46"/>
    </row>
    <row r="97" spans="1:343" ht="7.4" customHeight="1" x14ac:dyDescent="0.5">
      <c r="CJ97" s="46"/>
      <c r="CK97" s="46"/>
      <c r="CL97" s="46"/>
      <c r="CM97" s="46"/>
      <c r="CN97" s="46"/>
    </row>
    <row r="98" spans="1:343" ht="7.4" customHeight="1" x14ac:dyDescent="0.5">
      <c r="CJ98" s="46"/>
      <c r="CK98" s="46"/>
      <c r="CL98" s="46"/>
      <c r="CM98" s="46"/>
      <c r="CN98" s="46"/>
    </row>
    <row r="99" spans="1:343" ht="7.4" customHeight="1" x14ac:dyDescent="0.5">
      <c r="CJ99" s="46"/>
      <c r="CK99" s="46"/>
      <c r="CL99" s="46"/>
      <c r="CM99" s="46"/>
      <c r="CN99" s="46"/>
    </row>
    <row r="100" spans="1:343" ht="7.4" customHeight="1" x14ac:dyDescent="0.5">
      <c r="CJ100" s="46"/>
      <c r="CK100" s="46"/>
      <c r="CL100" s="46"/>
      <c r="CM100" s="46"/>
      <c r="CN100" s="46"/>
    </row>
    <row r="101" spans="1:343" ht="7.4" customHeight="1" x14ac:dyDescent="0.5">
      <c r="CJ101" s="46"/>
      <c r="CK101" s="46"/>
      <c r="CL101" s="46"/>
      <c r="CM101" s="46"/>
      <c r="CN101" s="46"/>
    </row>
    <row r="102" spans="1:343" ht="7.4" customHeight="1" x14ac:dyDescent="0.5">
      <c r="CJ102" s="46"/>
      <c r="CK102" s="46"/>
      <c r="CL102" s="46"/>
      <c r="CM102" s="46"/>
      <c r="CN102" s="46"/>
    </row>
    <row r="103" spans="1:343" ht="7.4" customHeight="1" x14ac:dyDescent="0.5">
      <c r="BQ103" s="237"/>
      <c r="CJ103" s="46"/>
      <c r="CK103" s="46"/>
      <c r="CL103" s="46"/>
      <c r="CM103" s="46"/>
      <c r="CN103" s="46"/>
    </row>
    <row r="104" spans="1:343" ht="7.4" customHeight="1" x14ac:dyDescent="0.5">
      <c r="CJ104" s="46"/>
      <c r="CK104" s="46"/>
      <c r="CL104" s="46"/>
      <c r="CM104" s="46"/>
      <c r="CN104" s="46"/>
    </row>
    <row r="105" spans="1:343" ht="7.4" customHeight="1" x14ac:dyDescent="0.5">
      <c r="BK105" s="333"/>
      <c r="BL105" s="333"/>
      <c r="BM105" s="333"/>
      <c r="BN105" s="333"/>
      <c r="BO105" s="333"/>
      <c r="BP105" s="333"/>
      <c r="BQ105" s="298"/>
      <c r="BR105" s="298"/>
      <c r="BS105" s="298"/>
      <c r="BT105" s="298"/>
      <c r="BU105" s="298"/>
      <c r="BV105" s="298"/>
      <c r="BW105" s="298"/>
      <c r="BX105" s="334"/>
      <c r="BY105" s="334"/>
      <c r="BZ105" s="334"/>
      <c r="CA105" s="334"/>
      <c r="CB105" s="334"/>
      <c r="CC105" s="334"/>
      <c r="CJ105" s="46"/>
      <c r="CK105" s="46"/>
      <c r="CL105" s="46"/>
      <c r="CM105" s="46"/>
      <c r="CN105" s="46"/>
    </row>
    <row r="106" spans="1:343" ht="7.4" customHeight="1" x14ac:dyDescent="0.5">
      <c r="BI106" s="79"/>
      <c r="BK106" s="333"/>
      <c r="BL106" s="333"/>
      <c r="BM106" s="333"/>
      <c r="BN106" s="333"/>
      <c r="BO106" s="333"/>
      <c r="BP106" s="333"/>
      <c r="BQ106" s="298"/>
      <c r="BR106" s="298"/>
      <c r="BS106" s="298"/>
      <c r="BT106" s="298"/>
      <c r="BU106" s="298"/>
      <c r="BV106" s="298"/>
      <c r="BW106" s="298"/>
      <c r="BX106" s="334"/>
      <c r="BY106" s="334"/>
      <c r="BZ106" s="334"/>
      <c r="CA106" s="334"/>
      <c r="CB106" s="334"/>
      <c r="CC106" s="334"/>
      <c r="CJ106" s="46"/>
      <c r="CK106" s="46"/>
      <c r="CL106" s="46"/>
      <c r="CM106" s="46"/>
      <c r="CN106" s="46"/>
    </row>
    <row r="107" spans="1:343" ht="7.4" customHeight="1" x14ac:dyDescent="0.5">
      <c r="BB107" s="105"/>
      <c r="BC107" s="105"/>
      <c r="BD107" s="105"/>
      <c r="BE107" s="105"/>
      <c r="BF107" s="105"/>
      <c r="BG107" s="105"/>
      <c r="BH107" s="105"/>
      <c r="BI107" s="105"/>
      <c r="BK107" s="339"/>
      <c r="BL107" s="339"/>
      <c r="BM107" s="339"/>
      <c r="BN107" s="339"/>
      <c r="BO107" s="339"/>
      <c r="BP107" s="339"/>
      <c r="BQ107" s="340"/>
      <c r="BR107" s="340"/>
      <c r="BS107" s="340"/>
      <c r="BT107" s="340"/>
      <c r="BU107" s="340"/>
      <c r="BV107" s="340"/>
      <c r="BW107" s="340"/>
      <c r="BX107" s="341"/>
      <c r="BY107" s="341"/>
      <c r="BZ107" s="341"/>
      <c r="CA107" s="341"/>
      <c r="CB107" s="341"/>
      <c r="CC107" s="341"/>
      <c r="CJ107" s="46"/>
      <c r="CK107" s="46"/>
      <c r="CL107" s="46"/>
      <c r="CM107" s="46"/>
      <c r="CN107" s="46"/>
    </row>
    <row r="108" spans="1:343" ht="7.4" customHeight="1" x14ac:dyDescent="0.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BB108" s="105"/>
      <c r="BC108" s="105"/>
      <c r="BD108" s="105"/>
      <c r="BE108" s="105"/>
      <c r="BF108" s="105"/>
      <c r="BG108" s="105"/>
      <c r="BH108" s="105"/>
      <c r="BI108" s="105"/>
      <c r="BK108" s="339"/>
      <c r="BL108" s="339"/>
      <c r="BM108" s="339"/>
      <c r="BN108" s="339"/>
      <c r="BO108" s="339"/>
      <c r="BP108" s="339"/>
      <c r="BQ108" s="340"/>
      <c r="BR108" s="340"/>
      <c r="BS108" s="340"/>
      <c r="BT108" s="340"/>
      <c r="BU108" s="340"/>
      <c r="BV108" s="340"/>
      <c r="BW108" s="340"/>
      <c r="BX108" s="341"/>
      <c r="BY108" s="341"/>
      <c r="BZ108" s="341"/>
      <c r="CA108" s="341"/>
      <c r="CB108" s="341"/>
      <c r="CC108" s="341"/>
    </row>
    <row r="109" spans="1:343" ht="7.4" customHeight="1" x14ac:dyDescent="0.5">
      <c r="A109" s="38"/>
      <c r="B109" s="39"/>
      <c r="C109" s="39"/>
      <c r="D109" s="39"/>
      <c r="E109" s="39"/>
      <c r="F109" s="39"/>
      <c r="G109" s="39"/>
      <c r="H109" s="39"/>
      <c r="I109" s="39"/>
      <c r="J109" s="39"/>
      <c r="K109" s="39"/>
      <c r="L109" s="39"/>
      <c r="M109" s="39"/>
      <c r="N109" s="39"/>
      <c r="O109" s="39"/>
      <c r="P109" s="39"/>
      <c r="Q109" s="39"/>
      <c r="R109" s="39"/>
      <c r="S109" s="67"/>
      <c r="T109" s="68"/>
      <c r="U109" s="68"/>
      <c r="V109" s="68"/>
      <c r="W109" s="68"/>
      <c r="X109" s="68"/>
      <c r="Y109" s="68"/>
      <c r="Z109" s="68"/>
      <c r="AA109" s="68"/>
      <c r="AB109" s="68"/>
      <c r="AC109" s="68"/>
      <c r="AD109" s="68"/>
      <c r="AE109" s="68"/>
      <c r="AF109" s="68"/>
      <c r="AG109" s="68"/>
      <c r="AH109" s="68"/>
      <c r="AI109" s="68"/>
      <c r="AJ109" s="68"/>
      <c r="AK109" s="68"/>
      <c r="AL109" s="68"/>
      <c r="AM109" s="68"/>
      <c r="AN109" s="68"/>
      <c r="AO109" s="68"/>
      <c r="AP109" s="68"/>
      <c r="AQ109" s="69"/>
      <c r="AR109" s="39"/>
      <c r="AS109" s="39"/>
      <c r="AT109" s="39"/>
      <c r="AU109" s="39"/>
      <c r="AV109" s="39"/>
      <c r="AW109" s="39"/>
      <c r="AX109" s="39"/>
      <c r="AY109" s="39"/>
      <c r="AZ109" s="39"/>
      <c r="BA109" s="39"/>
      <c r="BB109" s="39"/>
      <c r="BC109" s="39"/>
      <c r="BD109" s="39"/>
      <c r="BE109" s="39"/>
      <c r="BF109" s="39"/>
      <c r="BG109" s="39"/>
      <c r="BH109" s="39"/>
      <c r="BI109" s="40"/>
      <c r="BK109" s="334"/>
      <c r="BL109" s="334"/>
      <c r="BM109" s="334"/>
      <c r="BN109" s="334"/>
      <c r="BO109" s="334"/>
      <c r="BP109" s="334"/>
      <c r="BQ109" s="429"/>
      <c r="BR109" s="429"/>
      <c r="BS109" s="429"/>
      <c r="BT109" s="429"/>
      <c r="BU109" s="429"/>
      <c r="BV109" s="429"/>
      <c r="BW109" s="429"/>
      <c r="BX109" s="429"/>
      <c r="BY109" s="429"/>
      <c r="BZ109" s="429"/>
      <c r="CA109" s="429"/>
      <c r="CB109" s="429"/>
      <c r="CC109" s="334"/>
      <c r="CD109" s="334"/>
      <c r="CE109" s="334"/>
      <c r="CF109" s="334"/>
      <c r="CG109" s="334"/>
      <c r="CH109" s="334"/>
      <c r="CI109" s="333"/>
      <c r="CJ109" s="333"/>
      <c r="CK109" s="333"/>
      <c r="CL109" s="333"/>
      <c r="CM109" s="333"/>
      <c r="CN109" s="333"/>
      <c r="CO109" s="334"/>
      <c r="CP109" s="334"/>
      <c r="CQ109" s="334"/>
      <c r="CR109" s="334"/>
      <c r="CS109" s="334"/>
      <c r="CT109" s="334"/>
    </row>
    <row r="110" spans="1:343" ht="7.4" customHeight="1" x14ac:dyDescent="0.5">
      <c r="A110" s="42"/>
      <c r="S110" s="70"/>
      <c r="T110" s="509" t="str">
        <f>"Roof Top Flush Railed ("&amp;$AO$35&amp;")"</f>
        <v>Roof Top Flush Railed (IBR)</v>
      </c>
      <c r="U110" s="509"/>
      <c r="V110" s="509"/>
      <c r="W110" s="509"/>
      <c r="X110" s="509"/>
      <c r="Y110" s="509"/>
      <c r="Z110" s="509"/>
      <c r="AA110" s="509"/>
      <c r="AB110" s="509"/>
      <c r="AC110" s="509"/>
      <c r="AD110" s="509"/>
      <c r="AE110" s="509"/>
      <c r="AF110" s="509"/>
      <c r="AG110" s="509"/>
      <c r="AH110" s="509"/>
      <c r="AI110" s="509"/>
      <c r="AJ110" s="509"/>
      <c r="AK110" s="509"/>
      <c r="AL110" s="509"/>
      <c r="AM110" s="509"/>
      <c r="AN110" s="509"/>
      <c r="AO110" s="509"/>
      <c r="AP110" s="509"/>
      <c r="AQ110" s="71"/>
      <c r="BI110" s="41"/>
      <c r="BK110" s="334"/>
      <c r="BL110" s="334"/>
      <c r="BM110" s="334"/>
      <c r="BN110" s="334"/>
      <c r="BO110" s="334"/>
      <c r="BP110" s="334"/>
      <c r="BQ110" s="429"/>
      <c r="BR110" s="429"/>
      <c r="BS110" s="429"/>
      <c r="BT110" s="429"/>
      <c r="BU110" s="429"/>
      <c r="BV110" s="429"/>
      <c r="BW110" s="429"/>
      <c r="BX110" s="429"/>
      <c r="BY110" s="429"/>
      <c r="BZ110" s="429"/>
      <c r="CA110" s="429"/>
      <c r="CB110" s="429"/>
      <c r="CC110" s="334"/>
      <c r="CD110" s="334"/>
      <c r="CE110" s="334"/>
      <c r="CF110" s="334"/>
      <c r="CG110" s="334"/>
      <c r="CH110" s="334"/>
      <c r="CI110" s="333"/>
      <c r="CJ110" s="333"/>
      <c r="CK110" s="333"/>
      <c r="CL110" s="333"/>
      <c r="CM110" s="333"/>
      <c r="CN110" s="333"/>
      <c r="CO110" s="334"/>
      <c r="CP110" s="334"/>
      <c r="CQ110" s="334"/>
      <c r="CR110" s="334"/>
      <c r="CS110" s="334"/>
      <c r="CT110" s="334"/>
      <c r="DY110" s="185">
        <f t="shared" ref="DY110:GJ110" si="0">$DX$111*DY111+$DX$112*DY112</f>
        <v>0</v>
      </c>
      <c r="DZ110" s="185">
        <f t="shared" si="0"/>
        <v>2.35</v>
      </c>
      <c r="EA110" s="185">
        <f t="shared" si="0"/>
        <v>2.9249999999999998</v>
      </c>
      <c r="EB110" s="185">
        <f t="shared" si="0"/>
        <v>4.7</v>
      </c>
      <c r="EC110" s="185">
        <f t="shared" si="0"/>
        <v>5.2750000000000004</v>
      </c>
      <c r="ED110" s="185">
        <f t="shared" si="0"/>
        <v>5.85</v>
      </c>
      <c r="EE110" s="185">
        <f t="shared" si="0"/>
        <v>7.0500000000000007</v>
      </c>
      <c r="EF110" s="185">
        <f t="shared" si="0"/>
        <v>7.625</v>
      </c>
      <c r="EG110" s="185">
        <f t="shared" si="0"/>
        <v>8.1999999999999993</v>
      </c>
      <c r="EH110" s="185">
        <f t="shared" si="0"/>
        <v>8.7749999999999986</v>
      </c>
      <c r="EI110" s="185">
        <f t="shared" si="0"/>
        <v>9.4</v>
      </c>
      <c r="EJ110" s="185">
        <f t="shared" si="0"/>
        <v>9.9750000000000014</v>
      </c>
      <c r="EK110" s="185">
        <f t="shared" si="0"/>
        <v>10.55</v>
      </c>
      <c r="EL110" s="185">
        <f t="shared" si="0"/>
        <v>11.124999999999998</v>
      </c>
      <c r="EM110" s="185">
        <f t="shared" si="0"/>
        <v>11.7</v>
      </c>
      <c r="EN110" s="185">
        <f t="shared" si="0"/>
        <v>11.75</v>
      </c>
      <c r="EO110" s="185">
        <f t="shared" si="0"/>
        <v>12.324999999999999</v>
      </c>
      <c r="EP110" s="185">
        <f t="shared" si="0"/>
        <v>12.9</v>
      </c>
      <c r="EQ110" s="185">
        <f t="shared" si="0"/>
        <v>13.474999999999998</v>
      </c>
      <c r="ER110" s="185">
        <f t="shared" si="0"/>
        <v>14.049999999999999</v>
      </c>
      <c r="ES110" s="185">
        <f t="shared" si="0"/>
        <v>14.049999999999999</v>
      </c>
      <c r="ET110" s="185">
        <f t="shared" si="0"/>
        <v>14.625</v>
      </c>
      <c r="EU110" s="185">
        <f t="shared" si="0"/>
        <v>14.675000000000001</v>
      </c>
      <c r="EV110" s="185">
        <f t="shared" si="0"/>
        <v>15.25</v>
      </c>
      <c r="EW110" s="185">
        <f t="shared" si="0"/>
        <v>15.824999999999999</v>
      </c>
      <c r="EX110" s="185">
        <f t="shared" si="0"/>
        <v>16.399999999999999</v>
      </c>
      <c r="EY110" s="185">
        <f t="shared" si="0"/>
        <v>16.45</v>
      </c>
      <c r="EZ110" s="185">
        <f t="shared" si="0"/>
        <v>16.975000000000001</v>
      </c>
      <c r="FA110" s="185">
        <f t="shared" si="0"/>
        <v>16.975000000000001</v>
      </c>
      <c r="FB110" s="185">
        <f t="shared" si="0"/>
        <v>17.549999999999997</v>
      </c>
      <c r="FC110" s="185">
        <f t="shared" si="0"/>
        <v>17.549999999999997</v>
      </c>
      <c r="FD110" s="185">
        <f t="shared" si="0"/>
        <v>18.174999999999997</v>
      </c>
      <c r="FE110" s="185">
        <f t="shared" si="0"/>
        <v>18.75</v>
      </c>
      <c r="FF110" s="185">
        <f t="shared" si="0"/>
        <v>18.75</v>
      </c>
      <c r="FG110" s="185">
        <f t="shared" si="0"/>
        <v>19.324999999999999</v>
      </c>
      <c r="FH110" s="185">
        <f t="shared" si="0"/>
        <v>19.375</v>
      </c>
      <c r="FI110" s="185">
        <f t="shared" si="0"/>
        <v>19.899999999999999</v>
      </c>
      <c r="FJ110" s="185">
        <f t="shared" si="0"/>
        <v>19.950000000000003</v>
      </c>
      <c r="FK110" s="185">
        <f t="shared" si="0"/>
        <v>20.474999999999998</v>
      </c>
      <c r="FL110" s="185">
        <f t="shared" si="0"/>
        <v>20.474999999999998</v>
      </c>
      <c r="FM110" s="185">
        <f t="shared" si="0"/>
        <v>21.1</v>
      </c>
      <c r="FN110" s="185">
        <f t="shared" si="0"/>
        <v>21.150000000000002</v>
      </c>
      <c r="FO110" s="185">
        <f t="shared" si="0"/>
        <v>21.675000000000001</v>
      </c>
      <c r="FP110" s="185">
        <f t="shared" si="0"/>
        <v>21.675000000000001</v>
      </c>
      <c r="FQ110" s="185">
        <f t="shared" si="0"/>
        <v>22.249999999999996</v>
      </c>
      <c r="FR110" s="185">
        <f t="shared" si="0"/>
        <v>22.249999999999996</v>
      </c>
      <c r="FS110" s="185">
        <f t="shared" si="0"/>
        <v>22.824999999999999</v>
      </c>
      <c r="FT110" s="185">
        <f t="shared" si="0"/>
        <v>22.875</v>
      </c>
      <c r="FU110" s="185">
        <f t="shared" si="0"/>
        <v>23.4</v>
      </c>
      <c r="FV110" s="185">
        <f t="shared" si="0"/>
        <v>23.45</v>
      </c>
      <c r="FW110" s="185">
        <f t="shared" si="0"/>
        <v>23.45</v>
      </c>
      <c r="FX110" s="185">
        <f t="shared" si="0"/>
        <v>24.024999999999999</v>
      </c>
      <c r="FY110" s="185">
        <f t="shared" si="0"/>
        <v>24.075000000000003</v>
      </c>
      <c r="FZ110" s="185">
        <f t="shared" si="0"/>
        <v>24.599999999999998</v>
      </c>
      <c r="GA110" s="185">
        <f t="shared" si="0"/>
        <v>24.65</v>
      </c>
      <c r="GB110" s="185">
        <f t="shared" si="0"/>
        <v>25.174999999999997</v>
      </c>
      <c r="GC110" s="185">
        <f t="shared" si="0"/>
        <v>25.174999999999997</v>
      </c>
      <c r="GD110" s="185">
        <f t="shared" si="0"/>
        <v>25.75</v>
      </c>
      <c r="GE110" s="185">
        <f t="shared" si="0"/>
        <v>25.75</v>
      </c>
      <c r="GF110" s="185">
        <f t="shared" si="0"/>
        <v>25.85</v>
      </c>
      <c r="GG110" s="185">
        <f t="shared" si="0"/>
        <v>26.324999999999999</v>
      </c>
      <c r="GH110" s="185">
        <f t="shared" si="0"/>
        <v>26.375</v>
      </c>
      <c r="GI110" s="185">
        <f t="shared" si="0"/>
        <v>26.375</v>
      </c>
      <c r="GJ110" s="185">
        <f t="shared" si="0"/>
        <v>26.949999999999996</v>
      </c>
      <c r="GK110" s="185">
        <f t="shared" ref="GK110:IV110" si="1">$DX$111*GK111+$DX$112*GK112</f>
        <v>26.949999999999996</v>
      </c>
      <c r="GL110" s="185">
        <f t="shared" si="1"/>
        <v>27.524999999999999</v>
      </c>
      <c r="GM110" s="185">
        <f t="shared" si="1"/>
        <v>27.574999999999999</v>
      </c>
      <c r="GN110" s="185">
        <f t="shared" si="1"/>
        <v>28.099999999999998</v>
      </c>
      <c r="GO110" s="185">
        <f t="shared" si="1"/>
        <v>28.15</v>
      </c>
      <c r="GP110" s="185">
        <f t="shared" si="1"/>
        <v>28.15</v>
      </c>
      <c r="GQ110" s="185">
        <f t="shared" si="1"/>
        <v>28.675000000000001</v>
      </c>
      <c r="GR110" s="185">
        <f t="shared" si="1"/>
        <v>28.675000000000001</v>
      </c>
      <c r="GS110" s="185">
        <f t="shared" si="1"/>
        <v>28.775000000000002</v>
      </c>
      <c r="GT110" s="185">
        <f t="shared" si="1"/>
        <v>29.25</v>
      </c>
      <c r="GU110" s="185">
        <f t="shared" si="1"/>
        <v>29.25</v>
      </c>
      <c r="GV110" s="185">
        <f t="shared" si="1"/>
        <v>29.35</v>
      </c>
      <c r="GW110" s="185">
        <f t="shared" si="1"/>
        <v>29.875</v>
      </c>
      <c r="GX110" s="185">
        <f t="shared" si="1"/>
        <v>29.875</v>
      </c>
      <c r="GY110" s="185">
        <f t="shared" si="1"/>
        <v>30.45</v>
      </c>
      <c r="GZ110" s="185">
        <f t="shared" si="1"/>
        <v>30.45</v>
      </c>
      <c r="HA110" s="185">
        <f t="shared" si="1"/>
        <v>30.55</v>
      </c>
      <c r="HB110" s="185">
        <f t="shared" si="1"/>
        <v>31.024999999999999</v>
      </c>
      <c r="HC110" s="185">
        <f t="shared" si="1"/>
        <v>31.074999999999999</v>
      </c>
      <c r="HD110" s="185">
        <f t="shared" si="1"/>
        <v>31.074999999999999</v>
      </c>
      <c r="HE110" s="185">
        <f t="shared" si="1"/>
        <v>31.6</v>
      </c>
      <c r="HF110" s="185">
        <f t="shared" si="1"/>
        <v>31.65</v>
      </c>
      <c r="HG110" s="185">
        <f t="shared" si="1"/>
        <v>31.65</v>
      </c>
      <c r="HH110" s="185">
        <f t="shared" si="1"/>
        <v>32.174999999999997</v>
      </c>
      <c r="HI110" s="185">
        <f t="shared" si="1"/>
        <v>32.174999999999997</v>
      </c>
      <c r="HJ110" s="185">
        <f t="shared" si="1"/>
        <v>32.274999999999999</v>
      </c>
      <c r="HK110" s="185">
        <f t="shared" si="1"/>
        <v>32.799999999999997</v>
      </c>
      <c r="HL110" s="185">
        <f t="shared" si="1"/>
        <v>32.85</v>
      </c>
      <c r="HM110" s="185">
        <f t="shared" si="1"/>
        <v>32.85</v>
      </c>
      <c r="HN110" s="185">
        <f t="shared" si="1"/>
        <v>33.375</v>
      </c>
      <c r="HO110" s="185">
        <f t="shared" si="1"/>
        <v>33.375</v>
      </c>
      <c r="HP110" s="185">
        <f t="shared" si="1"/>
        <v>33.475000000000001</v>
      </c>
      <c r="HQ110" s="185">
        <f t="shared" si="1"/>
        <v>33.950000000000003</v>
      </c>
      <c r="HR110" s="185">
        <f t="shared" si="1"/>
        <v>33.950000000000003</v>
      </c>
      <c r="HS110" s="185">
        <f t="shared" si="1"/>
        <v>34.050000000000004</v>
      </c>
      <c r="HT110" s="185">
        <f t="shared" si="1"/>
        <v>34.524999999999999</v>
      </c>
      <c r="HU110" s="185">
        <f t="shared" si="1"/>
        <v>34.575000000000003</v>
      </c>
      <c r="HV110" s="185">
        <f t="shared" si="1"/>
        <v>34.575000000000003</v>
      </c>
      <c r="HW110" s="185">
        <f t="shared" si="1"/>
        <v>35.099999999999994</v>
      </c>
      <c r="HX110" s="185">
        <f t="shared" si="1"/>
        <v>35.15</v>
      </c>
      <c r="HY110" s="185">
        <f t="shared" si="1"/>
        <v>35.15</v>
      </c>
      <c r="HZ110" s="185">
        <f t="shared" si="1"/>
        <v>35.25</v>
      </c>
      <c r="IA110" s="185">
        <f t="shared" si="1"/>
        <v>35.725000000000001</v>
      </c>
      <c r="IB110" s="185">
        <f t="shared" si="1"/>
        <v>35.775000000000006</v>
      </c>
      <c r="IC110" s="185">
        <f t="shared" si="1"/>
        <v>35.775000000000006</v>
      </c>
      <c r="ID110" s="185">
        <f t="shared" si="1"/>
        <v>36.299999999999997</v>
      </c>
      <c r="IE110" s="185">
        <f t="shared" si="1"/>
        <v>36.349999999999994</v>
      </c>
      <c r="IF110" s="185">
        <f t="shared" si="1"/>
        <v>36.349999999999994</v>
      </c>
      <c r="IG110" s="185">
        <f t="shared" si="1"/>
        <v>36.875</v>
      </c>
      <c r="IH110" s="185">
        <f t="shared" si="1"/>
        <v>36.875</v>
      </c>
      <c r="II110" s="185">
        <f t="shared" si="1"/>
        <v>36.975000000000001</v>
      </c>
      <c r="IJ110" s="185">
        <f t="shared" si="1"/>
        <v>37.449999999999996</v>
      </c>
      <c r="IK110" s="185">
        <f t="shared" si="1"/>
        <v>37.449999999999996</v>
      </c>
      <c r="IL110" s="185">
        <f t="shared" si="1"/>
        <v>37.549999999999997</v>
      </c>
      <c r="IM110" s="185">
        <f t="shared" si="1"/>
        <v>37.549999999999997</v>
      </c>
      <c r="IN110" s="185">
        <f t="shared" si="1"/>
        <v>38.024999999999999</v>
      </c>
      <c r="IO110" s="185">
        <f t="shared" si="1"/>
        <v>38.075000000000003</v>
      </c>
      <c r="IP110" s="185">
        <f t="shared" si="1"/>
        <v>38.075000000000003</v>
      </c>
      <c r="IQ110" s="185">
        <f t="shared" si="1"/>
        <v>38.174999999999997</v>
      </c>
      <c r="IR110" s="185">
        <f t="shared" si="1"/>
        <v>38.65</v>
      </c>
      <c r="IS110" s="185">
        <f t="shared" si="1"/>
        <v>38.65</v>
      </c>
      <c r="IT110" s="185">
        <f t="shared" si="1"/>
        <v>38.75</v>
      </c>
      <c r="IU110" s="185">
        <f t="shared" si="1"/>
        <v>39.224999999999994</v>
      </c>
      <c r="IV110" s="185">
        <f t="shared" si="1"/>
        <v>39.274999999999999</v>
      </c>
      <c r="IW110" s="185">
        <f t="shared" ref="IW110:LH110" si="2">$DX$111*IW111+$DX$112*IW112</f>
        <v>39.274999999999999</v>
      </c>
      <c r="IX110" s="185">
        <f t="shared" si="2"/>
        <v>39.799999999999997</v>
      </c>
      <c r="IY110" s="185">
        <f t="shared" si="2"/>
        <v>39.849999999999994</v>
      </c>
      <c r="IZ110" s="185">
        <f t="shared" si="2"/>
        <v>39.849999999999994</v>
      </c>
      <c r="JA110" s="185">
        <f t="shared" si="2"/>
        <v>39.950000000000003</v>
      </c>
      <c r="JB110" s="185">
        <f t="shared" si="2"/>
        <v>40.375</v>
      </c>
      <c r="JC110" s="185">
        <f t="shared" si="2"/>
        <v>40.375</v>
      </c>
      <c r="JD110" s="185">
        <f t="shared" si="2"/>
        <v>40.475000000000001</v>
      </c>
      <c r="JE110" s="185">
        <f t="shared" si="2"/>
        <v>40.475000000000001</v>
      </c>
      <c r="JF110" s="185">
        <f t="shared" si="2"/>
        <v>40.949999999999996</v>
      </c>
      <c r="JG110" s="185">
        <f t="shared" si="2"/>
        <v>40.949999999999996</v>
      </c>
      <c r="JH110" s="185">
        <f t="shared" si="2"/>
        <v>41.05</v>
      </c>
      <c r="JI110" s="185">
        <f t="shared" si="2"/>
        <v>41.05</v>
      </c>
      <c r="JJ110" s="185">
        <f t="shared" si="2"/>
        <v>41.574999999999996</v>
      </c>
      <c r="JK110" s="185">
        <f t="shared" si="2"/>
        <v>41.574999999999996</v>
      </c>
      <c r="JL110" s="185">
        <f t="shared" si="2"/>
        <v>41.674999999999997</v>
      </c>
      <c r="JM110" s="185">
        <f t="shared" si="2"/>
        <v>42.149999999999991</v>
      </c>
      <c r="JN110" s="185">
        <f t="shared" si="2"/>
        <v>42.149999999999991</v>
      </c>
      <c r="JO110" s="185">
        <f t="shared" si="2"/>
        <v>42.25</v>
      </c>
      <c r="JP110" s="185">
        <f t="shared" si="2"/>
        <v>42.25</v>
      </c>
      <c r="JQ110" s="185">
        <f t="shared" si="2"/>
        <v>42.725000000000001</v>
      </c>
      <c r="JR110" s="185">
        <f t="shared" si="2"/>
        <v>42.774999999999999</v>
      </c>
      <c r="JS110" s="185">
        <f t="shared" si="2"/>
        <v>42.774999999999999</v>
      </c>
      <c r="JT110" s="185">
        <f t="shared" si="2"/>
        <v>42.875</v>
      </c>
      <c r="JU110" s="185">
        <f t="shared" si="2"/>
        <v>43.3</v>
      </c>
      <c r="JV110" s="185">
        <f t="shared" si="2"/>
        <v>43.35</v>
      </c>
      <c r="JW110" s="185">
        <f t="shared" si="2"/>
        <v>43.35</v>
      </c>
      <c r="JX110" s="185">
        <f t="shared" si="2"/>
        <v>43.45</v>
      </c>
      <c r="JY110" s="185">
        <f t="shared" si="2"/>
        <v>43.875</v>
      </c>
      <c r="JZ110" s="185">
        <f t="shared" si="2"/>
        <v>43.875</v>
      </c>
      <c r="KA110" s="185">
        <f t="shared" si="2"/>
        <v>43.974999999999994</v>
      </c>
      <c r="KB110" s="185">
        <f t="shared" si="2"/>
        <v>43.974999999999994</v>
      </c>
      <c r="KC110" s="185">
        <f t="shared" si="2"/>
        <v>44.499999999999993</v>
      </c>
      <c r="KD110" s="185">
        <f t="shared" si="2"/>
        <v>44.55</v>
      </c>
      <c r="KE110" s="185">
        <f t="shared" si="2"/>
        <v>44.55</v>
      </c>
      <c r="KF110" s="185">
        <f t="shared" si="2"/>
        <v>44.65</v>
      </c>
      <c r="KG110" s="185">
        <f t="shared" si="2"/>
        <v>45.075000000000003</v>
      </c>
      <c r="KH110" s="185">
        <f t="shared" si="2"/>
        <v>45.075000000000003</v>
      </c>
      <c r="KI110" s="185">
        <f t="shared" si="2"/>
        <v>45.174999999999997</v>
      </c>
      <c r="KJ110" s="185">
        <f t="shared" si="2"/>
        <v>45.174999999999997</v>
      </c>
      <c r="KK110" s="185">
        <f t="shared" si="2"/>
        <v>45.65</v>
      </c>
      <c r="KL110" s="185">
        <f t="shared" si="2"/>
        <v>45.65</v>
      </c>
      <c r="KM110" s="185">
        <f t="shared" si="2"/>
        <v>45.75</v>
      </c>
      <c r="KN110" s="185">
        <f t="shared" si="2"/>
        <v>45.75</v>
      </c>
      <c r="KO110" s="185">
        <f t="shared" si="2"/>
        <v>46.225000000000001</v>
      </c>
      <c r="KP110" s="185">
        <f t="shared" si="2"/>
        <v>46.274999999999999</v>
      </c>
      <c r="KQ110" s="185">
        <f t="shared" si="2"/>
        <v>46.274999999999999</v>
      </c>
      <c r="KR110" s="185">
        <f t="shared" si="2"/>
        <v>46.375</v>
      </c>
      <c r="KS110" s="185">
        <f t="shared" si="2"/>
        <v>46.8</v>
      </c>
      <c r="KT110" s="185">
        <f t="shared" si="2"/>
        <v>46.849999999999994</v>
      </c>
      <c r="KU110" s="185">
        <f t="shared" si="2"/>
        <v>46.849999999999994</v>
      </c>
      <c r="KV110" s="185">
        <f t="shared" si="2"/>
        <v>46.95</v>
      </c>
      <c r="KW110" s="185">
        <f t="shared" si="2"/>
        <v>47.424999999999997</v>
      </c>
      <c r="KX110" s="185">
        <f t="shared" si="2"/>
        <v>47.475000000000001</v>
      </c>
      <c r="KY110" s="185">
        <f t="shared" si="2"/>
        <v>47.475000000000001</v>
      </c>
      <c r="KZ110" s="185">
        <f t="shared" si="2"/>
        <v>48</v>
      </c>
      <c r="LA110" s="185">
        <f t="shared" si="2"/>
        <v>48.05</v>
      </c>
      <c r="LB110" s="185">
        <f t="shared" si="2"/>
        <v>48.05</v>
      </c>
      <c r="LC110" s="185">
        <f t="shared" si="2"/>
        <v>48.150000000000006</v>
      </c>
      <c r="LD110" s="185">
        <f t="shared" si="2"/>
        <v>48.575000000000003</v>
      </c>
      <c r="LE110" s="185">
        <f t="shared" si="2"/>
        <v>48.575000000000003</v>
      </c>
      <c r="LF110" s="185">
        <f t="shared" si="2"/>
        <v>48.674999999999997</v>
      </c>
      <c r="LG110" s="185">
        <f t="shared" si="2"/>
        <v>48.674999999999997</v>
      </c>
      <c r="LH110" s="185">
        <f t="shared" si="2"/>
        <v>49.15</v>
      </c>
      <c r="LI110" s="185">
        <f t="shared" ref="LI110:ME110" si="3">$DX$111*LI111+$DX$112*LI112</f>
        <v>49.15</v>
      </c>
      <c r="LJ110" s="185">
        <f t="shared" si="3"/>
        <v>49.25</v>
      </c>
      <c r="LK110" s="185">
        <f t="shared" si="3"/>
        <v>49.25</v>
      </c>
      <c r="LL110" s="185">
        <f t="shared" si="3"/>
        <v>49.35</v>
      </c>
      <c r="LM110" s="185">
        <f t="shared" si="3"/>
        <v>49.724999999999994</v>
      </c>
      <c r="LN110" s="185">
        <f t="shared" si="3"/>
        <v>49.774999999999999</v>
      </c>
      <c r="LO110" s="185">
        <f t="shared" si="3"/>
        <v>49.774999999999999</v>
      </c>
      <c r="LP110" s="185">
        <f t="shared" si="3"/>
        <v>49.875</v>
      </c>
      <c r="LQ110" s="185">
        <f t="shared" si="3"/>
        <v>49.875</v>
      </c>
      <c r="LR110" s="185">
        <f t="shared" si="3"/>
        <v>50.349999999999994</v>
      </c>
      <c r="LS110" s="185">
        <f t="shared" si="3"/>
        <v>50.349999999999994</v>
      </c>
      <c r="LT110" s="185">
        <f t="shared" si="3"/>
        <v>50.449999999999996</v>
      </c>
      <c r="LU110" s="185">
        <f t="shared" si="3"/>
        <v>50.924999999999997</v>
      </c>
      <c r="LV110" s="185">
        <f t="shared" si="3"/>
        <v>50.974999999999994</v>
      </c>
      <c r="LW110" s="185">
        <f t="shared" si="3"/>
        <v>50.974999999999994</v>
      </c>
      <c r="LX110" s="185">
        <f t="shared" si="3"/>
        <v>51.075000000000003</v>
      </c>
      <c r="LY110" s="185">
        <f t="shared" si="3"/>
        <v>51.5</v>
      </c>
      <c r="LZ110" s="185">
        <f t="shared" si="3"/>
        <v>51.55</v>
      </c>
      <c r="MA110" s="185">
        <f t="shared" si="3"/>
        <v>51.55</v>
      </c>
      <c r="MB110" s="185">
        <f t="shared" si="3"/>
        <v>51.650000000000006</v>
      </c>
      <c r="MC110" s="185">
        <f t="shared" si="3"/>
        <v>51.650000000000006</v>
      </c>
      <c r="MD110" s="185">
        <f t="shared" si="3"/>
        <v>52.074999999999996</v>
      </c>
      <c r="ME110" s="185">
        <f t="shared" si="3"/>
        <v>52.074999999999996</v>
      </c>
    </row>
    <row r="111" spans="1:343" ht="7.4" customHeight="1" x14ac:dyDescent="0.5">
      <c r="A111" s="42"/>
      <c r="S111" s="70"/>
      <c r="T111" s="509"/>
      <c r="U111" s="509"/>
      <c r="V111" s="509"/>
      <c r="W111" s="509"/>
      <c r="X111" s="509"/>
      <c r="Y111" s="509"/>
      <c r="Z111" s="509"/>
      <c r="AA111" s="509"/>
      <c r="AB111" s="509"/>
      <c r="AC111" s="509"/>
      <c r="AD111" s="509"/>
      <c r="AE111" s="509"/>
      <c r="AF111" s="509"/>
      <c r="AG111" s="509"/>
      <c r="AH111" s="509"/>
      <c r="AI111" s="509"/>
      <c r="AJ111" s="509"/>
      <c r="AK111" s="509"/>
      <c r="AL111" s="509"/>
      <c r="AM111" s="509"/>
      <c r="AN111" s="509"/>
      <c r="AO111" s="509"/>
      <c r="AP111" s="509"/>
      <c r="AQ111" s="71"/>
      <c r="BI111" s="41"/>
      <c r="BK111" s="427"/>
      <c r="BL111" s="427"/>
      <c r="BM111" s="427"/>
      <c r="BN111" s="427"/>
      <c r="BO111" s="427"/>
      <c r="BP111" s="427"/>
      <c r="BQ111" s="428"/>
      <c r="BR111" s="428"/>
      <c r="BS111" s="428"/>
      <c r="BT111" s="428"/>
      <c r="BU111" s="428"/>
      <c r="BV111" s="428"/>
      <c r="BW111" s="428"/>
      <c r="BX111" s="428"/>
      <c r="BY111" s="428"/>
      <c r="BZ111" s="428"/>
      <c r="CA111" s="428"/>
      <c r="CB111" s="428"/>
      <c r="CC111" s="339"/>
      <c r="CD111" s="339"/>
      <c r="CE111" s="339"/>
      <c r="CF111" s="339"/>
      <c r="CG111" s="339"/>
      <c r="CH111" s="339"/>
      <c r="CI111" s="336"/>
      <c r="CJ111" s="336"/>
      <c r="CK111" s="336"/>
      <c r="CL111" s="336"/>
      <c r="CM111" s="336"/>
      <c r="CN111" s="336"/>
      <c r="CO111" s="336"/>
      <c r="CP111" s="336"/>
      <c r="CQ111" s="336"/>
      <c r="CR111" s="336"/>
      <c r="CS111" s="336"/>
      <c r="CT111" s="336"/>
      <c r="DW111" s="186">
        <f>DX111*1000</f>
        <v>4700</v>
      </c>
      <c r="DX111" s="187">
        <v>4.7</v>
      </c>
      <c r="DY111" s="188">
        <v>0</v>
      </c>
      <c r="DZ111" s="188">
        <v>0.5</v>
      </c>
      <c r="EA111" s="188">
        <v>0</v>
      </c>
      <c r="EB111" s="188">
        <v>1</v>
      </c>
      <c r="EC111" s="188">
        <v>0.5</v>
      </c>
      <c r="ED111" s="188">
        <v>0</v>
      </c>
      <c r="EE111" s="188">
        <v>1.5</v>
      </c>
      <c r="EF111" s="188">
        <v>1</v>
      </c>
      <c r="EG111" s="188">
        <v>0.5</v>
      </c>
      <c r="EH111" s="188">
        <v>0</v>
      </c>
      <c r="EI111" s="188">
        <v>2</v>
      </c>
      <c r="EJ111" s="188">
        <v>1.5</v>
      </c>
      <c r="EK111" s="188">
        <v>1</v>
      </c>
      <c r="EL111" s="188">
        <v>0.5</v>
      </c>
      <c r="EM111" s="188">
        <v>0</v>
      </c>
      <c r="EN111" s="188">
        <v>2.5</v>
      </c>
      <c r="EO111" s="188">
        <v>2</v>
      </c>
      <c r="EP111" s="188">
        <v>1.5</v>
      </c>
      <c r="EQ111" s="188">
        <v>1</v>
      </c>
      <c r="ER111" s="188">
        <v>0.5</v>
      </c>
      <c r="ES111" s="188">
        <v>0.5</v>
      </c>
      <c r="ET111" s="188">
        <v>0</v>
      </c>
      <c r="EU111" s="188">
        <v>2.5</v>
      </c>
      <c r="EV111" s="188">
        <v>2</v>
      </c>
      <c r="EW111" s="188">
        <v>1.5</v>
      </c>
      <c r="EX111" s="188">
        <v>1</v>
      </c>
      <c r="EY111" s="188">
        <v>3.5</v>
      </c>
      <c r="EZ111" s="188">
        <v>0.5</v>
      </c>
      <c r="FA111" s="188">
        <v>0.5</v>
      </c>
      <c r="FB111" s="188">
        <v>0</v>
      </c>
      <c r="FC111" s="188">
        <v>0</v>
      </c>
      <c r="FD111" s="188">
        <v>2</v>
      </c>
      <c r="FE111" s="188">
        <v>1.5</v>
      </c>
      <c r="FF111" s="188">
        <v>1.5</v>
      </c>
      <c r="FG111" s="188">
        <v>1</v>
      </c>
      <c r="FH111" s="188">
        <v>3.5</v>
      </c>
      <c r="FI111" s="188">
        <v>0.5</v>
      </c>
      <c r="FJ111" s="188">
        <v>3</v>
      </c>
      <c r="FK111" s="188">
        <v>0</v>
      </c>
      <c r="FL111" s="188">
        <v>0</v>
      </c>
      <c r="FM111" s="188">
        <v>2</v>
      </c>
      <c r="FN111" s="188">
        <v>4.5</v>
      </c>
      <c r="FO111" s="188">
        <v>1.5</v>
      </c>
      <c r="FP111" s="188">
        <v>1.5</v>
      </c>
      <c r="FQ111" s="188">
        <v>1</v>
      </c>
      <c r="FR111" s="188">
        <v>1</v>
      </c>
      <c r="FS111" s="188">
        <v>0.5</v>
      </c>
      <c r="FT111" s="188">
        <v>3</v>
      </c>
      <c r="FU111" s="188">
        <v>0</v>
      </c>
      <c r="FV111" s="188">
        <v>2.5</v>
      </c>
      <c r="FW111" s="188">
        <v>2.5</v>
      </c>
      <c r="FX111" s="188">
        <v>2</v>
      </c>
      <c r="FY111" s="188">
        <v>4.5</v>
      </c>
      <c r="FZ111" s="188">
        <v>1.5</v>
      </c>
      <c r="GA111" s="188">
        <v>4</v>
      </c>
      <c r="GB111" s="188">
        <v>1</v>
      </c>
      <c r="GC111" s="188">
        <v>1</v>
      </c>
      <c r="GD111" s="188">
        <v>0.5</v>
      </c>
      <c r="GE111" s="188">
        <v>0.5</v>
      </c>
      <c r="GF111" s="188">
        <v>5.5</v>
      </c>
      <c r="GG111" s="188">
        <v>0</v>
      </c>
      <c r="GH111" s="188">
        <v>2.5</v>
      </c>
      <c r="GI111" s="188">
        <v>2.5</v>
      </c>
      <c r="GJ111" s="188">
        <v>2</v>
      </c>
      <c r="GK111" s="188">
        <v>2</v>
      </c>
      <c r="GL111" s="188">
        <v>1.5</v>
      </c>
      <c r="GM111" s="188">
        <v>4</v>
      </c>
      <c r="GN111" s="188">
        <v>1</v>
      </c>
      <c r="GO111" s="188">
        <v>3.5</v>
      </c>
      <c r="GP111" s="188">
        <v>3.5</v>
      </c>
      <c r="GQ111" s="188">
        <v>0.5</v>
      </c>
      <c r="GR111" s="188">
        <v>0.5</v>
      </c>
      <c r="GS111" s="188">
        <v>5.5</v>
      </c>
      <c r="GT111" s="188">
        <v>0</v>
      </c>
      <c r="GU111" s="188">
        <v>0</v>
      </c>
      <c r="GV111" s="188">
        <v>5</v>
      </c>
      <c r="GW111" s="188">
        <v>2</v>
      </c>
      <c r="GX111" s="188">
        <v>2</v>
      </c>
      <c r="GY111" s="188">
        <v>1.5</v>
      </c>
      <c r="GZ111" s="188">
        <v>1.5</v>
      </c>
      <c r="HA111" s="188">
        <v>6.5</v>
      </c>
      <c r="HB111" s="188">
        <v>1</v>
      </c>
      <c r="HC111" s="188">
        <v>3.5</v>
      </c>
      <c r="HD111" s="188">
        <v>3.5</v>
      </c>
      <c r="HE111" s="188">
        <v>0.5</v>
      </c>
      <c r="HF111" s="188">
        <v>3</v>
      </c>
      <c r="HG111" s="188">
        <v>3</v>
      </c>
      <c r="HH111" s="188">
        <v>0</v>
      </c>
      <c r="HI111" s="188">
        <v>0</v>
      </c>
      <c r="HJ111" s="188">
        <v>5</v>
      </c>
      <c r="HK111" s="188">
        <v>2</v>
      </c>
      <c r="HL111" s="188">
        <v>4.5</v>
      </c>
      <c r="HM111" s="188">
        <v>4.5</v>
      </c>
      <c r="HN111" s="188">
        <v>1.5</v>
      </c>
      <c r="HO111" s="188">
        <v>1.5</v>
      </c>
      <c r="HP111" s="188">
        <v>6.5</v>
      </c>
      <c r="HQ111" s="188">
        <v>1</v>
      </c>
      <c r="HR111" s="188">
        <v>1</v>
      </c>
      <c r="HS111" s="188">
        <v>6</v>
      </c>
      <c r="HT111" s="188">
        <v>0.5</v>
      </c>
      <c r="HU111" s="188">
        <v>3</v>
      </c>
      <c r="HV111" s="188">
        <v>3</v>
      </c>
      <c r="HW111" s="188">
        <v>0</v>
      </c>
      <c r="HX111" s="188">
        <v>2.5</v>
      </c>
      <c r="HY111" s="188">
        <v>2.5</v>
      </c>
      <c r="HZ111" s="188">
        <v>7.5</v>
      </c>
      <c r="IA111" s="188">
        <v>2</v>
      </c>
      <c r="IB111" s="188">
        <v>4.5</v>
      </c>
      <c r="IC111" s="188">
        <v>4.5</v>
      </c>
      <c r="ID111" s="188">
        <v>1.5</v>
      </c>
      <c r="IE111" s="188">
        <v>4</v>
      </c>
      <c r="IF111" s="188">
        <v>4</v>
      </c>
      <c r="IG111" s="188">
        <v>1</v>
      </c>
      <c r="IH111" s="188">
        <v>1</v>
      </c>
      <c r="II111" s="188">
        <v>6</v>
      </c>
      <c r="IJ111" s="188">
        <v>0.5</v>
      </c>
      <c r="IK111" s="188">
        <v>0.5</v>
      </c>
      <c r="IL111" s="188">
        <v>5.5</v>
      </c>
      <c r="IM111" s="188">
        <v>5.5</v>
      </c>
      <c r="IN111" s="188">
        <v>0</v>
      </c>
      <c r="IO111" s="188">
        <v>2.5</v>
      </c>
      <c r="IP111" s="188">
        <v>2.5</v>
      </c>
      <c r="IQ111" s="188">
        <v>7.5</v>
      </c>
      <c r="IR111" s="188">
        <v>2</v>
      </c>
      <c r="IS111" s="188">
        <v>2</v>
      </c>
      <c r="IT111" s="188">
        <v>7</v>
      </c>
      <c r="IU111" s="188">
        <v>1.5</v>
      </c>
      <c r="IV111" s="188">
        <v>4</v>
      </c>
      <c r="IW111" s="188">
        <v>4</v>
      </c>
      <c r="IX111" s="188">
        <v>1</v>
      </c>
      <c r="IY111" s="188">
        <v>3.5</v>
      </c>
      <c r="IZ111" s="188">
        <v>3.5</v>
      </c>
      <c r="JA111" s="188">
        <v>8.5</v>
      </c>
      <c r="JB111" s="188">
        <v>0.5</v>
      </c>
      <c r="JC111" s="188">
        <v>0.5</v>
      </c>
      <c r="JD111" s="188">
        <v>5.5</v>
      </c>
      <c r="JE111" s="188">
        <v>5.5</v>
      </c>
      <c r="JF111" s="188">
        <v>0</v>
      </c>
      <c r="JG111" s="188">
        <v>0</v>
      </c>
      <c r="JH111" s="188">
        <v>5</v>
      </c>
      <c r="JI111" s="188">
        <v>5</v>
      </c>
      <c r="JJ111" s="188">
        <v>2</v>
      </c>
      <c r="JK111" s="188">
        <v>2</v>
      </c>
      <c r="JL111" s="188">
        <v>7</v>
      </c>
      <c r="JM111" s="188">
        <v>1.5</v>
      </c>
      <c r="JN111" s="188">
        <v>1.5</v>
      </c>
      <c r="JO111" s="188">
        <v>6.5</v>
      </c>
      <c r="JP111" s="188">
        <v>6.5</v>
      </c>
      <c r="JQ111" s="188">
        <v>1</v>
      </c>
      <c r="JR111" s="188">
        <v>3.5</v>
      </c>
      <c r="JS111" s="188">
        <v>3.5</v>
      </c>
      <c r="JT111" s="188">
        <v>8.5</v>
      </c>
      <c r="JU111" s="188">
        <v>0.5</v>
      </c>
      <c r="JV111" s="188">
        <v>3</v>
      </c>
      <c r="JW111" s="188">
        <v>3</v>
      </c>
      <c r="JX111" s="188">
        <v>8</v>
      </c>
      <c r="JY111" s="188">
        <v>0</v>
      </c>
      <c r="JZ111" s="188">
        <v>0</v>
      </c>
      <c r="KA111" s="188">
        <v>5</v>
      </c>
      <c r="KB111" s="188">
        <v>5</v>
      </c>
      <c r="KC111" s="188">
        <v>2</v>
      </c>
      <c r="KD111" s="188">
        <v>4.5</v>
      </c>
      <c r="KE111" s="188">
        <v>4.5</v>
      </c>
      <c r="KF111" s="188">
        <v>9.5</v>
      </c>
      <c r="KG111" s="188">
        <v>1.5</v>
      </c>
      <c r="KH111" s="188">
        <v>1.5</v>
      </c>
      <c r="KI111" s="188">
        <v>6.5</v>
      </c>
      <c r="KJ111" s="188">
        <v>6.5</v>
      </c>
      <c r="KK111" s="188">
        <v>1</v>
      </c>
      <c r="KL111" s="188">
        <v>1</v>
      </c>
      <c r="KM111" s="188">
        <v>6</v>
      </c>
      <c r="KN111" s="188">
        <v>6</v>
      </c>
      <c r="KO111" s="188">
        <v>0.5</v>
      </c>
      <c r="KP111" s="188">
        <v>3</v>
      </c>
      <c r="KQ111" s="188">
        <v>3</v>
      </c>
      <c r="KR111" s="188">
        <v>8</v>
      </c>
      <c r="KS111" s="188">
        <v>0</v>
      </c>
      <c r="KT111" s="188">
        <v>2.5</v>
      </c>
      <c r="KU111" s="188">
        <v>2.5</v>
      </c>
      <c r="KV111" s="188">
        <v>7.5</v>
      </c>
      <c r="KW111" s="188">
        <v>2</v>
      </c>
      <c r="KX111" s="188">
        <v>4.5</v>
      </c>
      <c r="KY111" s="188">
        <v>4.5</v>
      </c>
      <c r="KZ111" s="188">
        <v>1.5</v>
      </c>
      <c r="LA111" s="188">
        <v>4</v>
      </c>
      <c r="LB111" s="188">
        <v>4</v>
      </c>
      <c r="LC111" s="188">
        <v>9</v>
      </c>
      <c r="LD111" s="188">
        <v>1</v>
      </c>
      <c r="LE111" s="188">
        <v>1</v>
      </c>
      <c r="LF111" s="188">
        <v>6</v>
      </c>
      <c r="LG111" s="188">
        <v>6</v>
      </c>
      <c r="LH111" s="188">
        <v>0.5</v>
      </c>
      <c r="LI111" s="188">
        <v>0.5</v>
      </c>
      <c r="LJ111" s="188">
        <v>5.5</v>
      </c>
      <c r="LK111" s="188">
        <v>5.5</v>
      </c>
      <c r="LL111" s="188">
        <v>10.5</v>
      </c>
      <c r="LM111" s="188">
        <v>0</v>
      </c>
      <c r="LN111" s="188">
        <v>2.5</v>
      </c>
      <c r="LO111" s="188">
        <v>2.5</v>
      </c>
      <c r="LP111" s="188">
        <v>7.5</v>
      </c>
      <c r="LQ111" s="188">
        <v>7.5</v>
      </c>
      <c r="LR111" s="188">
        <v>2</v>
      </c>
      <c r="LS111" s="188">
        <v>2</v>
      </c>
      <c r="LT111" s="188">
        <v>7</v>
      </c>
      <c r="LU111" s="188">
        <v>1.5</v>
      </c>
      <c r="LV111" s="188">
        <v>4</v>
      </c>
      <c r="LW111" s="188">
        <v>4</v>
      </c>
      <c r="LX111" s="188">
        <v>9</v>
      </c>
      <c r="LY111" s="188">
        <v>1</v>
      </c>
      <c r="LZ111" s="188">
        <v>3.5</v>
      </c>
      <c r="MA111" s="188">
        <v>3.5</v>
      </c>
      <c r="MB111" s="188">
        <v>8.5</v>
      </c>
      <c r="MC111" s="188">
        <v>8.5</v>
      </c>
      <c r="MD111" s="188">
        <v>0.5</v>
      </c>
      <c r="ME111" s="188">
        <v>0.5</v>
      </c>
    </row>
    <row r="112" spans="1:343" ht="7.4" customHeight="1" x14ac:dyDescent="0.5">
      <c r="A112" s="42"/>
      <c r="S112" s="72"/>
      <c r="T112" s="73"/>
      <c r="U112" s="73"/>
      <c r="V112" s="73"/>
      <c r="W112" s="73"/>
      <c r="X112" s="73"/>
      <c r="Y112" s="73"/>
      <c r="Z112" s="73"/>
      <c r="AA112" s="73"/>
      <c r="AB112" s="73"/>
      <c r="AC112" s="73"/>
      <c r="AD112" s="73"/>
      <c r="AE112" s="73"/>
      <c r="AF112" s="73"/>
      <c r="AG112" s="73"/>
      <c r="AH112" s="73"/>
      <c r="AI112" s="73"/>
      <c r="AJ112" s="73"/>
      <c r="AK112" s="73"/>
      <c r="AL112" s="73"/>
      <c r="AM112" s="73"/>
      <c r="AN112" s="73"/>
      <c r="AO112" s="73"/>
      <c r="AP112" s="73"/>
      <c r="AQ112" s="74"/>
      <c r="BI112" s="41"/>
      <c r="BK112" s="427"/>
      <c r="BL112" s="427"/>
      <c r="BM112" s="427"/>
      <c r="BN112" s="427"/>
      <c r="BO112" s="427"/>
      <c r="BP112" s="427"/>
      <c r="BQ112" s="428"/>
      <c r="BR112" s="428"/>
      <c r="BS112" s="428"/>
      <c r="BT112" s="428"/>
      <c r="BU112" s="428"/>
      <c r="BV112" s="428"/>
      <c r="BW112" s="428"/>
      <c r="BX112" s="428"/>
      <c r="BY112" s="428"/>
      <c r="BZ112" s="428"/>
      <c r="CA112" s="428"/>
      <c r="CB112" s="428"/>
      <c r="CC112" s="339"/>
      <c r="CD112" s="339"/>
      <c r="CE112" s="339"/>
      <c r="CF112" s="339"/>
      <c r="CG112" s="339"/>
      <c r="CH112" s="339"/>
      <c r="CI112" s="336"/>
      <c r="CJ112" s="336"/>
      <c r="CK112" s="336"/>
      <c r="CL112" s="336"/>
      <c r="CM112" s="336"/>
      <c r="CN112" s="336"/>
      <c r="CO112" s="336"/>
      <c r="CP112" s="336"/>
      <c r="CQ112" s="336"/>
      <c r="CR112" s="336"/>
      <c r="CS112" s="336"/>
      <c r="CT112" s="336"/>
      <c r="DW112" s="186">
        <f>DX112*1000</f>
        <v>5850</v>
      </c>
      <c r="DX112" s="187">
        <v>5.85</v>
      </c>
      <c r="DY112" s="188">
        <v>0</v>
      </c>
      <c r="DZ112" s="188">
        <v>0</v>
      </c>
      <c r="EA112" s="188">
        <v>0.5</v>
      </c>
      <c r="EB112" s="188">
        <v>0</v>
      </c>
      <c r="EC112" s="188">
        <v>0.5</v>
      </c>
      <c r="ED112" s="188">
        <v>1</v>
      </c>
      <c r="EE112" s="188">
        <v>0</v>
      </c>
      <c r="EF112" s="188">
        <v>0.5</v>
      </c>
      <c r="EG112" s="188">
        <v>1</v>
      </c>
      <c r="EH112" s="188">
        <v>1.5</v>
      </c>
      <c r="EI112" s="188">
        <v>0</v>
      </c>
      <c r="EJ112" s="188">
        <v>0.5</v>
      </c>
      <c r="EK112" s="188">
        <v>1</v>
      </c>
      <c r="EL112" s="188">
        <v>1.5</v>
      </c>
      <c r="EM112" s="188">
        <v>2</v>
      </c>
      <c r="EN112" s="188">
        <v>0</v>
      </c>
      <c r="EO112" s="188">
        <v>0.5</v>
      </c>
      <c r="EP112" s="188">
        <v>1</v>
      </c>
      <c r="EQ112" s="188">
        <v>1.5</v>
      </c>
      <c r="ER112" s="188">
        <v>2</v>
      </c>
      <c r="ES112" s="188">
        <v>2</v>
      </c>
      <c r="ET112" s="188">
        <v>2.5</v>
      </c>
      <c r="EU112" s="188">
        <v>0.5</v>
      </c>
      <c r="EV112" s="188">
        <v>1</v>
      </c>
      <c r="EW112" s="188">
        <v>1.5</v>
      </c>
      <c r="EX112" s="188">
        <v>2</v>
      </c>
      <c r="EY112" s="188">
        <v>0</v>
      </c>
      <c r="EZ112" s="188">
        <v>2.5</v>
      </c>
      <c r="FA112" s="188">
        <v>2.5</v>
      </c>
      <c r="FB112" s="188">
        <v>3</v>
      </c>
      <c r="FC112" s="188">
        <v>3</v>
      </c>
      <c r="FD112" s="188">
        <v>1.5</v>
      </c>
      <c r="FE112" s="188">
        <v>2</v>
      </c>
      <c r="FF112" s="188">
        <v>2</v>
      </c>
      <c r="FG112" s="188">
        <v>2.5</v>
      </c>
      <c r="FH112" s="188">
        <v>0.5</v>
      </c>
      <c r="FI112" s="188">
        <v>3</v>
      </c>
      <c r="FJ112" s="188">
        <v>1</v>
      </c>
      <c r="FK112" s="188">
        <v>3.5</v>
      </c>
      <c r="FL112" s="188">
        <v>3.5</v>
      </c>
      <c r="FM112" s="188">
        <v>2</v>
      </c>
      <c r="FN112" s="188">
        <v>0</v>
      </c>
      <c r="FO112" s="188">
        <v>2.5</v>
      </c>
      <c r="FP112" s="188">
        <v>2.5</v>
      </c>
      <c r="FQ112" s="188">
        <v>3</v>
      </c>
      <c r="FR112" s="188">
        <v>3</v>
      </c>
      <c r="FS112" s="188">
        <v>3.5</v>
      </c>
      <c r="FT112" s="188">
        <v>1.5</v>
      </c>
      <c r="FU112" s="188">
        <v>4</v>
      </c>
      <c r="FV112" s="188">
        <v>2</v>
      </c>
      <c r="FW112" s="188">
        <v>2</v>
      </c>
      <c r="FX112" s="188">
        <v>2.5</v>
      </c>
      <c r="FY112" s="188">
        <v>0.5</v>
      </c>
      <c r="FZ112" s="188">
        <v>3</v>
      </c>
      <c r="GA112" s="188">
        <v>1</v>
      </c>
      <c r="GB112" s="188">
        <v>3.5</v>
      </c>
      <c r="GC112" s="188">
        <v>3.5</v>
      </c>
      <c r="GD112" s="188">
        <v>4</v>
      </c>
      <c r="GE112" s="188">
        <v>4</v>
      </c>
      <c r="GF112" s="188">
        <v>0</v>
      </c>
      <c r="GG112" s="188">
        <v>4.5</v>
      </c>
      <c r="GH112" s="188">
        <v>2.5</v>
      </c>
      <c r="GI112" s="188">
        <v>2.5</v>
      </c>
      <c r="GJ112" s="188">
        <v>3</v>
      </c>
      <c r="GK112" s="188">
        <v>3</v>
      </c>
      <c r="GL112" s="188">
        <v>3.5</v>
      </c>
      <c r="GM112" s="188">
        <v>1.5</v>
      </c>
      <c r="GN112" s="188">
        <v>4</v>
      </c>
      <c r="GO112" s="188">
        <v>2</v>
      </c>
      <c r="GP112" s="188">
        <v>2</v>
      </c>
      <c r="GQ112" s="188">
        <v>4.5</v>
      </c>
      <c r="GR112" s="188">
        <v>4.5</v>
      </c>
      <c r="GS112" s="188">
        <v>0.5</v>
      </c>
      <c r="GT112" s="188">
        <v>5</v>
      </c>
      <c r="GU112" s="188">
        <v>5</v>
      </c>
      <c r="GV112" s="188">
        <v>1</v>
      </c>
      <c r="GW112" s="188">
        <v>3.5</v>
      </c>
      <c r="GX112" s="188">
        <v>3.5</v>
      </c>
      <c r="GY112" s="188">
        <v>4</v>
      </c>
      <c r="GZ112" s="188">
        <v>4</v>
      </c>
      <c r="HA112" s="188">
        <v>0</v>
      </c>
      <c r="HB112" s="188">
        <v>4.5</v>
      </c>
      <c r="HC112" s="188">
        <v>2.5</v>
      </c>
      <c r="HD112" s="188">
        <v>2.5</v>
      </c>
      <c r="HE112" s="188">
        <v>5</v>
      </c>
      <c r="HF112" s="188">
        <v>3</v>
      </c>
      <c r="HG112" s="188">
        <v>3</v>
      </c>
      <c r="HH112" s="188">
        <v>5.5</v>
      </c>
      <c r="HI112" s="188">
        <v>5.5</v>
      </c>
      <c r="HJ112" s="188">
        <v>1.5</v>
      </c>
      <c r="HK112" s="188">
        <v>4</v>
      </c>
      <c r="HL112" s="188">
        <v>2</v>
      </c>
      <c r="HM112" s="188">
        <v>2</v>
      </c>
      <c r="HN112" s="188">
        <v>4.5</v>
      </c>
      <c r="HO112" s="188">
        <v>4.5</v>
      </c>
      <c r="HP112" s="188">
        <v>0.5</v>
      </c>
      <c r="HQ112" s="188">
        <v>5</v>
      </c>
      <c r="HR112" s="188">
        <v>5</v>
      </c>
      <c r="HS112" s="188">
        <v>1</v>
      </c>
      <c r="HT112" s="188">
        <v>5.5</v>
      </c>
      <c r="HU112" s="188">
        <v>3.5</v>
      </c>
      <c r="HV112" s="188">
        <v>3.5</v>
      </c>
      <c r="HW112" s="188">
        <v>6</v>
      </c>
      <c r="HX112" s="188">
        <v>4</v>
      </c>
      <c r="HY112" s="188">
        <v>4</v>
      </c>
      <c r="HZ112" s="188">
        <v>0</v>
      </c>
      <c r="IA112" s="188">
        <v>4.5</v>
      </c>
      <c r="IB112" s="188">
        <v>2.5</v>
      </c>
      <c r="IC112" s="188">
        <v>2.5</v>
      </c>
      <c r="ID112" s="188">
        <v>5</v>
      </c>
      <c r="IE112" s="188">
        <v>3</v>
      </c>
      <c r="IF112" s="188">
        <v>3</v>
      </c>
      <c r="IG112" s="188">
        <v>5.5</v>
      </c>
      <c r="IH112" s="188">
        <v>5.5</v>
      </c>
      <c r="II112" s="188">
        <v>1.5</v>
      </c>
      <c r="IJ112" s="188">
        <v>6</v>
      </c>
      <c r="IK112" s="188">
        <v>6</v>
      </c>
      <c r="IL112" s="188">
        <v>2</v>
      </c>
      <c r="IM112" s="188">
        <v>2</v>
      </c>
      <c r="IN112" s="188">
        <v>6.5</v>
      </c>
      <c r="IO112" s="188">
        <v>4.5</v>
      </c>
      <c r="IP112" s="188">
        <v>4.5</v>
      </c>
      <c r="IQ112" s="188">
        <v>0.5</v>
      </c>
      <c r="IR112" s="188">
        <v>5</v>
      </c>
      <c r="IS112" s="188">
        <v>5</v>
      </c>
      <c r="IT112" s="188">
        <v>1</v>
      </c>
      <c r="IU112" s="188">
        <v>5.5</v>
      </c>
      <c r="IV112" s="188">
        <v>3.5</v>
      </c>
      <c r="IW112" s="188">
        <v>3.5</v>
      </c>
      <c r="IX112" s="188">
        <v>6</v>
      </c>
      <c r="IY112" s="188">
        <v>4</v>
      </c>
      <c r="IZ112" s="188">
        <v>4</v>
      </c>
      <c r="JA112" s="188">
        <v>0</v>
      </c>
      <c r="JB112" s="188">
        <v>6.5</v>
      </c>
      <c r="JC112" s="188">
        <v>6.5</v>
      </c>
      <c r="JD112" s="188">
        <v>2.5</v>
      </c>
      <c r="JE112" s="188">
        <v>2.5</v>
      </c>
      <c r="JF112" s="188">
        <v>7</v>
      </c>
      <c r="JG112" s="188">
        <v>7</v>
      </c>
      <c r="JH112" s="188">
        <v>3</v>
      </c>
      <c r="JI112" s="188">
        <v>3</v>
      </c>
      <c r="JJ112" s="188">
        <v>5.5</v>
      </c>
      <c r="JK112" s="188">
        <v>5.5</v>
      </c>
      <c r="JL112" s="188">
        <v>1.5</v>
      </c>
      <c r="JM112" s="188">
        <v>6</v>
      </c>
      <c r="JN112" s="188">
        <v>6</v>
      </c>
      <c r="JO112" s="188">
        <v>2</v>
      </c>
      <c r="JP112" s="188">
        <v>2</v>
      </c>
      <c r="JQ112" s="188">
        <v>6.5</v>
      </c>
      <c r="JR112" s="188">
        <v>4.5</v>
      </c>
      <c r="JS112" s="188">
        <v>4.5</v>
      </c>
      <c r="JT112" s="188">
        <v>0.5</v>
      </c>
      <c r="JU112" s="188">
        <v>7</v>
      </c>
      <c r="JV112" s="188">
        <v>5</v>
      </c>
      <c r="JW112" s="188">
        <v>5</v>
      </c>
      <c r="JX112" s="188">
        <v>1</v>
      </c>
      <c r="JY112" s="188">
        <v>7.5</v>
      </c>
      <c r="JZ112" s="188">
        <v>7.5</v>
      </c>
      <c r="KA112" s="188">
        <v>3.5</v>
      </c>
      <c r="KB112" s="188">
        <v>3.5</v>
      </c>
      <c r="KC112" s="188">
        <v>6</v>
      </c>
      <c r="KD112" s="188">
        <v>4</v>
      </c>
      <c r="KE112" s="188">
        <v>4</v>
      </c>
      <c r="KF112" s="188">
        <v>0</v>
      </c>
      <c r="KG112" s="188">
        <v>6.5</v>
      </c>
      <c r="KH112" s="188">
        <v>6.5</v>
      </c>
      <c r="KI112" s="188">
        <v>2.5</v>
      </c>
      <c r="KJ112" s="188">
        <v>2.5</v>
      </c>
      <c r="KK112" s="188">
        <v>7</v>
      </c>
      <c r="KL112" s="188">
        <v>7</v>
      </c>
      <c r="KM112" s="188">
        <v>3</v>
      </c>
      <c r="KN112" s="188">
        <v>3</v>
      </c>
      <c r="KO112" s="188">
        <v>7.5</v>
      </c>
      <c r="KP112" s="188">
        <v>5.5</v>
      </c>
      <c r="KQ112" s="188">
        <v>5.5</v>
      </c>
      <c r="KR112" s="188">
        <v>1.5</v>
      </c>
      <c r="KS112" s="188">
        <v>8</v>
      </c>
      <c r="KT112" s="188">
        <v>6</v>
      </c>
      <c r="KU112" s="188">
        <v>6</v>
      </c>
      <c r="KV112" s="188">
        <v>2</v>
      </c>
      <c r="KW112" s="188">
        <v>6.5</v>
      </c>
      <c r="KX112" s="188">
        <v>4.5</v>
      </c>
      <c r="KY112" s="188">
        <v>4.5</v>
      </c>
      <c r="KZ112" s="188">
        <v>7</v>
      </c>
      <c r="LA112" s="188">
        <v>5</v>
      </c>
      <c r="LB112" s="188">
        <v>5</v>
      </c>
      <c r="LC112" s="188">
        <v>1</v>
      </c>
      <c r="LD112" s="188">
        <v>7.5</v>
      </c>
      <c r="LE112" s="188">
        <v>7.5</v>
      </c>
      <c r="LF112" s="188">
        <v>3.5</v>
      </c>
      <c r="LG112" s="188">
        <v>3.5</v>
      </c>
      <c r="LH112" s="188">
        <v>8</v>
      </c>
      <c r="LI112" s="188">
        <v>8</v>
      </c>
      <c r="LJ112" s="188">
        <v>4</v>
      </c>
      <c r="LK112" s="188">
        <v>4</v>
      </c>
      <c r="LL112" s="188">
        <v>0</v>
      </c>
      <c r="LM112" s="188">
        <v>8.5</v>
      </c>
      <c r="LN112" s="188">
        <v>6.5</v>
      </c>
      <c r="LO112" s="188">
        <v>6.5</v>
      </c>
      <c r="LP112" s="188">
        <v>2.5</v>
      </c>
      <c r="LQ112" s="188">
        <v>2.5</v>
      </c>
      <c r="LR112" s="188">
        <v>7</v>
      </c>
      <c r="LS112" s="188">
        <v>7</v>
      </c>
      <c r="LT112" s="188">
        <v>3</v>
      </c>
      <c r="LU112" s="188">
        <v>7.5</v>
      </c>
      <c r="LV112" s="188">
        <v>5.5</v>
      </c>
      <c r="LW112" s="188">
        <v>5.5</v>
      </c>
      <c r="LX112" s="188">
        <v>1.5</v>
      </c>
      <c r="LY112" s="188">
        <v>8</v>
      </c>
      <c r="LZ112" s="188">
        <v>6</v>
      </c>
      <c r="MA112" s="188">
        <v>6</v>
      </c>
      <c r="MB112" s="188">
        <v>2</v>
      </c>
      <c r="MC112" s="188">
        <v>2</v>
      </c>
      <c r="MD112" s="188">
        <v>8.5</v>
      </c>
      <c r="ME112" s="188">
        <v>8.5</v>
      </c>
    </row>
    <row r="113" spans="1:342" ht="7.4" customHeight="1" x14ac:dyDescent="0.5">
      <c r="A113" s="42"/>
      <c r="BI113" s="41"/>
      <c r="CO113" s="298"/>
      <c r="CP113" s="298"/>
      <c r="CQ113" s="298"/>
      <c r="CR113" s="298"/>
      <c r="CS113" s="298"/>
      <c r="CT113" s="298"/>
      <c r="DW113" s="24" t="s">
        <v>86</v>
      </c>
    </row>
    <row r="114" spans="1:342" ht="7.4" customHeight="1" x14ac:dyDescent="0.5">
      <c r="A114" s="42"/>
      <c r="B114" s="29"/>
      <c r="C114" s="422" t="s">
        <v>49</v>
      </c>
      <c r="D114" s="422"/>
      <c r="E114" s="423"/>
      <c r="F114" s="29"/>
      <c r="G114" s="422" t="s">
        <v>50</v>
      </c>
      <c r="H114" s="422"/>
      <c r="I114" s="422"/>
      <c r="J114" s="422"/>
      <c r="K114" s="422"/>
      <c r="L114" s="422"/>
      <c r="M114" s="422"/>
      <c r="N114" s="422"/>
      <c r="O114" s="422"/>
      <c r="P114" s="422"/>
      <c r="Q114" s="422"/>
      <c r="R114" s="423"/>
      <c r="S114" s="29"/>
      <c r="T114" s="422" t="s">
        <v>51</v>
      </c>
      <c r="U114" s="422"/>
      <c r="V114" s="422"/>
      <c r="W114" s="422"/>
      <c r="X114" s="422"/>
      <c r="Y114" s="422"/>
      <c r="Z114" s="422"/>
      <c r="AA114" s="422"/>
      <c r="AB114" s="422"/>
      <c r="AC114" s="422"/>
      <c r="AD114" s="422"/>
      <c r="AE114" s="422"/>
      <c r="AF114" s="422"/>
      <c r="AG114" s="422"/>
      <c r="AH114" s="422"/>
      <c r="AI114" s="422"/>
      <c r="AJ114" s="423"/>
      <c r="AK114" s="29"/>
      <c r="AL114" s="422" t="s">
        <v>106</v>
      </c>
      <c r="AM114" s="422"/>
      <c r="AN114" s="422"/>
      <c r="AO114" s="422"/>
      <c r="AP114" s="423"/>
      <c r="AQ114" s="299" t="s">
        <v>53</v>
      </c>
      <c r="AR114" s="363"/>
      <c r="AS114" s="363"/>
      <c r="AT114" s="363"/>
      <c r="AU114" s="363"/>
      <c r="AV114" s="363"/>
      <c r="AW114" s="363"/>
      <c r="AX114" s="363"/>
      <c r="AY114" s="363"/>
      <c r="AZ114" s="363"/>
      <c r="BA114" s="363"/>
      <c r="BB114" s="363"/>
      <c r="BC114" s="363"/>
      <c r="BD114" s="363"/>
      <c r="BE114" s="363"/>
      <c r="BF114" s="363"/>
      <c r="BG114" s="363"/>
      <c r="BH114" s="364"/>
      <c r="BI114" s="41"/>
      <c r="BK114" s="81"/>
      <c r="BL114" s="77"/>
      <c r="BM114" s="40"/>
      <c r="BN114" s="77"/>
      <c r="BO114" s="77"/>
      <c r="BP114" s="40"/>
      <c r="BQ114" s="81"/>
      <c r="BR114" s="77"/>
      <c r="BS114" s="40"/>
      <c r="BT114" s="81"/>
      <c r="BU114" s="77"/>
      <c r="BV114" s="40"/>
      <c r="BW114" s="81"/>
      <c r="BX114" s="77"/>
      <c r="BY114" s="40"/>
      <c r="BZ114" s="81"/>
      <c r="CA114" s="77"/>
      <c r="CB114" s="40"/>
      <c r="CC114" s="81"/>
      <c r="CD114" s="77"/>
      <c r="CE114" s="40"/>
      <c r="CF114" s="81"/>
      <c r="CG114" s="77"/>
      <c r="CH114" s="40"/>
      <c r="CI114" s="81"/>
      <c r="CJ114" s="77"/>
      <c r="CK114" s="40"/>
      <c r="CL114" s="81"/>
      <c r="CM114" s="77"/>
      <c r="CN114" s="40"/>
      <c r="CO114" s="81"/>
      <c r="CP114" s="77"/>
      <c r="CQ114" s="40"/>
      <c r="CR114" s="81"/>
      <c r="CS114" s="77"/>
      <c r="CT114" s="40"/>
      <c r="CU114" s="81"/>
      <c r="CV114" s="77"/>
      <c r="CW114" s="40"/>
      <c r="CX114" s="81"/>
      <c r="CY114" s="77"/>
      <c r="CZ114" s="40"/>
      <c r="DA114" s="81"/>
      <c r="DB114" s="77"/>
      <c r="DC114" s="40"/>
      <c r="DD114" s="81"/>
      <c r="DE114" s="77"/>
      <c r="DF114" s="40"/>
      <c r="DY114" s="189"/>
      <c r="DZ114" s="189"/>
      <c r="EA114" s="189"/>
      <c r="EB114" s="189"/>
      <c r="EC114" s="189"/>
      <c r="ED114" s="189"/>
      <c r="EE114" s="189"/>
      <c r="EF114" s="189"/>
      <c r="EG114" s="189"/>
      <c r="EH114" s="189"/>
      <c r="EI114" s="189"/>
      <c r="EJ114" s="189"/>
      <c r="EK114" s="189"/>
      <c r="EL114" s="189"/>
      <c r="EM114" s="189"/>
      <c r="EN114" s="189"/>
      <c r="EO114" s="189"/>
      <c r="EP114" s="189"/>
      <c r="EQ114" s="189"/>
      <c r="ER114" s="189"/>
      <c r="ES114" s="189"/>
      <c r="ET114" s="189"/>
      <c r="EU114" s="189"/>
      <c r="EV114" s="189"/>
      <c r="EW114" s="189"/>
      <c r="EX114" s="189"/>
      <c r="EY114" s="189"/>
      <c r="EZ114" s="189"/>
      <c r="FA114" s="189"/>
      <c r="FB114" s="189"/>
      <c r="FC114" s="189"/>
      <c r="FD114" s="189"/>
      <c r="FE114" s="189"/>
      <c r="FF114" s="189"/>
      <c r="FG114" s="189"/>
      <c r="FH114" s="189"/>
      <c r="FI114" s="189"/>
      <c r="FJ114" s="189"/>
      <c r="FK114" s="189"/>
      <c r="FL114" s="189"/>
      <c r="FM114" s="189"/>
      <c r="FN114" s="189"/>
      <c r="FO114" s="189"/>
      <c r="FP114" s="189"/>
      <c r="FQ114" s="189"/>
      <c r="FR114" s="189"/>
      <c r="FS114" s="189"/>
      <c r="FT114" s="189"/>
      <c r="FU114" s="189"/>
      <c r="FV114" s="189"/>
      <c r="FW114" s="189"/>
      <c r="FX114" s="189"/>
      <c r="FY114" s="189"/>
      <c r="FZ114" s="189"/>
      <c r="GA114" s="189"/>
      <c r="GB114" s="189"/>
      <c r="GC114" s="189"/>
      <c r="GD114" s="189"/>
      <c r="GE114" s="189"/>
      <c r="GF114" s="189"/>
      <c r="GG114" s="189"/>
      <c r="GH114" s="189"/>
      <c r="GI114" s="189"/>
      <c r="GJ114" s="189"/>
      <c r="GK114" s="189"/>
      <c r="GL114" s="189"/>
      <c r="GM114" s="189"/>
      <c r="GN114" s="189"/>
      <c r="GO114" s="189"/>
      <c r="GP114" s="189"/>
      <c r="GQ114" s="189"/>
      <c r="GR114" s="189"/>
      <c r="GS114" s="189"/>
      <c r="GT114" s="189"/>
      <c r="GU114" s="189"/>
      <c r="GV114" s="189"/>
      <c r="GW114" s="189"/>
      <c r="GX114" s="189"/>
      <c r="GY114" s="189"/>
      <c r="GZ114" s="189"/>
      <c r="HA114" s="189"/>
      <c r="HB114" s="189"/>
      <c r="HC114" s="189"/>
      <c r="HD114" s="189"/>
      <c r="HE114" s="189"/>
      <c r="HF114" s="189"/>
      <c r="HG114" s="189"/>
      <c r="HH114" s="189"/>
      <c r="HI114" s="189"/>
      <c r="HJ114" s="189"/>
      <c r="HK114" s="189"/>
      <c r="HL114" s="189"/>
      <c r="HM114" s="189"/>
      <c r="HN114" s="189"/>
      <c r="HO114" s="189"/>
      <c r="HP114" s="189"/>
      <c r="HQ114" s="189"/>
      <c r="HR114" s="189"/>
      <c r="HS114" s="189"/>
      <c r="HT114" s="189"/>
      <c r="HU114" s="189"/>
      <c r="HV114" s="189"/>
      <c r="HW114" s="189"/>
      <c r="HX114" s="189"/>
      <c r="HY114" s="189"/>
      <c r="HZ114" s="189"/>
      <c r="IA114" s="189"/>
      <c r="IB114" s="189"/>
      <c r="IC114" s="189"/>
      <c r="ID114" s="189"/>
      <c r="IE114" s="189"/>
      <c r="IF114" s="189"/>
      <c r="IG114" s="189"/>
      <c r="IH114" s="189"/>
      <c r="II114" s="189"/>
      <c r="IJ114" s="189"/>
      <c r="IK114" s="189"/>
      <c r="IL114" s="189"/>
      <c r="IM114" s="189"/>
      <c r="IN114" s="189"/>
      <c r="IO114" s="189"/>
      <c r="IP114" s="189"/>
      <c r="IQ114" s="189"/>
      <c r="IR114" s="189"/>
      <c r="IS114" s="189"/>
      <c r="IT114" s="189"/>
      <c r="IU114" s="189"/>
      <c r="IV114" s="189"/>
      <c r="IW114" s="189"/>
      <c r="IX114" s="189"/>
      <c r="IY114" s="189"/>
      <c r="IZ114" s="189"/>
      <c r="JA114" s="189"/>
      <c r="JB114" s="189"/>
      <c r="JC114" s="189"/>
      <c r="JD114" s="189"/>
      <c r="JE114" s="189"/>
      <c r="JF114" s="189"/>
      <c r="JG114" s="189"/>
      <c r="JH114" s="189"/>
      <c r="JI114" s="189"/>
      <c r="JJ114" s="189"/>
      <c r="JK114" s="189"/>
      <c r="JL114" s="189"/>
      <c r="JM114" s="189"/>
      <c r="JN114" s="189"/>
      <c r="JO114" s="189"/>
      <c r="JP114" s="189"/>
      <c r="JQ114" s="189"/>
      <c r="JR114" s="189"/>
      <c r="JS114" s="189"/>
      <c r="JT114" s="189"/>
      <c r="JU114" s="189"/>
      <c r="JV114" s="189"/>
      <c r="JW114" s="189"/>
      <c r="JX114" s="189"/>
      <c r="JY114" s="189"/>
      <c r="JZ114" s="189"/>
      <c r="KA114" s="189"/>
      <c r="KB114" s="189"/>
      <c r="KC114" s="189"/>
      <c r="KD114" s="189"/>
      <c r="KE114" s="189"/>
      <c r="KF114" s="189"/>
      <c r="KG114" s="189"/>
      <c r="KH114" s="189"/>
      <c r="KI114" s="189"/>
      <c r="KJ114" s="189"/>
      <c r="KK114" s="189"/>
      <c r="KL114" s="189"/>
      <c r="KM114" s="189"/>
      <c r="KN114" s="189"/>
      <c r="KO114" s="189"/>
      <c r="KP114" s="189"/>
      <c r="KQ114" s="189"/>
      <c r="KR114" s="189"/>
      <c r="KS114" s="189"/>
      <c r="KT114" s="189"/>
      <c r="KU114" s="189"/>
      <c r="KV114" s="189"/>
      <c r="KW114" s="189"/>
      <c r="KX114" s="189"/>
      <c r="KY114" s="189"/>
      <c r="KZ114" s="189"/>
      <c r="LA114" s="189"/>
      <c r="LB114" s="189"/>
      <c r="LC114" s="189"/>
      <c r="LD114" s="189"/>
      <c r="LE114" s="189"/>
      <c r="LF114" s="189"/>
      <c r="LG114" s="189"/>
      <c r="LH114" s="189"/>
      <c r="LI114" s="189"/>
      <c r="LJ114" s="189"/>
      <c r="LK114" s="189"/>
      <c r="LL114" s="189"/>
      <c r="LM114" s="189"/>
      <c r="LN114" s="189"/>
      <c r="LO114" s="189"/>
      <c r="LP114" s="189"/>
      <c r="LQ114" s="189"/>
      <c r="LR114" s="189"/>
      <c r="LS114" s="189"/>
      <c r="LT114" s="189"/>
      <c r="LU114" s="189"/>
      <c r="LV114" s="189"/>
      <c r="LW114" s="189"/>
      <c r="LX114" s="189"/>
      <c r="LY114" s="189"/>
      <c r="LZ114" s="189"/>
      <c r="MA114" s="189"/>
      <c r="MB114" s="189"/>
      <c r="MC114" s="189"/>
      <c r="MD114" s="189"/>
    </row>
    <row r="115" spans="1:342" ht="7.4" customHeight="1" x14ac:dyDescent="0.5">
      <c r="A115" s="42"/>
      <c r="B115" s="32"/>
      <c r="C115" s="408"/>
      <c r="D115" s="408"/>
      <c r="E115" s="424"/>
      <c r="F115" s="32"/>
      <c r="G115" s="408"/>
      <c r="H115" s="408"/>
      <c r="I115" s="408"/>
      <c r="J115" s="408"/>
      <c r="K115" s="408"/>
      <c r="L115" s="408"/>
      <c r="M115" s="408"/>
      <c r="N115" s="408"/>
      <c r="O115" s="408"/>
      <c r="P115" s="408"/>
      <c r="Q115" s="408"/>
      <c r="R115" s="424"/>
      <c r="S115" s="32"/>
      <c r="T115" s="408"/>
      <c r="U115" s="408"/>
      <c r="V115" s="408"/>
      <c r="W115" s="408"/>
      <c r="X115" s="408"/>
      <c r="Y115" s="408"/>
      <c r="Z115" s="408"/>
      <c r="AA115" s="408"/>
      <c r="AB115" s="408"/>
      <c r="AC115" s="408"/>
      <c r="AD115" s="408"/>
      <c r="AE115" s="408"/>
      <c r="AF115" s="408"/>
      <c r="AG115" s="408"/>
      <c r="AH115" s="408"/>
      <c r="AI115" s="408"/>
      <c r="AJ115" s="424"/>
      <c r="AK115" s="32"/>
      <c r="AL115" s="408"/>
      <c r="AM115" s="408"/>
      <c r="AN115" s="408"/>
      <c r="AO115" s="408"/>
      <c r="AP115" s="424"/>
      <c r="AQ115" s="365"/>
      <c r="AR115" s="366"/>
      <c r="AS115" s="366"/>
      <c r="AT115" s="366"/>
      <c r="AU115" s="366"/>
      <c r="AV115" s="366"/>
      <c r="AW115" s="366"/>
      <c r="AX115" s="366"/>
      <c r="AY115" s="366"/>
      <c r="AZ115" s="366"/>
      <c r="BA115" s="366"/>
      <c r="BB115" s="366"/>
      <c r="BC115" s="366"/>
      <c r="BD115" s="366"/>
      <c r="BE115" s="366"/>
      <c r="BF115" s="366"/>
      <c r="BG115" s="366"/>
      <c r="BH115" s="367"/>
      <c r="BI115" s="41"/>
      <c r="BK115" s="420" t="s">
        <v>20</v>
      </c>
      <c r="BL115" s="333"/>
      <c r="BM115" s="421"/>
      <c r="BN115" s="420" t="s">
        <v>107</v>
      </c>
      <c r="BO115" s="333"/>
      <c r="BP115" s="421"/>
      <c r="BQ115" s="420" t="s">
        <v>108</v>
      </c>
      <c r="BR115" s="333"/>
      <c r="BS115" s="421"/>
      <c r="BT115" s="420" t="s">
        <v>109</v>
      </c>
      <c r="BU115" s="333"/>
      <c r="BV115" s="421"/>
      <c r="BW115" s="420" t="s">
        <v>110</v>
      </c>
      <c r="BX115" s="333"/>
      <c r="BY115" s="421"/>
      <c r="BZ115" s="420" t="s">
        <v>111</v>
      </c>
      <c r="CA115" s="333"/>
      <c r="CB115" s="421"/>
      <c r="CC115" s="420" t="s">
        <v>112</v>
      </c>
      <c r="CD115" s="333"/>
      <c r="CE115" s="421"/>
      <c r="CF115" s="420" t="s">
        <v>113</v>
      </c>
      <c r="CG115" s="333"/>
      <c r="CH115" s="421"/>
      <c r="CI115" s="420" t="s">
        <v>114</v>
      </c>
      <c r="CJ115" s="333"/>
      <c r="CK115" s="421"/>
      <c r="CL115" s="420" t="s">
        <v>115</v>
      </c>
      <c r="CM115" s="333"/>
      <c r="CN115" s="421"/>
      <c r="CO115" s="420" t="s">
        <v>116</v>
      </c>
      <c r="CP115" s="333"/>
      <c r="CQ115" s="421"/>
      <c r="CR115" s="420" t="s">
        <v>117</v>
      </c>
      <c r="CS115" s="333"/>
      <c r="CT115" s="421"/>
      <c r="CU115" s="420" t="s">
        <v>118</v>
      </c>
      <c r="CV115" s="333"/>
      <c r="CW115" s="421"/>
      <c r="CX115" s="420" t="s">
        <v>119</v>
      </c>
      <c r="CY115" s="333"/>
      <c r="CZ115" s="421"/>
      <c r="DA115" s="420" t="s">
        <v>120</v>
      </c>
      <c r="DB115" s="333"/>
      <c r="DC115" s="421"/>
      <c r="DD115" s="420" t="s">
        <v>121</v>
      </c>
      <c r="DE115" s="333"/>
      <c r="DF115" s="421"/>
      <c r="DH115" s="331"/>
      <c r="DI115" s="331"/>
      <c r="DJ115" s="331"/>
      <c r="DK115" s="331"/>
      <c r="DL115" s="311"/>
      <c r="DM115" s="311"/>
      <c r="DN115" s="311"/>
      <c r="DO115" s="311"/>
      <c r="DP115" s="311"/>
      <c r="DQ115" s="311"/>
      <c r="DR115" s="311"/>
      <c r="DS115" s="311"/>
      <c r="DT115" s="311"/>
      <c r="DY115" s="190">
        <f t="shared" ref="DY115:GJ115" si="4">DZ110-DY110</f>
        <v>2.35</v>
      </c>
      <c r="DZ115" s="190">
        <f t="shared" si="4"/>
        <v>0.57499999999999973</v>
      </c>
      <c r="EA115" s="190">
        <f t="shared" si="4"/>
        <v>1.7750000000000004</v>
      </c>
      <c r="EB115" s="190">
        <f t="shared" si="4"/>
        <v>0.57500000000000018</v>
      </c>
      <c r="EC115" s="190">
        <f t="shared" si="4"/>
        <v>0.57499999999999929</v>
      </c>
      <c r="ED115" s="190">
        <f t="shared" si="4"/>
        <v>1.2000000000000011</v>
      </c>
      <c r="EE115" s="190">
        <f t="shared" si="4"/>
        <v>0.57499999999999929</v>
      </c>
      <c r="EF115" s="190">
        <f t="shared" si="4"/>
        <v>0.57499999999999929</v>
      </c>
      <c r="EG115" s="190">
        <f t="shared" si="4"/>
        <v>0.57499999999999929</v>
      </c>
      <c r="EH115" s="190">
        <f t="shared" si="4"/>
        <v>0.62500000000000178</v>
      </c>
      <c r="EI115" s="190">
        <f t="shared" si="4"/>
        <v>0.57500000000000107</v>
      </c>
      <c r="EJ115" s="190">
        <f t="shared" si="4"/>
        <v>0.57499999999999929</v>
      </c>
      <c r="EK115" s="190">
        <f t="shared" si="4"/>
        <v>0.57499999999999751</v>
      </c>
      <c r="EL115" s="190">
        <f t="shared" si="4"/>
        <v>0.57500000000000107</v>
      </c>
      <c r="EM115" s="190">
        <f t="shared" si="4"/>
        <v>5.0000000000000711E-2</v>
      </c>
      <c r="EN115" s="190">
        <f t="shared" si="4"/>
        <v>0.57499999999999929</v>
      </c>
      <c r="EO115" s="190">
        <f t="shared" si="4"/>
        <v>0.57500000000000107</v>
      </c>
      <c r="EP115" s="190">
        <f t="shared" si="4"/>
        <v>0.57499999999999751</v>
      </c>
      <c r="EQ115" s="190">
        <f t="shared" si="4"/>
        <v>0.57500000000000107</v>
      </c>
      <c r="ER115" s="190">
        <f t="shared" si="4"/>
        <v>0</v>
      </c>
      <c r="ES115" s="190">
        <f t="shared" si="4"/>
        <v>0.57500000000000107</v>
      </c>
      <c r="ET115" s="190">
        <f t="shared" si="4"/>
        <v>5.0000000000000711E-2</v>
      </c>
      <c r="EU115" s="190">
        <f t="shared" si="4"/>
        <v>0.57499999999999929</v>
      </c>
      <c r="EV115" s="190">
        <f t="shared" si="4"/>
        <v>0.57499999999999929</v>
      </c>
      <c r="EW115" s="190">
        <f t="shared" si="4"/>
        <v>0.57499999999999929</v>
      </c>
      <c r="EX115" s="190">
        <f t="shared" si="4"/>
        <v>5.0000000000000711E-2</v>
      </c>
      <c r="EY115" s="190">
        <f t="shared" si="4"/>
        <v>0.52500000000000213</v>
      </c>
      <c r="EZ115" s="190">
        <f t="shared" si="4"/>
        <v>0</v>
      </c>
      <c r="FA115" s="190">
        <f t="shared" si="4"/>
        <v>0.57499999999999574</v>
      </c>
      <c r="FB115" s="190">
        <f t="shared" si="4"/>
        <v>0</v>
      </c>
      <c r="FC115" s="190">
        <f t="shared" si="4"/>
        <v>0.625</v>
      </c>
      <c r="FD115" s="190">
        <f t="shared" si="4"/>
        <v>0.57500000000000284</v>
      </c>
      <c r="FE115" s="190">
        <f t="shared" si="4"/>
        <v>0</v>
      </c>
      <c r="FF115" s="190">
        <f t="shared" si="4"/>
        <v>0.57499999999999929</v>
      </c>
      <c r="FG115" s="190">
        <f t="shared" si="4"/>
        <v>5.0000000000000711E-2</v>
      </c>
      <c r="FH115" s="190">
        <f t="shared" si="4"/>
        <v>0.52499999999999858</v>
      </c>
      <c r="FI115" s="190">
        <f t="shared" si="4"/>
        <v>5.0000000000004263E-2</v>
      </c>
      <c r="FJ115" s="190">
        <f t="shared" si="4"/>
        <v>0.52499999999999503</v>
      </c>
      <c r="FK115" s="190">
        <f t="shared" si="4"/>
        <v>0</v>
      </c>
      <c r="FL115" s="190">
        <f t="shared" si="4"/>
        <v>0.62500000000000355</v>
      </c>
      <c r="FM115" s="190">
        <f t="shared" si="4"/>
        <v>5.0000000000000711E-2</v>
      </c>
      <c r="FN115" s="190">
        <f t="shared" si="4"/>
        <v>0.52499999999999858</v>
      </c>
      <c r="FO115" s="190">
        <f t="shared" si="4"/>
        <v>0</v>
      </c>
      <c r="FP115" s="190">
        <f t="shared" si="4"/>
        <v>0.57499999999999574</v>
      </c>
      <c r="FQ115" s="190">
        <f t="shared" si="4"/>
        <v>0</v>
      </c>
      <c r="FR115" s="190">
        <f t="shared" si="4"/>
        <v>0.57500000000000284</v>
      </c>
      <c r="FS115" s="190">
        <f t="shared" si="4"/>
        <v>5.0000000000000711E-2</v>
      </c>
      <c r="FT115" s="190">
        <f t="shared" si="4"/>
        <v>0.52499999999999858</v>
      </c>
      <c r="FU115" s="190">
        <f t="shared" si="4"/>
        <v>5.0000000000000711E-2</v>
      </c>
      <c r="FV115" s="190">
        <f t="shared" si="4"/>
        <v>0</v>
      </c>
      <c r="FW115" s="190">
        <f t="shared" si="4"/>
        <v>0.57499999999999929</v>
      </c>
      <c r="FX115" s="190">
        <f t="shared" si="4"/>
        <v>5.0000000000004263E-2</v>
      </c>
      <c r="FY115" s="190">
        <f t="shared" si="4"/>
        <v>0.52499999999999503</v>
      </c>
      <c r="FZ115" s="190">
        <f t="shared" si="4"/>
        <v>5.0000000000000711E-2</v>
      </c>
      <c r="GA115" s="190">
        <f t="shared" si="4"/>
        <v>0.52499999999999858</v>
      </c>
      <c r="GB115" s="190">
        <f t="shared" si="4"/>
        <v>0</v>
      </c>
      <c r="GC115" s="190">
        <f t="shared" si="4"/>
        <v>0.57500000000000284</v>
      </c>
      <c r="GD115" s="190">
        <f t="shared" si="4"/>
        <v>0</v>
      </c>
      <c r="GE115" s="190">
        <f t="shared" si="4"/>
        <v>0.10000000000000142</v>
      </c>
      <c r="GF115" s="190">
        <f t="shared" si="4"/>
        <v>0.47499999999999787</v>
      </c>
      <c r="GG115" s="190">
        <f t="shared" si="4"/>
        <v>5.0000000000000711E-2</v>
      </c>
      <c r="GH115" s="190">
        <f t="shared" si="4"/>
        <v>0</v>
      </c>
      <c r="GI115" s="190">
        <f t="shared" si="4"/>
        <v>0.57499999999999574</v>
      </c>
      <c r="GJ115" s="190">
        <f t="shared" si="4"/>
        <v>0</v>
      </c>
      <c r="GK115" s="190">
        <f t="shared" ref="GK115:IV115" si="5">GL110-GK110</f>
        <v>0.57500000000000284</v>
      </c>
      <c r="GL115" s="190">
        <f t="shared" si="5"/>
        <v>5.0000000000000711E-2</v>
      </c>
      <c r="GM115" s="190">
        <f t="shared" si="5"/>
        <v>0.52499999999999858</v>
      </c>
      <c r="GN115" s="190">
        <f t="shared" si="5"/>
        <v>5.0000000000000711E-2</v>
      </c>
      <c r="GO115" s="190">
        <f t="shared" si="5"/>
        <v>0</v>
      </c>
      <c r="GP115" s="190">
        <f t="shared" si="5"/>
        <v>0.52500000000000213</v>
      </c>
      <c r="GQ115" s="190">
        <f t="shared" si="5"/>
        <v>0</v>
      </c>
      <c r="GR115" s="190">
        <f t="shared" si="5"/>
        <v>0.10000000000000142</v>
      </c>
      <c r="GS115" s="190">
        <f t="shared" si="5"/>
        <v>0.47499999999999787</v>
      </c>
      <c r="GT115" s="190">
        <f t="shared" si="5"/>
        <v>0</v>
      </c>
      <c r="GU115" s="190">
        <f t="shared" si="5"/>
        <v>0.10000000000000142</v>
      </c>
      <c r="GV115" s="190">
        <f t="shared" si="5"/>
        <v>0.52499999999999858</v>
      </c>
      <c r="GW115" s="190">
        <f t="shared" si="5"/>
        <v>0</v>
      </c>
      <c r="GX115" s="190">
        <f t="shared" si="5"/>
        <v>0.57499999999999929</v>
      </c>
      <c r="GY115" s="190">
        <f t="shared" si="5"/>
        <v>0</v>
      </c>
      <c r="GZ115" s="190">
        <f t="shared" si="5"/>
        <v>0.10000000000000142</v>
      </c>
      <c r="HA115" s="190">
        <f t="shared" si="5"/>
        <v>0.47499999999999787</v>
      </c>
      <c r="HB115" s="190">
        <f t="shared" si="5"/>
        <v>5.0000000000000711E-2</v>
      </c>
      <c r="HC115" s="190">
        <f t="shared" si="5"/>
        <v>0</v>
      </c>
      <c r="HD115" s="190">
        <f t="shared" si="5"/>
        <v>0.52500000000000213</v>
      </c>
      <c r="HE115" s="190">
        <f t="shared" si="5"/>
        <v>4.9999999999997158E-2</v>
      </c>
      <c r="HF115" s="190">
        <f t="shared" si="5"/>
        <v>0</v>
      </c>
      <c r="HG115" s="190">
        <f t="shared" si="5"/>
        <v>0.52499999999999858</v>
      </c>
      <c r="HH115" s="190">
        <f t="shared" si="5"/>
        <v>0</v>
      </c>
      <c r="HI115" s="190">
        <f t="shared" si="5"/>
        <v>0.10000000000000142</v>
      </c>
      <c r="HJ115" s="190">
        <f t="shared" si="5"/>
        <v>0.52499999999999858</v>
      </c>
      <c r="HK115" s="190">
        <f t="shared" si="5"/>
        <v>5.0000000000004263E-2</v>
      </c>
      <c r="HL115" s="190">
        <f t="shared" si="5"/>
        <v>0</v>
      </c>
      <c r="HM115" s="190">
        <f t="shared" si="5"/>
        <v>0.52499999999999858</v>
      </c>
      <c r="HN115" s="190">
        <f t="shared" si="5"/>
        <v>0</v>
      </c>
      <c r="HO115" s="190">
        <f t="shared" si="5"/>
        <v>0.10000000000000142</v>
      </c>
      <c r="HP115" s="190">
        <f t="shared" si="5"/>
        <v>0.47500000000000142</v>
      </c>
      <c r="HQ115" s="190">
        <f t="shared" si="5"/>
        <v>0</v>
      </c>
      <c r="HR115" s="190">
        <f t="shared" si="5"/>
        <v>0.10000000000000142</v>
      </c>
      <c r="HS115" s="190">
        <f t="shared" si="5"/>
        <v>0.47499999999999432</v>
      </c>
      <c r="HT115" s="190">
        <f t="shared" si="5"/>
        <v>5.0000000000004263E-2</v>
      </c>
      <c r="HU115" s="190">
        <f t="shared" si="5"/>
        <v>0</v>
      </c>
      <c r="HV115" s="190">
        <f t="shared" si="5"/>
        <v>0.52499999999999147</v>
      </c>
      <c r="HW115" s="190">
        <f t="shared" si="5"/>
        <v>5.0000000000004263E-2</v>
      </c>
      <c r="HX115" s="190">
        <f t="shared" si="5"/>
        <v>0</v>
      </c>
      <c r="HY115" s="190">
        <f t="shared" si="5"/>
        <v>0.10000000000000142</v>
      </c>
      <c r="HZ115" s="190">
        <f t="shared" si="5"/>
        <v>0.47500000000000142</v>
      </c>
      <c r="IA115" s="190">
        <f t="shared" si="5"/>
        <v>5.0000000000004263E-2</v>
      </c>
      <c r="IB115" s="190">
        <f t="shared" si="5"/>
        <v>0</v>
      </c>
      <c r="IC115" s="190">
        <f t="shared" si="5"/>
        <v>0.52499999999999147</v>
      </c>
      <c r="ID115" s="190">
        <f t="shared" si="5"/>
        <v>4.9999999999997158E-2</v>
      </c>
      <c r="IE115" s="190">
        <f t="shared" si="5"/>
        <v>0</v>
      </c>
      <c r="IF115" s="190">
        <f t="shared" si="5"/>
        <v>0.52500000000000568</v>
      </c>
      <c r="IG115" s="190">
        <f t="shared" si="5"/>
        <v>0</v>
      </c>
      <c r="IH115" s="190">
        <f t="shared" si="5"/>
        <v>0.10000000000000142</v>
      </c>
      <c r="II115" s="190">
        <f t="shared" si="5"/>
        <v>0.47499999999999432</v>
      </c>
      <c r="IJ115" s="190">
        <f t="shared" si="5"/>
        <v>0</v>
      </c>
      <c r="IK115" s="190">
        <f t="shared" si="5"/>
        <v>0.10000000000000142</v>
      </c>
      <c r="IL115" s="190">
        <f t="shared" si="5"/>
        <v>0</v>
      </c>
      <c r="IM115" s="190">
        <f t="shared" si="5"/>
        <v>0.47500000000000142</v>
      </c>
      <c r="IN115" s="190">
        <f t="shared" si="5"/>
        <v>5.0000000000004263E-2</v>
      </c>
      <c r="IO115" s="190">
        <f t="shared" si="5"/>
        <v>0</v>
      </c>
      <c r="IP115" s="190">
        <f t="shared" si="5"/>
        <v>9.9999999999994316E-2</v>
      </c>
      <c r="IQ115" s="190">
        <f t="shared" si="5"/>
        <v>0.47500000000000142</v>
      </c>
      <c r="IR115" s="190">
        <f t="shared" si="5"/>
        <v>0</v>
      </c>
      <c r="IS115" s="190">
        <f t="shared" si="5"/>
        <v>0.10000000000000142</v>
      </c>
      <c r="IT115" s="190">
        <f t="shared" si="5"/>
        <v>0.47499999999999432</v>
      </c>
      <c r="IU115" s="190">
        <f t="shared" si="5"/>
        <v>5.0000000000004263E-2</v>
      </c>
      <c r="IV115" s="190">
        <f t="shared" si="5"/>
        <v>0</v>
      </c>
      <c r="IW115" s="190">
        <f t="shared" ref="IW115:LH115" si="6">IX110-IW110</f>
        <v>0.52499999999999858</v>
      </c>
      <c r="IX115" s="190">
        <f t="shared" si="6"/>
        <v>4.9999999999997158E-2</v>
      </c>
      <c r="IY115" s="190">
        <f t="shared" si="6"/>
        <v>0</v>
      </c>
      <c r="IZ115" s="190">
        <f t="shared" si="6"/>
        <v>0.10000000000000853</v>
      </c>
      <c r="JA115" s="190">
        <f t="shared" si="6"/>
        <v>0.42499999999999716</v>
      </c>
      <c r="JB115" s="190">
        <f t="shared" si="6"/>
        <v>0</v>
      </c>
      <c r="JC115" s="190">
        <f t="shared" si="6"/>
        <v>0.10000000000000142</v>
      </c>
      <c r="JD115" s="190">
        <f t="shared" si="6"/>
        <v>0</v>
      </c>
      <c r="JE115" s="190">
        <f t="shared" si="6"/>
        <v>0.47499999999999432</v>
      </c>
      <c r="JF115" s="190">
        <f t="shared" si="6"/>
        <v>0</v>
      </c>
      <c r="JG115" s="190">
        <f t="shared" si="6"/>
        <v>0.10000000000000142</v>
      </c>
      <c r="JH115" s="190">
        <f t="shared" si="6"/>
        <v>0</v>
      </c>
      <c r="JI115" s="190">
        <f t="shared" si="6"/>
        <v>0.52499999999999858</v>
      </c>
      <c r="JJ115" s="190">
        <f t="shared" si="6"/>
        <v>0</v>
      </c>
      <c r="JK115" s="190">
        <f t="shared" si="6"/>
        <v>0.10000000000000142</v>
      </c>
      <c r="JL115" s="190">
        <f t="shared" si="6"/>
        <v>0.47499999999999432</v>
      </c>
      <c r="JM115" s="190">
        <f t="shared" si="6"/>
        <v>0</v>
      </c>
      <c r="JN115" s="190">
        <f t="shared" si="6"/>
        <v>0.10000000000000853</v>
      </c>
      <c r="JO115" s="190">
        <f t="shared" si="6"/>
        <v>0</v>
      </c>
      <c r="JP115" s="190">
        <f t="shared" si="6"/>
        <v>0.47500000000000142</v>
      </c>
      <c r="JQ115" s="190">
        <f t="shared" si="6"/>
        <v>4.9999999999997158E-2</v>
      </c>
      <c r="JR115" s="190">
        <f t="shared" si="6"/>
        <v>0</v>
      </c>
      <c r="JS115" s="190">
        <f t="shared" si="6"/>
        <v>0.10000000000000142</v>
      </c>
      <c r="JT115" s="190">
        <f t="shared" si="6"/>
        <v>0.42499999999999716</v>
      </c>
      <c r="JU115" s="190">
        <f t="shared" si="6"/>
        <v>5.0000000000004263E-2</v>
      </c>
      <c r="JV115" s="190">
        <f t="shared" si="6"/>
        <v>0</v>
      </c>
      <c r="JW115" s="190">
        <f t="shared" si="6"/>
        <v>0.10000000000000142</v>
      </c>
      <c r="JX115" s="190">
        <f t="shared" si="6"/>
        <v>0.42499999999999716</v>
      </c>
      <c r="JY115" s="190">
        <f t="shared" si="6"/>
        <v>0</v>
      </c>
      <c r="JZ115" s="190">
        <f t="shared" si="6"/>
        <v>9.9999999999994316E-2</v>
      </c>
      <c r="KA115" s="190">
        <f t="shared" si="6"/>
        <v>0</v>
      </c>
      <c r="KB115" s="190">
        <f t="shared" si="6"/>
        <v>0.52499999999999858</v>
      </c>
      <c r="KC115" s="190">
        <f t="shared" si="6"/>
        <v>5.0000000000004263E-2</v>
      </c>
      <c r="KD115" s="190">
        <f t="shared" si="6"/>
        <v>0</v>
      </c>
      <c r="KE115" s="190">
        <f t="shared" si="6"/>
        <v>0.10000000000000142</v>
      </c>
      <c r="KF115" s="190">
        <f t="shared" si="6"/>
        <v>0.42500000000000426</v>
      </c>
      <c r="KG115" s="190">
        <f t="shared" si="6"/>
        <v>0</v>
      </c>
      <c r="KH115" s="190">
        <f t="shared" si="6"/>
        <v>9.9999999999994316E-2</v>
      </c>
      <c r="KI115" s="190">
        <f t="shared" si="6"/>
        <v>0</v>
      </c>
      <c r="KJ115" s="190">
        <f t="shared" si="6"/>
        <v>0.47500000000000142</v>
      </c>
      <c r="KK115" s="190">
        <f t="shared" si="6"/>
        <v>0</v>
      </c>
      <c r="KL115" s="190">
        <f t="shared" si="6"/>
        <v>0.10000000000000142</v>
      </c>
      <c r="KM115" s="190">
        <f t="shared" si="6"/>
        <v>0</v>
      </c>
      <c r="KN115" s="190">
        <f t="shared" si="6"/>
        <v>0.47500000000000142</v>
      </c>
      <c r="KO115" s="190">
        <f t="shared" si="6"/>
        <v>4.9999999999997158E-2</v>
      </c>
      <c r="KP115" s="190">
        <f t="shared" si="6"/>
        <v>0</v>
      </c>
      <c r="KQ115" s="190">
        <f t="shared" si="6"/>
        <v>0.10000000000000142</v>
      </c>
      <c r="KR115" s="190">
        <f t="shared" si="6"/>
        <v>0.42499999999999716</v>
      </c>
      <c r="KS115" s="190">
        <f t="shared" si="6"/>
        <v>4.9999999999997158E-2</v>
      </c>
      <c r="KT115" s="190">
        <f t="shared" si="6"/>
        <v>0</v>
      </c>
      <c r="KU115" s="190">
        <f t="shared" si="6"/>
        <v>0.10000000000000853</v>
      </c>
      <c r="KV115" s="190">
        <f t="shared" si="6"/>
        <v>0.47499999999999432</v>
      </c>
      <c r="KW115" s="190">
        <f t="shared" si="6"/>
        <v>5.0000000000004263E-2</v>
      </c>
      <c r="KX115" s="190">
        <f t="shared" si="6"/>
        <v>0</v>
      </c>
      <c r="KY115" s="190">
        <f t="shared" si="6"/>
        <v>0.52499999999999858</v>
      </c>
      <c r="KZ115" s="190">
        <f t="shared" si="6"/>
        <v>4.9999999999997158E-2</v>
      </c>
      <c r="LA115" s="190">
        <f t="shared" si="6"/>
        <v>0</v>
      </c>
      <c r="LB115" s="190">
        <f t="shared" si="6"/>
        <v>0.10000000000000853</v>
      </c>
      <c r="LC115" s="190">
        <f t="shared" si="6"/>
        <v>0.42499999999999716</v>
      </c>
      <c r="LD115" s="190">
        <f t="shared" si="6"/>
        <v>0</v>
      </c>
      <c r="LE115" s="190">
        <f t="shared" si="6"/>
        <v>9.9999999999994316E-2</v>
      </c>
      <c r="LF115" s="190">
        <f t="shared" si="6"/>
        <v>0</v>
      </c>
      <c r="LG115" s="190">
        <f t="shared" si="6"/>
        <v>0.47500000000000142</v>
      </c>
      <c r="LH115" s="190">
        <f t="shared" si="6"/>
        <v>0</v>
      </c>
      <c r="LI115" s="190">
        <f t="shared" ref="LI115:MD115" si="7">LJ110-LI110</f>
        <v>0.10000000000000142</v>
      </c>
      <c r="LJ115" s="190">
        <f t="shared" si="7"/>
        <v>0</v>
      </c>
      <c r="LK115" s="190">
        <f t="shared" si="7"/>
        <v>0.10000000000000142</v>
      </c>
      <c r="LL115" s="190">
        <f t="shared" si="7"/>
        <v>0.37499999999999289</v>
      </c>
      <c r="LM115" s="190">
        <f t="shared" si="7"/>
        <v>5.0000000000004263E-2</v>
      </c>
      <c r="LN115" s="190">
        <f t="shared" si="7"/>
        <v>0</v>
      </c>
      <c r="LO115" s="190">
        <f t="shared" si="7"/>
        <v>0.10000000000000142</v>
      </c>
      <c r="LP115" s="190">
        <f t="shared" si="7"/>
        <v>0</v>
      </c>
      <c r="LQ115" s="190">
        <f t="shared" si="7"/>
        <v>0.47499999999999432</v>
      </c>
      <c r="LR115" s="190">
        <f t="shared" si="7"/>
        <v>0</v>
      </c>
      <c r="LS115" s="190">
        <f t="shared" si="7"/>
        <v>0.10000000000000142</v>
      </c>
      <c r="LT115" s="190">
        <f t="shared" si="7"/>
        <v>0.47500000000000142</v>
      </c>
      <c r="LU115" s="190">
        <f t="shared" si="7"/>
        <v>4.9999999999997158E-2</v>
      </c>
      <c r="LV115" s="190">
        <f t="shared" si="7"/>
        <v>0</v>
      </c>
      <c r="LW115" s="190">
        <f t="shared" si="7"/>
        <v>0.10000000000000853</v>
      </c>
      <c r="LX115" s="190">
        <f t="shared" si="7"/>
        <v>0.42499999999999716</v>
      </c>
      <c r="LY115" s="190">
        <f t="shared" si="7"/>
        <v>4.9999999999997158E-2</v>
      </c>
      <c r="LZ115" s="190">
        <f t="shared" si="7"/>
        <v>0</v>
      </c>
      <c r="MA115" s="190">
        <f t="shared" si="7"/>
        <v>0.10000000000000853</v>
      </c>
      <c r="MB115" s="190">
        <f t="shared" si="7"/>
        <v>0</v>
      </c>
      <c r="MC115" s="190">
        <f t="shared" si="7"/>
        <v>0.42499999999999005</v>
      </c>
      <c r="MD115" s="190">
        <f t="shared" si="7"/>
        <v>0</v>
      </c>
    </row>
    <row r="116" spans="1:342" ht="7.4" customHeight="1" x14ac:dyDescent="0.5">
      <c r="A116" s="42"/>
      <c r="B116" s="32"/>
      <c r="C116" s="408"/>
      <c r="D116" s="408"/>
      <c r="E116" s="424"/>
      <c r="F116" s="32"/>
      <c r="G116" s="408"/>
      <c r="H116" s="408"/>
      <c r="I116" s="408"/>
      <c r="J116" s="408"/>
      <c r="K116" s="408"/>
      <c r="L116" s="408"/>
      <c r="M116" s="408"/>
      <c r="N116" s="408"/>
      <c r="O116" s="408"/>
      <c r="P116" s="408"/>
      <c r="Q116" s="408"/>
      <c r="R116" s="424"/>
      <c r="S116" s="32"/>
      <c r="T116" s="408"/>
      <c r="U116" s="408"/>
      <c r="V116" s="408"/>
      <c r="W116" s="408"/>
      <c r="X116" s="408"/>
      <c r="Y116" s="408"/>
      <c r="Z116" s="408"/>
      <c r="AA116" s="408"/>
      <c r="AB116" s="408"/>
      <c r="AC116" s="408"/>
      <c r="AD116" s="408"/>
      <c r="AE116" s="408"/>
      <c r="AF116" s="408"/>
      <c r="AG116" s="408"/>
      <c r="AH116" s="408"/>
      <c r="AI116" s="408"/>
      <c r="AJ116" s="424"/>
      <c r="AK116" s="32"/>
      <c r="AL116" s="408"/>
      <c r="AM116" s="408"/>
      <c r="AN116" s="408"/>
      <c r="AO116" s="408"/>
      <c r="AP116" s="424"/>
      <c r="AQ116" s="365"/>
      <c r="AR116" s="366"/>
      <c r="AS116" s="366"/>
      <c r="AT116" s="366"/>
      <c r="AU116" s="366"/>
      <c r="AV116" s="366"/>
      <c r="AW116" s="366"/>
      <c r="AX116" s="366"/>
      <c r="AY116" s="366"/>
      <c r="AZ116" s="366"/>
      <c r="BA116" s="366"/>
      <c r="BB116" s="366"/>
      <c r="BC116" s="366"/>
      <c r="BD116" s="366"/>
      <c r="BE116" s="366"/>
      <c r="BF116" s="366"/>
      <c r="BG116" s="366"/>
      <c r="BH116" s="367"/>
      <c r="BI116" s="41"/>
      <c r="BK116" s="420"/>
      <c r="BL116" s="333"/>
      <c r="BM116" s="421"/>
      <c r="BN116" s="420"/>
      <c r="BO116" s="333"/>
      <c r="BP116" s="421"/>
      <c r="BQ116" s="420"/>
      <c r="BR116" s="333"/>
      <c r="BS116" s="421"/>
      <c r="BT116" s="420"/>
      <c r="BU116" s="333"/>
      <c r="BV116" s="421"/>
      <c r="BW116" s="420"/>
      <c r="BX116" s="333"/>
      <c r="BY116" s="421"/>
      <c r="BZ116" s="420"/>
      <c r="CA116" s="333"/>
      <c r="CB116" s="421"/>
      <c r="CC116" s="420"/>
      <c r="CD116" s="333"/>
      <c r="CE116" s="421"/>
      <c r="CF116" s="420"/>
      <c r="CG116" s="333"/>
      <c r="CH116" s="421"/>
      <c r="CI116" s="420"/>
      <c r="CJ116" s="333"/>
      <c r="CK116" s="421"/>
      <c r="CL116" s="420"/>
      <c r="CM116" s="333"/>
      <c r="CN116" s="421"/>
      <c r="CO116" s="420"/>
      <c r="CP116" s="333"/>
      <c r="CQ116" s="421"/>
      <c r="CR116" s="420"/>
      <c r="CS116" s="333"/>
      <c r="CT116" s="421"/>
      <c r="CU116" s="420"/>
      <c r="CV116" s="333"/>
      <c r="CW116" s="421"/>
      <c r="CX116" s="420"/>
      <c r="CY116" s="333"/>
      <c r="CZ116" s="421"/>
      <c r="DA116" s="420"/>
      <c r="DB116" s="333"/>
      <c r="DC116" s="421"/>
      <c r="DD116" s="420"/>
      <c r="DE116" s="333"/>
      <c r="DF116" s="421"/>
      <c r="DH116" s="331"/>
      <c r="DI116" s="331"/>
      <c r="DJ116" s="331"/>
      <c r="DK116" s="331"/>
      <c r="DL116" s="311"/>
      <c r="DM116" s="311"/>
      <c r="DN116" s="311"/>
      <c r="DO116" s="311"/>
      <c r="DP116" s="311"/>
      <c r="DQ116" s="311"/>
      <c r="DR116" s="311"/>
      <c r="DS116" s="311"/>
      <c r="DT116" s="311"/>
      <c r="DY116" s="181"/>
      <c r="DZ116" s="181"/>
      <c r="EA116" s="181"/>
      <c r="EB116" s="181"/>
      <c r="EC116" s="181"/>
      <c r="ED116" s="181"/>
      <c r="EE116" s="181"/>
      <c r="EF116" s="181"/>
      <c r="EG116" s="181"/>
      <c r="EH116" s="181"/>
      <c r="EI116" s="181"/>
      <c r="EJ116" s="181"/>
      <c r="EK116" s="181"/>
      <c r="EL116" s="181"/>
      <c r="EM116" s="181"/>
      <c r="EN116" s="181"/>
      <c r="EO116" s="181"/>
      <c r="EP116" s="181"/>
      <c r="EQ116" s="181"/>
      <c r="ER116" s="181"/>
      <c r="ES116" s="181"/>
      <c r="ET116" s="181"/>
      <c r="EU116" s="181"/>
      <c r="EV116" s="181"/>
      <c r="EW116" s="181"/>
      <c r="EX116" s="181"/>
      <c r="EY116" s="181"/>
      <c r="EZ116" s="181"/>
      <c r="FA116" s="181"/>
      <c r="FB116" s="181"/>
      <c r="FC116" s="181"/>
      <c r="FD116" s="181"/>
      <c r="FE116" s="181"/>
      <c r="FF116" s="181"/>
      <c r="FG116" s="181"/>
      <c r="FH116" s="181"/>
      <c r="FI116" s="181"/>
      <c r="FJ116" s="181"/>
      <c r="FK116" s="181"/>
      <c r="FL116" s="181"/>
      <c r="FM116" s="181"/>
      <c r="FN116" s="181"/>
      <c r="FO116" s="181"/>
      <c r="FP116" s="181"/>
      <c r="FQ116" s="181"/>
      <c r="FR116" s="181"/>
      <c r="FS116" s="181"/>
      <c r="FT116" s="181"/>
      <c r="FU116" s="181"/>
      <c r="FV116" s="181"/>
      <c r="FW116" s="181"/>
      <c r="FX116" s="181"/>
      <c r="FY116" s="181"/>
      <c r="FZ116" s="181"/>
      <c r="GA116" s="181"/>
      <c r="GB116" s="181"/>
      <c r="GC116" s="181"/>
      <c r="GD116" s="181"/>
      <c r="GE116" s="181"/>
      <c r="GF116" s="181"/>
      <c r="GG116" s="181"/>
      <c r="GH116" s="181"/>
      <c r="GI116" s="181"/>
      <c r="GJ116" s="181"/>
      <c r="GK116" s="181"/>
      <c r="GL116" s="181"/>
      <c r="GM116" s="181"/>
      <c r="GN116" s="181"/>
      <c r="GO116" s="181"/>
      <c r="GP116" s="181"/>
      <c r="GQ116" s="181"/>
      <c r="GR116" s="181"/>
      <c r="GS116" s="181"/>
      <c r="GT116" s="181"/>
      <c r="GU116" s="181"/>
      <c r="GV116" s="181"/>
      <c r="GW116" s="181"/>
      <c r="GX116" s="181"/>
      <c r="GY116" s="181"/>
      <c r="GZ116" s="181"/>
      <c r="HA116" s="181"/>
      <c r="HB116" s="181"/>
      <c r="HC116" s="181"/>
      <c r="HD116" s="181"/>
      <c r="HE116" s="181"/>
      <c r="HF116" s="181"/>
      <c r="HG116" s="181"/>
      <c r="HH116" s="181"/>
      <c r="HI116" s="181"/>
      <c r="HJ116" s="181"/>
      <c r="HK116" s="181"/>
      <c r="HL116" s="181"/>
      <c r="HM116" s="181"/>
      <c r="HN116" s="181"/>
      <c r="HO116" s="181"/>
      <c r="HP116" s="181"/>
      <c r="HQ116" s="181"/>
      <c r="HR116" s="181"/>
      <c r="HS116" s="181"/>
      <c r="HT116" s="181"/>
      <c r="HU116" s="181"/>
      <c r="HV116" s="181"/>
      <c r="HW116" s="181"/>
      <c r="HX116" s="181"/>
      <c r="HY116" s="181"/>
      <c r="HZ116" s="181"/>
      <c r="IA116" s="181"/>
      <c r="IB116" s="181"/>
      <c r="IC116" s="181"/>
      <c r="ID116" s="181"/>
      <c r="IE116" s="181"/>
      <c r="IF116" s="181"/>
      <c r="IG116" s="181"/>
      <c r="IH116" s="181"/>
      <c r="II116" s="181"/>
      <c r="IJ116" s="181"/>
      <c r="IK116" s="181"/>
      <c r="IL116" s="181"/>
      <c r="IM116" s="181"/>
      <c r="IN116" s="181"/>
      <c r="IO116" s="181"/>
      <c r="IP116" s="181"/>
      <c r="IQ116" s="181"/>
      <c r="IR116" s="181"/>
      <c r="IS116" s="181"/>
      <c r="IT116" s="181"/>
      <c r="IU116" s="181"/>
      <c r="IV116" s="181"/>
      <c r="IW116" s="181"/>
      <c r="IX116" s="181"/>
      <c r="IY116" s="181"/>
      <c r="IZ116" s="181"/>
      <c r="JA116" s="181"/>
      <c r="JB116" s="181"/>
      <c r="JC116" s="181"/>
      <c r="JD116" s="181"/>
      <c r="JE116" s="181"/>
      <c r="JF116" s="181"/>
      <c r="JG116" s="181"/>
      <c r="JH116" s="181"/>
      <c r="JI116" s="181"/>
      <c r="JJ116" s="181"/>
      <c r="JK116" s="181"/>
      <c r="JL116" s="181"/>
      <c r="JM116" s="181"/>
      <c r="JN116" s="181"/>
      <c r="JO116" s="181"/>
      <c r="JP116" s="181"/>
      <c r="JQ116" s="181"/>
      <c r="JR116" s="181"/>
      <c r="JS116" s="181"/>
      <c r="JT116" s="181"/>
      <c r="JU116" s="181"/>
      <c r="JV116" s="181"/>
      <c r="JW116" s="181"/>
      <c r="JX116" s="181"/>
      <c r="JY116" s="181"/>
      <c r="JZ116" s="181"/>
      <c r="KA116" s="181"/>
      <c r="KB116" s="181"/>
      <c r="KC116" s="181"/>
      <c r="KD116" s="181"/>
      <c r="KE116" s="181"/>
      <c r="KF116" s="181"/>
      <c r="KG116" s="181"/>
      <c r="KH116" s="181"/>
      <c r="KI116" s="181"/>
      <c r="KJ116" s="181"/>
      <c r="KK116" s="181"/>
      <c r="KL116" s="181"/>
      <c r="KM116" s="181"/>
      <c r="KN116" s="181"/>
      <c r="KO116" s="181"/>
      <c r="KP116" s="181"/>
      <c r="KQ116" s="181"/>
      <c r="KR116" s="181"/>
      <c r="KS116" s="181"/>
      <c r="KT116" s="181"/>
      <c r="KU116" s="181"/>
      <c r="KV116" s="181"/>
      <c r="KW116" s="181"/>
      <c r="KX116" s="181"/>
      <c r="KY116" s="181"/>
      <c r="KZ116" s="181"/>
      <c r="LA116" s="181"/>
      <c r="LB116" s="181"/>
      <c r="LC116" s="181"/>
      <c r="LD116" s="181"/>
      <c r="LE116" s="181"/>
      <c r="LF116" s="181"/>
      <c r="LG116" s="181"/>
      <c r="LH116" s="181"/>
      <c r="LI116" s="181"/>
      <c r="LJ116" s="181"/>
      <c r="LK116" s="181"/>
      <c r="LL116" s="181"/>
      <c r="LM116" s="181"/>
      <c r="LN116" s="181"/>
      <c r="LO116" s="181"/>
      <c r="LP116" s="181"/>
      <c r="LQ116" s="181"/>
      <c r="LR116" s="181"/>
      <c r="LS116" s="181"/>
      <c r="LT116" s="181"/>
      <c r="LU116" s="181"/>
      <c r="LV116" s="181"/>
      <c r="LW116" s="181"/>
      <c r="LX116" s="181"/>
      <c r="LY116" s="181"/>
      <c r="LZ116" s="181"/>
      <c r="MA116" s="181"/>
      <c r="MB116" s="181"/>
      <c r="MC116" s="181"/>
      <c r="MD116" s="181"/>
    </row>
    <row r="117" spans="1:342" ht="7.4" customHeight="1" x14ac:dyDescent="0.5">
      <c r="A117" s="42"/>
      <c r="B117" s="35"/>
      <c r="C117" s="425"/>
      <c r="D117" s="425"/>
      <c r="E117" s="426"/>
      <c r="F117" s="35"/>
      <c r="G117" s="425"/>
      <c r="H117" s="425"/>
      <c r="I117" s="425"/>
      <c r="J117" s="425"/>
      <c r="K117" s="425"/>
      <c r="L117" s="425"/>
      <c r="M117" s="425"/>
      <c r="N117" s="425"/>
      <c r="O117" s="425"/>
      <c r="P117" s="425"/>
      <c r="Q117" s="425"/>
      <c r="R117" s="426"/>
      <c r="S117" s="35"/>
      <c r="T117" s="425"/>
      <c r="U117" s="425"/>
      <c r="V117" s="425"/>
      <c r="W117" s="425"/>
      <c r="X117" s="425"/>
      <c r="Y117" s="425"/>
      <c r="Z117" s="425"/>
      <c r="AA117" s="425"/>
      <c r="AB117" s="425"/>
      <c r="AC117" s="425"/>
      <c r="AD117" s="425"/>
      <c r="AE117" s="425"/>
      <c r="AF117" s="425"/>
      <c r="AG117" s="425"/>
      <c r="AH117" s="425"/>
      <c r="AI117" s="425"/>
      <c r="AJ117" s="426"/>
      <c r="AK117" s="35"/>
      <c r="AL117" s="425"/>
      <c r="AM117" s="425"/>
      <c r="AN117" s="425"/>
      <c r="AO117" s="425"/>
      <c r="AP117" s="426"/>
      <c r="AQ117" s="365"/>
      <c r="AR117" s="366"/>
      <c r="AS117" s="366"/>
      <c r="AT117" s="366"/>
      <c r="AU117" s="366"/>
      <c r="AV117" s="366"/>
      <c r="AW117" s="366"/>
      <c r="AX117" s="366"/>
      <c r="AY117" s="366"/>
      <c r="AZ117" s="366"/>
      <c r="BA117" s="366"/>
      <c r="BB117" s="366"/>
      <c r="BC117" s="366"/>
      <c r="BD117" s="366"/>
      <c r="BE117" s="366"/>
      <c r="BF117" s="366"/>
      <c r="BG117" s="366"/>
      <c r="BH117" s="367"/>
      <c r="BI117" s="41"/>
      <c r="BK117" s="174"/>
      <c r="BL117" s="135"/>
      <c r="BM117" s="52"/>
      <c r="BN117" s="135"/>
      <c r="BO117" s="135"/>
      <c r="BP117" s="52"/>
      <c r="BQ117" s="174"/>
      <c r="BR117" s="135"/>
      <c r="BS117" s="52"/>
      <c r="BT117" s="174"/>
      <c r="BU117" s="135"/>
      <c r="BV117" s="52"/>
      <c r="BW117" s="174"/>
      <c r="BX117" s="135"/>
      <c r="BY117" s="52"/>
      <c r="BZ117" s="174"/>
      <c r="CA117" s="135"/>
      <c r="CB117" s="52"/>
      <c r="CC117" s="174"/>
      <c r="CD117" s="135"/>
      <c r="CE117" s="52"/>
      <c r="CF117" s="174"/>
      <c r="CG117" s="135"/>
      <c r="CH117" s="52"/>
      <c r="CI117" s="174"/>
      <c r="CJ117" s="135"/>
      <c r="CK117" s="52"/>
      <c r="CL117" s="174"/>
      <c r="CM117" s="135"/>
      <c r="CN117" s="52"/>
      <c r="CO117" s="174"/>
      <c r="CP117" s="135"/>
      <c r="CQ117" s="52"/>
      <c r="CR117" s="174"/>
      <c r="CS117" s="135"/>
      <c r="CT117" s="52"/>
      <c r="CU117" s="174"/>
      <c r="CV117" s="135"/>
      <c r="CW117" s="52"/>
      <c r="CX117" s="174"/>
      <c r="CY117" s="135"/>
      <c r="CZ117" s="52"/>
      <c r="DA117" s="174"/>
      <c r="DB117" s="135"/>
      <c r="DC117" s="52"/>
      <c r="DD117" s="174"/>
      <c r="DE117" s="135"/>
      <c r="DF117" s="52"/>
      <c r="DY117" s="191"/>
      <c r="DZ117" s="191"/>
      <c r="EA117" s="191"/>
      <c r="EB117" s="191"/>
      <c r="EC117" s="191"/>
      <c r="ED117" s="191"/>
      <c r="EE117" s="191"/>
      <c r="EF117" s="191"/>
      <c r="EG117" s="191"/>
      <c r="EH117" s="191"/>
      <c r="EI117" s="191"/>
      <c r="EJ117" s="192"/>
      <c r="EK117" s="192"/>
      <c r="EL117" s="192"/>
      <c r="EM117" s="192"/>
      <c r="EN117" s="191"/>
      <c r="EO117" s="192"/>
      <c r="EP117" s="192"/>
      <c r="EQ117" s="192"/>
      <c r="ER117" s="192"/>
      <c r="ES117" s="192"/>
      <c r="ET117" s="192"/>
      <c r="EU117" s="192"/>
      <c r="EV117" s="192"/>
      <c r="EW117" s="192"/>
      <c r="EX117" s="192"/>
      <c r="EY117" s="192"/>
      <c r="EZ117" s="192"/>
      <c r="FA117" s="191"/>
      <c r="FB117" s="191"/>
      <c r="FC117" s="191"/>
      <c r="FD117" s="192"/>
      <c r="FE117" s="192"/>
      <c r="FF117" s="192"/>
      <c r="FG117" s="192"/>
      <c r="FH117" s="191"/>
      <c r="FI117" s="191"/>
      <c r="FJ117" s="191"/>
      <c r="FK117" s="191"/>
      <c r="FL117" s="191"/>
      <c r="FM117" s="191"/>
      <c r="FN117" s="191"/>
      <c r="FO117" s="191"/>
      <c r="FP117" s="191"/>
      <c r="FQ117" s="191"/>
      <c r="FR117" s="191"/>
    </row>
    <row r="118" spans="1:342" ht="7.4" customHeight="1" x14ac:dyDescent="0.5">
      <c r="A118" s="42"/>
      <c r="B118" s="38"/>
      <c r="C118" s="39"/>
      <c r="D118" s="39"/>
      <c r="E118" s="40"/>
      <c r="F118" s="38"/>
      <c r="G118" s="140"/>
      <c r="H118" s="140"/>
      <c r="I118" s="140"/>
      <c r="J118" s="140"/>
      <c r="K118" s="140"/>
      <c r="L118" s="140"/>
      <c r="M118" s="140"/>
      <c r="N118" s="140"/>
      <c r="O118" s="140"/>
      <c r="P118" s="140"/>
      <c r="Q118" s="140"/>
      <c r="R118" s="193"/>
      <c r="S118" s="38"/>
      <c r="T118" s="39"/>
      <c r="U118" s="39"/>
      <c r="V118" s="39"/>
      <c r="W118" s="39"/>
      <c r="X118" s="39"/>
      <c r="Y118" s="39"/>
      <c r="Z118" s="39"/>
      <c r="AA118" s="39"/>
      <c r="AB118" s="39"/>
      <c r="AC118" s="39"/>
      <c r="AD118" s="39"/>
      <c r="AE118" s="39"/>
      <c r="AF118" s="39"/>
      <c r="AG118" s="39"/>
      <c r="AH118" s="39"/>
      <c r="AI118" s="39"/>
      <c r="AJ118" s="40"/>
      <c r="AK118" s="38"/>
      <c r="AL118" s="39"/>
      <c r="AM118" s="39"/>
      <c r="AN118" s="39"/>
      <c r="AO118" s="39"/>
      <c r="AP118" s="39"/>
      <c r="AQ118" s="38"/>
      <c r="AR118" s="39"/>
      <c r="AS118" s="39"/>
      <c r="AT118" s="39"/>
      <c r="AU118" s="39"/>
      <c r="AV118" s="39"/>
      <c r="AW118" s="39"/>
      <c r="AX118" s="39"/>
      <c r="AY118" s="39"/>
      <c r="AZ118" s="39"/>
      <c r="BA118" s="39"/>
      <c r="BB118" s="39"/>
      <c r="BC118" s="39"/>
      <c r="BD118" s="39"/>
      <c r="BE118" s="39"/>
      <c r="BF118" s="39"/>
      <c r="BG118" s="39"/>
      <c r="BH118" s="40"/>
      <c r="BI118" s="41"/>
      <c r="BK118" s="415">
        <f>IF($N$74="Combination",0,($AE$45*M58+20*(M58-1)+$N$78*2)*2*M54/$N$74)</f>
        <v>0</v>
      </c>
      <c r="BL118" s="416"/>
      <c r="BM118" s="417"/>
      <c r="BN118" s="415">
        <f>IF($N$74="Combination",0,($AE$45*P58+20*(P58-1)+$N$78*2)*2*P54/$N$74)</f>
        <v>0</v>
      </c>
      <c r="BO118" s="416"/>
      <c r="BP118" s="417"/>
      <c r="BQ118" s="415">
        <f>IF($N$74="Combination",0,($AE$45*S58+20*(S58-1)+$N$78*2)*2*S54/$N$74)</f>
        <v>0</v>
      </c>
      <c r="BR118" s="416"/>
      <c r="BS118" s="417"/>
      <c r="BT118" s="415">
        <f>IF($N$74="Combination",0,($AE$45*V58+20*(V58-1)+$N$78*2)*2*V54/$N$74)</f>
        <v>0</v>
      </c>
      <c r="BU118" s="416"/>
      <c r="BV118" s="417"/>
      <c r="BW118" s="415">
        <f>IF($N$74="Combination",0,($AE$45*Y58+20*(Y58-1)+$N$78*2)*2*Y54/$N$74)</f>
        <v>0</v>
      </c>
      <c r="BX118" s="416"/>
      <c r="BY118" s="417"/>
      <c r="BZ118" s="415">
        <f>IF($N$74="Combination",0,($AE$45*AB58+20*(AB58-1)+$N$78*2)*2*AB54/$N$74)</f>
        <v>0</v>
      </c>
      <c r="CA118" s="416"/>
      <c r="CB118" s="417"/>
      <c r="CC118" s="415">
        <f>IF($N$74="Combination",0,($AE$45*AE58+20*(AE58-1)+$N$78*2)*2*AE54/$N$74)</f>
        <v>0</v>
      </c>
      <c r="CD118" s="416"/>
      <c r="CE118" s="417"/>
      <c r="CF118" s="415">
        <f>IF($N$74="Combination",0,($AE$45*AH58+20*(AH58-1)+$N$78*2)*2*AH54/$N$74)</f>
        <v>0</v>
      </c>
      <c r="CG118" s="416"/>
      <c r="CH118" s="417"/>
      <c r="CI118" s="415">
        <f>IF($N$74="Combination",0,($AE$45*AK58+20*(AK58-1)+$N$78*2)*2*AK54/$N$74)</f>
        <v>0</v>
      </c>
      <c r="CJ118" s="416"/>
      <c r="CK118" s="417"/>
      <c r="CL118" s="415">
        <f>IF($N$74="Combination",0,($AE$45*AN58+20*(AN58-1)+$N$78*2)*2*AN54/$N$74)</f>
        <v>0</v>
      </c>
      <c r="CM118" s="416"/>
      <c r="CN118" s="417"/>
      <c r="CO118" s="415">
        <f>IF($N$74="Combination",0,($AE$45*AQ58+20*(AQ58-1)+$N$78*2)*2*AQ54/$N$74)</f>
        <v>0</v>
      </c>
      <c r="CP118" s="416"/>
      <c r="CQ118" s="417"/>
      <c r="CR118" s="415">
        <f>IF($N$74="Combination",0,($AE$45*AT58+20*(AT58-1)+$N$78*2)*2*AT54/$N$74)</f>
        <v>0</v>
      </c>
      <c r="CS118" s="416"/>
      <c r="CT118" s="417"/>
      <c r="CU118" s="415">
        <f>IF($N$74="Combination",0,($AE$45*AW58+20*(AW58-1)+$N$78*2)*2*AW54/$N$74)</f>
        <v>0</v>
      </c>
      <c r="CV118" s="416"/>
      <c r="CW118" s="417"/>
      <c r="CX118" s="415">
        <f>IF($N$74="Combination",0,($AE$45*AZ58+20*(AZ58-1)+$N$78*2)*2*AZ54/$N$74)</f>
        <v>0</v>
      </c>
      <c r="CY118" s="416"/>
      <c r="CZ118" s="417"/>
      <c r="DA118" s="415">
        <f>IF($N$74="Combination",0,($AE$45*BC58+20*(BC58-1)+$N$78*2)*2*BC54/$N$74)</f>
        <v>0</v>
      </c>
      <c r="DB118" s="416"/>
      <c r="DC118" s="417"/>
      <c r="DD118" s="415">
        <f>IF($N$74="Combination",0,($AE$45*BF58+20*(BF58-1)+$N$78*2)*2*BF54/$N$74)</f>
        <v>0</v>
      </c>
      <c r="DE118" s="416"/>
      <c r="DF118" s="417"/>
      <c r="DY118" s="191"/>
      <c r="DZ118" s="191"/>
      <c r="EA118" s="191"/>
      <c r="EB118" s="191"/>
      <c r="EC118" s="191"/>
      <c r="ED118" s="191"/>
      <c r="EE118" s="191"/>
      <c r="EF118" s="191"/>
      <c r="EG118" s="191"/>
      <c r="EH118" s="191"/>
      <c r="EI118" s="191"/>
      <c r="EJ118" s="192"/>
      <c r="EK118" s="192"/>
      <c r="EL118" s="192"/>
      <c r="EM118" s="192"/>
      <c r="EN118" s="191"/>
      <c r="EO118" s="192"/>
      <c r="EP118" s="192"/>
      <c r="EQ118" s="192"/>
      <c r="ER118" s="192"/>
      <c r="ES118" s="192"/>
      <c r="ET118" s="192"/>
      <c r="EU118" s="192"/>
      <c r="EV118" s="192"/>
      <c r="EW118" s="192"/>
      <c r="EX118" s="192"/>
      <c r="EY118" s="192"/>
      <c r="EZ118" s="192"/>
      <c r="FA118" s="191"/>
      <c r="FB118" s="191"/>
      <c r="FC118" s="191"/>
      <c r="FD118" s="192"/>
      <c r="FE118" s="192"/>
      <c r="FF118" s="192"/>
      <c r="FG118" s="192"/>
      <c r="FH118" s="191"/>
      <c r="FI118" s="191"/>
      <c r="FJ118" s="191"/>
      <c r="FK118" s="191"/>
      <c r="FL118" s="191"/>
      <c r="FM118" s="191"/>
      <c r="FN118" s="191"/>
      <c r="FO118" s="191"/>
      <c r="FP118" s="191"/>
      <c r="FQ118" s="191"/>
      <c r="FR118" s="191"/>
    </row>
    <row r="119" spans="1:342" ht="7.4" customHeight="1" x14ac:dyDescent="0.5">
      <c r="A119" s="42"/>
      <c r="B119" s="42"/>
      <c r="C119" s="419">
        <v>1</v>
      </c>
      <c r="D119" s="419"/>
      <c r="E119" s="41"/>
      <c r="F119" s="42"/>
      <c r="G119" s="319" t="str">
        <f>IF(AL119=0,"N/A","AXE_L_R_40_30"&amp;"_AL")</f>
        <v>N/A</v>
      </c>
      <c r="H119" s="319"/>
      <c r="I119" s="319"/>
      <c r="J119" s="319"/>
      <c r="K119" s="319"/>
      <c r="L119" s="319"/>
      <c r="M119" s="319"/>
      <c r="N119" s="319"/>
      <c r="O119" s="319"/>
      <c r="P119" s="319"/>
      <c r="Q119" s="319"/>
      <c r="R119" s="320"/>
      <c r="S119" s="42"/>
      <c r="T119" s="316" t="str">
        <f>VLOOKUP(G119,PL!$B$9:$BH$1265,14,FALSE)</f>
        <v>No Item</v>
      </c>
      <c r="U119" s="316"/>
      <c r="V119" s="316"/>
      <c r="W119" s="316"/>
      <c r="X119" s="316"/>
      <c r="Y119" s="316"/>
      <c r="Z119" s="316"/>
      <c r="AA119" s="316"/>
      <c r="AB119" s="316"/>
      <c r="AC119" s="316"/>
      <c r="AE119" s="46"/>
      <c r="AF119" s="529" t="str">
        <f>IF(AL119=0,"","("&amp;IF(N74="Combination",DW111,N74)/1000&amp;"m)")</f>
        <v/>
      </c>
      <c r="AG119" s="530"/>
      <c r="AH119" s="530"/>
      <c r="AI119" s="530"/>
      <c r="AJ119" s="47"/>
      <c r="AK119" s="42"/>
      <c r="AL119" s="311">
        <f>IF(N74="Combination",ROUND(SUM(BK121:DF121)*(1+$BF$74),0),ROUNDUP(SUM(BK119:DF119)*(1+$BF$74),0))</f>
        <v>0</v>
      </c>
      <c r="AM119" s="311"/>
      <c r="AN119" s="311"/>
      <c r="AO119" s="311"/>
      <c r="AP119" s="43"/>
      <c r="AQ119" s="111"/>
      <c r="AR119" s="308" t="str">
        <f>VLOOKUP(G119,PL!$B$9:$BH$818,52,FALSE)</f>
        <v>-</v>
      </c>
      <c r="AS119" s="309"/>
      <c r="AT119" s="309"/>
      <c r="AU119" s="309"/>
      <c r="AV119" s="309"/>
      <c r="AW119" s="309"/>
      <c r="AX119" s="309"/>
      <c r="AY119" s="309"/>
      <c r="AZ119" s="309"/>
      <c r="BA119" s="309"/>
      <c r="BB119" s="309"/>
      <c r="BC119" s="309"/>
      <c r="BD119" s="309"/>
      <c r="BE119" s="309"/>
      <c r="BF119" s="309"/>
      <c r="BG119" s="309"/>
      <c r="BH119" s="124"/>
      <c r="BI119" s="124"/>
      <c r="BK119" s="415">
        <f>IF($N$74="Combination",0,($AE$45*M58+20*(M58-1)+$N$78*2+IF(OR(BK89&lt;$BW$74,BK91&lt;$BW$74),MIN(BK89,BK91),0))*2*M54/$N$74)</f>
        <v>0</v>
      </c>
      <c r="BL119" s="416"/>
      <c r="BM119" s="417"/>
      <c r="BN119" s="415">
        <f>IF($N$74="Combination",0,($AE$45*P58+20*(P58-1)+$N$78*2+IF(OR(BN89&lt;$BW$74,BN91&lt;$BW$74),MIN(BN89,BN91),0))*2*P54/$N$74)</f>
        <v>0</v>
      </c>
      <c r="BO119" s="416"/>
      <c r="BP119" s="417"/>
      <c r="BQ119" s="415">
        <f>IF($N$74="Combination",0,($AE$45*S58+20*(S58-1)+$N$78*2+IF(OR(BQ89&lt;$BW$74,BQ91&lt;$BW$74),MIN(BQ89,BQ91),0))*2*S54/$N$74)</f>
        <v>0</v>
      </c>
      <c r="BR119" s="416"/>
      <c r="BS119" s="417"/>
      <c r="BT119" s="415">
        <f>IF($N$74="Combination",0,($AE$45*V58+20*(V58-1)+$N$78*2+IF(OR(BT89&lt;$BW$74,BT91&lt;$BW$74),MIN(BT89,BT91),0))*2*V54/$N$74)</f>
        <v>0</v>
      </c>
      <c r="BU119" s="416"/>
      <c r="BV119" s="417"/>
      <c r="BW119" s="415">
        <f>IF($N$74="Combination",0,($AE$45*Y58+20*(Y58-1)+$N$78*2+IF(OR(BW89&lt;$BW$74,BW91&lt;$BW$74),MIN(BW89,BW91),0))*2*Y54/$N$74)</f>
        <v>0</v>
      </c>
      <c r="BX119" s="416"/>
      <c r="BY119" s="417"/>
      <c r="BZ119" s="415">
        <f>IF($N$74="Combination",0,($AE$45*AB58+20*(AB58-1)+$N$78*2+IF(OR(BZ89&lt;$BW$74,BZ91&lt;$BW$74),MIN(BZ89,BZ91),0))*2*AB54/$N$74)</f>
        <v>0</v>
      </c>
      <c r="CA119" s="416"/>
      <c r="CB119" s="417"/>
      <c r="CC119" s="415">
        <f>IF($N$74="Combination",0,($AE$45*AE58+20*(AE58-1)+$N$78*2+IF(OR(CC89&lt;$BW$74,CC91&lt;$BW$74),MIN(CC89,CC91),0))*2*AE54/$N$74)</f>
        <v>0</v>
      </c>
      <c r="CD119" s="416"/>
      <c r="CE119" s="417"/>
      <c r="CF119" s="415">
        <f>IF($N$74="Combination",0,($AE$45*AH58+20*(AH58-1)+$N$78*2+IF(OR(CF89&lt;$BW$74,CF91&lt;$BW$74),MIN(CF89,CF91),0))*2*AH54/$N$74)</f>
        <v>0</v>
      </c>
      <c r="CG119" s="416"/>
      <c r="CH119" s="417"/>
      <c r="CI119" s="415">
        <f>IF($N$74="Combination",0,($AE$45*AK58+20*(AK58-1)+$N$78*2+IF(OR(CI89&lt;$BW$74,CI91&lt;$BW$74),MIN(CI89,CI91),0))*2*AK54/$N$74)</f>
        <v>0</v>
      </c>
      <c r="CJ119" s="416"/>
      <c r="CK119" s="417"/>
      <c r="CL119" s="415">
        <f>IF($N$74="Combination",0,($AE$45*AN58+20*(AN58-1)+$N$78*2+IF(OR(CL89&lt;$BW$74,CL91&lt;$BW$74),MIN(CL89,CL91),0))*2*AN54/$N$74)</f>
        <v>0</v>
      </c>
      <c r="CM119" s="416"/>
      <c r="CN119" s="417"/>
      <c r="CO119" s="415">
        <f>IF($N$74="Combination",0,($AE$45*AQ58+20*(AQ58-1)+$N$78*2+IF(OR(CO89&lt;$BW$74,CO91&lt;$BW$74),MIN(CO89,CO91),0))*2*AQ54/$N$74)</f>
        <v>0</v>
      </c>
      <c r="CP119" s="416"/>
      <c r="CQ119" s="417"/>
      <c r="CR119" s="415">
        <f>IF($N$74="Combination",0,($AE$45*AT58+20*(AT58-1)+$N$78*2+IF(OR(CR89&lt;$BW$74,CR91&lt;$BW$74),MIN(CR89,CR91),0))*2*AT54/$N$74)</f>
        <v>0</v>
      </c>
      <c r="CS119" s="416"/>
      <c r="CT119" s="417"/>
      <c r="CU119" s="415">
        <f>IF($N$74="Combination",0,($AE$45*AW58+20*(AW58-1)+$N$78*2+IF(OR(CU89&lt;$BW$74,CU91&lt;$BW$74),MIN(CU89,CU91),0))*2*AW54/$N$74)</f>
        <v>0</v>
      </c>
      <c r="CV119" s="416"/>
      <c r="CW119" s="417"/>
      <c r="CX119" s="415">
        <f>IF($N$74="Combination",0,($AE$45*AZ58+20*(AZ58-1)+$N$78*2+IF(OR(CX89&lt;$BW$74,CX91&lt;$BW$74),MIN(CX89,CX91),0))*2*AZ54/$N$74)</f>
        <v>0</v>
      </c>
      <c r="CY119" s="416"/>
      <c r="CZ119" s="417"/>
      <c r="DA119" s="415">
        <f>IF($N$74="Combination",0,($AE$45*BC58+20*(BC58-1)+$N$78*2+IF(OR(DA89&lt;$BW$74,DA91&lt;$BW$74),MIN(DA89,DA91),0))*2*BC54/$N$74)</f>
        <v>0</v>
      </c>
      <c r="DB119" s="416"/>
      <c r="DC119" s="417"/>
      <c r="DD119" s="415">
        <f>IF($N$74="Combination",0,($AE$45*BF58+20*(BF58-1)+$N$78*2+IF(OR(DD89&lt;$BW$74,DD91&lt;$BW$74),MIN(DD89,DD91),0))*2*BF54/$N$74)</f>
        <v>0</v>
      </c>
      <c r="DE119" s="416"/>
      <c r="DF119" s="417"/>
      <c r="DH119" s="311"/>
      <c r="DI119" s="311"/>
      <c r="DJ119" s="311"/>
      <c r="DK119" s="311"/>
      <c r="DL119" s="321"/>
      <c r="DM119" s="321"/>
      <c r="DN119" s="321"/>
      <c r="DO119" s="321"/>
      <c r="DP119" s="321"/>
      <c r="DQ119" s="321"/>
      <c r="DR119" s="321"/>
      <c r="DS119" s="321"/>
    </row>
    <row r="120" spans="1:342" ht="7.4" customHeight="1" x14ac:dyDescent="0.5">
      <c r="A120" s="42"/>
      <c r="B120" s="42"/>
      <c r="C120" s="419"/>
      <c r="D120" s="419"/>
      <c r="E120" s="41"/>
      <c r="F120" s="42"/>
      <c r="G120" s="319"/>
      <c r="H120" s="319"/>
      <c r="I120" s="319"/>
      <c r="J120" s="319"/>
      <c r="K120" s="319"/>
      <c r="L120" s="319"/>
      <c r="M120" s="319"/>
      <c r="N120" s="319"/>
      <c r="O120" s="319"/>
      <c r="P120" s="319"/>
      <c r="Q120" s="319"/>
      <c r="R120" s="320"/>
      <c r="S120" s="42"/>
      <c r="T120" s="316"/>
      <c r="U120" s="316"/>
      <c r="V120" s="316"/>
      <c r="W120" s="316"/>
      <c r="X120" s="316"/>
      <c r="Y120" s="316"/>
      <c r="Z120" s="316"/>
      <c r="AA120" s="316"/>
      <c r="AB120" s="316"/>
      <c r="AC120" s="316"/>
      <c r="AD120" s="46"/>
      <c r="AE120" s="46"/>
      <c r="AF120" s="530"/>
      <c r="AG120" s="530"/>
      <c r="AH120" s="530"/>
      <c r="AI120" s="530"/>
      <c r="AJ120" s="47"/>
      <c r="AK120" s="42"/>
      <c r="AL120" s="311"/>
      <c r="AM120" s="311"/>
      <c r="AN120" s="311"/>
      <c r="AO120" s="311"/>
      <c r="AP120" s="43"/>
      <c r="AQ120" s="111"/>
      <c r="AR120" s="309"/>
      <c r="AS120" s="309"/>
      <c r="AT120" s="309"/>
      <c r="AU120" s="309"/>
      <c r="AV120" s="309"/>
      <c r="AW120" s="309"/>
      <c r="AX120" s="309"/>
      <c r="AY120" s="309"/>
      <c r="AZ120" s="309"/>
      <c r="BA120" s="309"/>
      <c r="BB120" s="309"/>
      <c r="BC120" s="309"/>
      <c r="BD120" s="309"/>
      <c r="BE120" s="309"/>
      <c r="BF120" s="309"/>
      <c r="BG120" s="309"/>
      <c r="BH120" s="124"/>
      <c r="BI120" s="124"/>
      <c r="BK120" s="415"/>
      <c r="BL120" s="416"/>
      <c r="BM120" s="417"/>
      <c r="BN120" s="415"/>
      <c r="BO120" s="416"/>
      <c r="BP120" s="417"/>
      <c r="BQ120" s="415"/>
      <c r="BR120" s="416"/>
      <c r="BS120" s="417"/>
      <c r="BT120" s="415"/>
      <c r="BU120" s="416"/>
      <c r="BV120" s="417"/>
      <c r="BW120" s="415"/>
      <c r="BX120" s="416"/>
      <c r="BY120" s="417"/>
      <c r="BZ120" s="415"/>
      <c r="CA120" s="416"/>
      <c r="CB120" s="417"/>
      <c r="CC120" s="415"/>
      <c r="CD120" s="416"/>
      <c r="CE120" s="417"/>
      <c r="CF120" s="415"/>
      <c r="CG120" s="416"/>
      <c r="CH120" s="417"/>
      <c r="CI120" s="415"/>
      <c r="CJ120" s="416"/>
      <c r="CK120" s="417"/>
      <c r="CL120" s="415"/>
      <c r="CM120" s="416"/>
      <c r="CN120" s="417"/>
      <c r="CO120" s="415"/>
      <c r="CP120" s="416"/>
      <c r="CQ120" s="417"/>
      <c r="CR120" s="415"/>
      <c r="CS120" s="416"/>
      <c r="CT120" s="417"/>
      <c r="CU120" s="415"/>
      <c r="CV120" s="416"/>
      <c r="CW120" s="417"/>
      <c r="CX120" s="415"/>
      <c r="CY120" s="416"/>
      <c r="CZ120" s="417"/>
      <c r="DA120" s="415"/>
      <c r="DB120" s="416"/>
      <c r="DC120" s="417"/>
      <c r="DD120" s="415"/>
      <c r="DE120" s="416"/>
      <c r="DF120" s="417"/>
      <c r="DH120" s="311"/>
      <c r="DI120" s="311"/>
      <c r="DJ120" s="311"/>
      <c r="DK120" s="311"/>
      <c r="DL120" s="321"/>
      <c r="DM120" s="321"/>
      <c r="DN120" s="321"/>
      <c r="DO120" s="321"/>
      <c r="DP120" s="321"/>
      <c r="DQ120" s="321"/>
      <c r="DR120" s="321"/>
      <c r="DS120" s="321"/>
    </row>
    <row r="121" spans="1:342" ht="7.4" customHeight="1" x14ac:dyDescent="0.5">
      <c r="A121" s="42"/>
      <c r="B121" s="42"/>
      <c r="C121" s="333"/>
      <c r="D121" s="333"/>
      <c r="E121" s="41"/>
      <c r="F121" s="42"/>
      <c r="G121" s="56"/>
      <c r="H121" s="56"/>
      <c r="I121" s="56"/>
      <c r="J121" s="56"/>
      <c r="K121" s="56"/>
      <c r="L121" s="56"/>
      <c r="M121" s="56"/>
      <c r="N121" s="56"/>
      <c r="O121" s="56"/>
      <c r="P121" s="56"/>
      <c r="Q121" s="56"/>
      <c r="R121" s="126"/>
      <c r="S121" s="42"/>
      <c r="T121" s="116" t="str">
        <f>VLOOKUP(G119,PL!$B$9:$BH$1265,33,FALSE)</f>
        <v>.</v>
      </c>
      <c r="AJ121" s="41"/>
      <c r="AK121" s="42"/>
      <c r="AL121" s="311"/>
      <c r="AM121" s="311"/>
      <c r="AN121" s="311"/>
      <c r="AO121" s="311"/>
      <c r="AP121" s="43"/>
      <c r="AQ121" s="42"/>
      <c r="AR121" s="46"/>
      <c r="AS121" s="46"/>
      <c r="AT121" s="46"/>
      <c r="AU121" s="46"/>
      <c r="AV121" s="46"/>
      <c r="AW121" s="46"/>
      <c r="AX121" s="105"/>
      <c r="AZ121" s="119"/>
      <c r="BA121" s="119"/>
      <c r="BB121" s="119"/>
      <c r="BC121" s="119"/>
      <c r="BD121" s="119"/>
      <c r="BE121" s="119"/>
      <c r="BF121" s="119"/>
      <c r="BG121" s="119"/>
      <c r="BH121" s="124"/>
      <c r="BI121" s="124"/>
      <c r="BK121" s="415">
        <f>IF(M54&gt;0,HLOOKUP(BK81,$DY$110:$ME$112,2)*M54*2,0)</f>
        <v>0</v>
      </c>
      <c r="BL121" s="416"/>
      <c r="BM121" s="417"/>
      <c r="BN121" s="415">
        <f>IF(P54&gt;0,HLOOKUP(BN81,$DY$110:$ME$112,2)*P54*2,0)</f>
        <v>0</v>
      </c>
      <c r="BO121" s="416"/>
      <c r="BP121" s="417"/>
      <c r="BQ121" s="415">
        <f>IF(S54&gt;0,HLOOKUP(BQ81,$DY$110:$ME$112,2)*S54*2,0)</f>
        <v>0</v>
      </c>
      <c r="BR121" s="416"/>
      <c r="BS121" s="417"/>
      <c r="BT121" s="415">
        <f>IF(V54&gt;0,HLOOKUP(BT81,$DY$110:$ME$112,2)*V54*2,0)</f>
        <v>0</v>
      </c>
      <c r="BU121" s="416"/>
      <c r="BV121" s="417"/>
      <c r="BW121" s="415">
        <f>IF(Y54&gt;0,HLOOKUP(BW81,$DY$110:$ME$112,2)*Y54*2,0)</f>
        <v>0</v>
      </c>
      <c r="BX121" s="416"/>
      <c r="BY121" s="417"/>
      <c r="BZ121" s="415">
        <f>IF(AB54&gt;0,HLOOKUP(BZ81,$DY$110:$ME$112,2)*AB54*2,0)</f>
        <v>0</v>
      </c>
      <c r="CA121" s="416"/>
      <c r="CB121" s="417"/>
      <c r="CC121" s="415">
        <f>IF(AE54&gt;0,HLOOKUP(CC81,$DY$110:$ME$112,2)*AE54*2,0)</f>
        <v>0</v>
      </c>
      <c r="CD121" s="416"/>
      <c r="CE121" s="417"/>
      <c r="CF121" s="415">
        <f>IF(AH54&gt;0,HLOOKUP(CF81,$DY$110:$ME$112,2)*AH54*2,0)</f>
        <v>0</v>
      </c>
      <c r="CG121" s="416"/>
      <c r="CH121" s="417"/>
      <c r="CI121" s="415">
        <f>IF(AK54&gt;0,HLOOKUP(CI81,$DY$110:$ME$112,2)*AK54*2,0)</f>
        <v>0</v>
      </c>
      <c r="CJ121" s="416"/>
      <c r="CK121" s="417"/>
      <c r="CL121" s="415">
        <f>IF(AN54&gt;0,HLOOKUP(CL81,$DY$110:$ME$112,2)*AN54*2,0)</f>
        <v>0</v>
      </c>
      <c r="CM121" s="416"/>
      <c r="CN121" s="417"/>
      <c r="CO121" s="415">
        <f>IF(AQ54&gt;0,HLOOKUP(CO81,$DY$110:$ME$112,2)*AQ54*2,0)</f>
        <v>0</v>
      </c>
      <c r="CP121" s="416"/>
      <c r="CQ121" s="417"/>
      <c r="CR121" s="415">
        <f>IF(AT54&gt;0,HLOOKUP(CR81,$DY$110:$ME$112,2)*AT54*2,0)</f>
        <v>0</v>
      </c>
      <c r="CS121" s="416"/>
      <c r="CT121" s="417"/>
      <c r="CU121" s="415">
        <f>IF(AW54&gt;0,HLOOKUP(CU81,$DY$110:$ME$112,2)*AW54*2,0)</f>
        <v>0</v>
      </c>
      <c r="CV121" s="416"/>
      <c r="CW121" s="417"/>
      <c r="CX121" s="415">
        <f>IF(AZ54&gt;0,HLOOKUP(CX81,$DY$110:$ME$112,2)*AZ54*2,0)</f>
        <v>0</v>
      </c>
      <c r="CY121" s="416"/>
      <c r="CZ121" s="417"/>
      <c r="DA121" s="415">
        <f>IF(BC54&gt;0,HLOOKUP(DA81,$DY$110:$ME$112,2)*BC54*2,0)</f>
        <v>0</v>
      </c>
      <c r="DB121" s="416"/>
      <c r="DC121" s="417"/>
      <c r="DD121" s="415">
        <f>IF(BF54&gt;0,HLOOKUP(DD81,$DY$110:$ME$112,2)*BF54*2,0)</f>
        <v>0</v>
      </c>
      <c r="DE121" s="416"/>
      <c r="DF121" s="417"/>
      <c r="DH121" s="311"/>
      <c r="DI121" s="311"/>
      <c r="DJ121" s="311"/>
      <c r="DK121" s="311"/>
      <c r="DL121" s="321"/>
      <c r="DM121" s="321"/>
      <c r="DN121" s="321"/>
      <c r="DO121" s="321"/>
      <c r="DP121" s="321"/>
      <c r="DQ121" s="321"/>
      <c r="DR121" s="321"/>
      <c r="DS121" s="321"/>
    </row>
    <row r="122" spans="1:342" ht="7.4" customHeight="1" x14ac:dyDescent="0.5">
      <c r="A122" s="42"/>
      <c r="B122" s="42"/>
      <c r="C122" s="55"/>
      <c r="D122" s="55"/>
      <c r="E122" s="41"/>
      <c r="F122" s="42"/>
      <c r="G122" s="56"/>
      <c r="H122" s="56"/>
      <c r="I122" s="56"/>
      <c r="J122" s="56"/>
      <c r="K122" s="56"/>
      <c r="L122" s="56"/>
      <c r="M122" s="56"/>
      <c r="N122" s="56"/>
      <c r="O122" s="56"/>
      <c r="P122" s="56"/>
      <c r="Q122" s="56"/>
      <c r="R122" s="126"/>
      <c r="S122" s="42"/>
      <c r="AJ122" s="41"/>
      <c r="AK122" s="42"/>
      <c r="AL122" s="311"/>
      <c r="AM122" s="311"/>
      <c r="AN122" s="311"/>
      <c r="AO122" s="311"/>
      <c r="AP122" s="43"/>
      <c r="AQ122" s="42"/>
      <c r="AR122" s="46"/>
      <c r="AS122" s="46"/>
      <c r="AT122" s="46"/>
      <c r="AU122" s="46"/>
      <c r="AV122" s="46"/>
      <c r="AW122" s="46"/>
      <c r="AX122" s="105"/>
      <c r="AZ122" s="119"/>
      <c r="BA122" s="119"/>
      <c r="BB122" s="119"/>
      <c r="BC122" s="119"/>
      <c r="BD122" s="119"/>
      <c r="BE122" s="119"/>
      <c r="BF122" s="119"/>
      <c r="BG122" s="119"/>
      <c r="BH122" s="124"/>
      <c r="BI122" s="124"/>
      <c r="BK122" s="415"/>
      <c r="BL122" s="416"/>
      <c r="BM122" s="417"/>
      <c r="BN122" s="415"/>
      <c r="BO122" s="416"/>
      <c r="BP122" s="417"/>
      <c r="BQ122" s="415"/>
      <c r="BR122" s="416"/>
      <c r="BS122" s="417"/>
      <c r="BT122" s="415"/>
      <c r="BU122" s="416"/>
      <c r="BV122" s="417"/>
      <c r="BW122" s="415"/>
      <c r="BX122" s="416"/>
      <c r="BY122" s="417"/>
      <c r="BZ122" s="415"/>
      <c r="CA122" s="416"/>
      <c r="CB122" s="417"/>
      <c r="CC122" s="415"/>
      <c r="CD122" s="416"/>
      <c r="CE122" s="417"/>
      <c r="CF122" s="415"/>
      <c r="CG122" s="416"/>
      <c r="CH122" s="417"/>
      <c r="CI122" s="415"/>
      <c r="CJ122" s="416"/>
      <c r="CK122" s="417"/>
      <c r="CL122" s="415"/>
      <c r="CM122" s="416"/>
      <c r="CN122" s="417"/>
      <c r="CO122" s="415"/>
      <c r="CP122" s="416"/>
      <c r="CQ122" s="417"/>
      <c r="CR122" s="415"/>
      <c r="CS122" s="416"/>
      <c r="CT122" s="417"/>
      <c r="CU122" s="415"/>
      <c r="CV122" s="416"/>
      <c r="CW122" s="417"/>
      <c r="CX122" s="415"/>
      <c r="CY122" s="416"/>
      <c r="CZ122" s="417"/>
      <c r="DA122" s="415"/>
      <c r="DB122" s="416"/>
      <c r="DC122" s="417"/>
      <c r="DD122" s="415"/>
      <c r="DE122" s="416"/>
      <c r="DF122" s="417"/>
      <c r="DL122" s="105"/>
      <c r="DM122" s="105"/>
      <c r="DN122" s="105"/>
      <c r="DO122" s="105"/>
      <c r="DP122" s="105"/>
      <c r="DQ122" s="105"/>
      <c r="DR122" s="105"/>
      <c r="DS122" s="105"/>
    </row>
    <row r="123" spans="1:342" ht="7.4" customHeight="1" x14ac:dyDescent="0.5">
      <c r="A123" s="42"/>
      <c r="B123" s="42"/>
      <c r="C123" s="311">
        <f>C119+1</f>
        <v>2</v>
      </c>
      <c r="D123" s="311"/>
      <c r="E123" s="41"/>
      <c r="F123" s="42"/>
      <c r="G123" s="319" t="str">
        <f>IF(AL123=0,"N/A","AXE_L_R_40_30"&amp;"_AL")</f>
        <v>AXE_L_R_40_30_AL</v>
      </c>
      <c r="H123" s="319"/>
      <c r="I123" s="319"/>
      <c r="J123" s="319"/>
      <c r="K123" s="319"/>
      <c r="L123" s="319"/>
      <c r="M123" s="319"/>
      <c r="N123" s="319"/>
      <c r="O123" s="319"/>
      <c r="P123" s="319"/>
      <c r="Q123" s="319"/>
      <c r="R123" s="320"/>
      <c r="S123" s="42"/>
      <c r="T123" s="521" t="str">
        <f>VLOOKUP(G123,PL!$B$9:$BH$1265,14,FALSE)</f>
        <v xml:space="preserve">Rail Profile </v>
      </c>
      <c r="U123" s="521"/>
      <c r="V123" s="521"/>
      <c r="W123" s="521"/>
      <c r="X123" s="521"/>
      <c r="Y123" s="521"/>
      <c r="Z123" s="521"/>
      <c r="AA123" s="521"/>
      <c r="AB123" s="521"/>
      <c r="AC123" s="521"/>
      <c r="AE123" s="49"/>
      <c r="AF123" s="316" t="str">
        <f>IF(AL123=0,"","("&amp;IF(N74="Combination",DW112/1000,0)&amp;"m)")</f>
        <v>(5.85m)</v>
      </c>
      <c r="AG123" s="418"/>
      <c r="AH123" s="418"/>
      <c r="AI123" s="418"/>
      <c r="AJ123" s="110"/>
      <c r="AK123" s="42"/>
      <c r="AL123" s="311">
        <f>IF(N74="Combination",ROUND(SUM(BK123:DF123)*(1+$BF$74),0),0)</f>
        <v>102</v>
      </c>
      <c r="AM123" s="311"/>
      <c r="AN123" s="311"/>
      <c r="AO123" s="311"/>
      <c r="AP123" s="43"/>
      <c r="AQ123" s="111"/>
      <c r="AR123" s="308" t="str">
        <f>VLOOKUP(G123,PL!$B$9:$BH$818,52,FALSE)</f>
        <v>SOL-580404</v>
      </c>
      <c r="AS123" s="309"/>
      <c r="AT123" s="309"/>
      <c r="AU123" s="309"/>
      <c r="AV123" s="309"/>
      <c r="AW123" s="309"/>
      <c r="AX123" s="309"/>
      <c r="AY123" s="309"/>
      <c r="AZ123" s="309"/>
      <c r="BA123" s="309"/>
      <c r="BB123" s="309"/>
      <c r="BC123" s="309"/>
      <c r="BD123" s="309"/>
      <c r="BE123" s="309"/>
      <c r="BF123" s="309"/>
      <c r="BG123" s="309"/>
      <c r="BH123" s="124"/>
      <c r="BI123" s="124"/>
      <c r="BK123" s="415">
        <f>IF(M54&gt;0,HLOOKUP(BK81,$DY$110:$ME$112,3)*M54*2,0)</f>
        <v>100</v>
      </c>
      <c r="BL123" s="416"/>
      <c r="BM123" s="417"/>
      <c r="BN123" s="415">
        <f>IF(P54&gt;0,HLOOKUP(BN81,$DY$110:$ME$112,3)*P54*2,0)</f>
        <v>0</v>
      </c>
      <c r="BO123" s="416"/>
      <c r="BP123" s="417"/>
      <c r="BQ123" s="415">
        <f>IF(S54&gt;0,HLOOKUP(BQ81,$DY$110:$ME$112,3)*S54*2,0)</f>
        <v>0</v>
      </c>
      <c r="BR123" s="416"/>
      <c r="BS123" s="417"/>
      <c r="BT123" s="415">
        <f>IF(V54&gt;0,HLOOKUP(BT81,$DY$110:$ME$112,3)*V54*2,0)</f>
        <v>0</v>
      </c>
      <c r="BU123" s="416"/>
      <c r="BV123" s="417"/>
      <c r="BW123" s="415">
        <f>IF(Y54&gt;0,HLOOKUP(BW81,$DY$110:$ME$112,3)*Y54*2,0)</f>
        <v>0</v>
      </c>
      <c r="BX123" s="416"/>
      <c r="BY123" s="417"/>
      <c r="BZ123" s="415">
        <f>IF(AB54&gt;0,HLOOKUP(BZ81,$DY$110:$ME$112,3)*AB54*2,0)</f>
        <v>0</v>
      </c>
      <c r="CA123" s="416"/>
      <c r="CB123" s="417"/>
      <c r="CC123" s="415">
        <f>IF(AE54&gt;0,HLOOKUP(CC81,$DY$110:$ME$112,3)*AE54*2,0)</f>
        <v>0</v>
      </c>
      <c r="CD123" s="416"/>
      <c r="CE123" s="417"/>
      <c r="CF123" s="415">
        <f>IF(AH54&gt;0,HLOOKUP(CF81,$DY$110:$ME$112,3)*AH54*2,0)</f>
        <v>0</v>
      </c>
      <c r="CG123" s="416"/>
      <c r="CH123" s="417"/>
      <c r="CI123" s="415">
        <f>IF(AK54&gt;0,HLOOKUP(CI81,$DY$110:$ME$112,3)*AK54*2,0)</f>
        <v>0</v>
      </c>
      <c r="CJ123" s="416"/>
      <c r="CK123" s="417"/>
      <c r="CL123" s="415">
        <f>IF(AN54&gt;0,HLOOKUP(CL81,$DY$110:$ME$112,3)*AN54*2,0)</f>
        <v>0</v>
      </c>
      <c r="CM123" s="416"/>
      <c r="CN123" s="417"/>
      <c r="CO123" s="415">
        <f>IF(AQ54&gt;0,HLOOKUP(CO81,$DY$110:$ME$112,3)*AQ54*2,0)</f>
        <v>0</v>
      </c>
      <c r="CP123" s="416"/>
      <c r="CQ123" s="417"/>
      <c r="CR123" s="415">
        <f>IF(AT54&gt;0,HLOOKUP(CR81,$DY$110:$ME$112,3)*AT54*2,0)</f>
        <v>0</v>
      </c>
      <c r="CS123" s="416"/>
      <c r="CT123" s="417"/>
      <c r="CU123" s="415">
        <f>IF(AW54&gt;0,HLOOKUP(CU81,$DY$110:$ME$112,3)*AW54*2,0)</f>
        <v>0</v>
      </c>
      <c r="CV123" s="416"/>
      <c r="CW123" s="417"/>
      <c r="CX123" s="415">
        <f>IF(AZ54&gt;0,HLOOKUP(CX81,$DY$110:$ME$112,3)*AZ54*2,0)</f>
        <v>0</v>
      </c>
      <c r="CY123" s="416"/>
      <c r="CZ123" s="417"/>
      <c r="DA123" s="415">
        <f>IF(BC54&gt;0,HLOOKUP(DA81,$DY$110:$ME$112,3)*BC54*2,0)</f>
        <v>0</v>
      </c>
      <c r="DB123" s="416"/>
      <c r="DC123" s="417"/>
      <c r="DD123" s="415">
        <f>IF(BF54&gt;0,HLOOKUP(DD81,$DY$110:$ME$112,3)*BF54*2,0)</f>
        <v>0</v>
      </c>
      <c r="DE123" s="416"/>
      <c r="DF123" s="417"/>
      <c r="DH123" s="311"/>
      <c r="DI123" s="311"/>
      <c r="DJ123" s="311"/>
      <c r="DK123" s="311"/>
      <c r="DL123" s="321"/>
      <c r="DM123" s="321"/>
      <c r="DN123" s="321"/>
      <c r="DO123" s="321"/>
      <c r="DP123" s="321"/>
      <c r="DQ123" s="321"/>
      <c r="DR123" s="321"/>
      <c r="DS123" s="321"/>
    </row>
    <row r="124" spans="1:342" ht="7.4" customHeight="1" x14ac:dyDescent="0.5">
      <c r="A124" s="42"/>
      <c r="B124" s="42"/>
      <c r="C124" s="311"/>
      <c r="D124" s="311"/>
      <c r="E124" s="41"/>
      <c r="F124" s="42"/>
      <c r="G124" s="319"/>
      <c r="H124" s="319"/>
      <c r="I124" s="319"/>
      <c r="J124" s="319"/>
      <c r="K124" s="319"/>
      <c r="L124" s="319"/>
      <c r="M124" s="319"/>
      <c r="N124" s="319"/>
      <c r="O124" s="319"/>
      <c r="P124" s="319"/>
      <c r="Q124" s="319"/>
      <c r="R124" s="320"/>
      <c r="S124" s="42"/>
      <c r="T124" s="521"/>
      <c r="U124" s="521"/>
      <c r="V124" s="521"/>
      <c r="W124" s="521"/>
      <c r="X124" s="521"/>
      <c r="Y124" s="521"/>
      <c r="Z124" s="521"/>
      <c r="AA124" s="521"/>
      <c r="AB124" s="521"/>
      <c r="AC124" s="521"/>
      <c r="AD124" s="49"/>
      <c r="AE124" s="49"/>
      <c r="AF124" s="418"/>
      <c r="AG124" s="418"/>
      <c r="AH124" s="418"/>
      <c r="AI124" s="418"/>
      <c r="AJ124" s="110"/>
      <c r="AK124" s="42"/>
      <c r="AL124" s="311"/>
      <c r="AM124" s="311"/>
      <c r="AN124" s="311"/>
      <c r="AO124" s="311"/>
      <c r="AP124" s="43"/>
      <c r="AQ124" s="111"/>
      <c r="AR124" s="309"/>
      <c r="AS124" s="309"/>
      <c r="AT124" s="309"/>
      <c r="AU124" s="309"/>
      <c r="AV124" s="309"/>
      <c r="AW124" s="309"/>
      <c r="AX124" s="309"/>
      <c r="AY124" s="309"/>
      <c r="AZ124" s="309"/>
      <c r="BA124" s="309"/>
      <c r="BB124" s="309"/>
      <c r="BC124" s="309"/>
      <c r="BD124" s="309"/>
      <c r="BE124" s="309"/>
      <c r="BF124" s="309"/>
      <c r="BG124" s="309"/>
      <c r="BH124" s="124"/>
      <c r="BI124" s="124"/>
      <c r="BK124" s="415"/>
      <c r="BL124" s="416"/>
      <c r="BM124" s="417"/>
      <c r="BN124" s="415"/>
      <c r="BO124" s="416"/>
      <c r="BP124" s="417"/>
      <c r="BQ124" s="415"/>
      <c r="BR124" s="416"/>
      <c r="BS124" s="417"/>
      <c r="BT124" s="415"/>
      <c r="BU124" s="416"/>
      <c r="BV124" s="417"/>
      <c r="BW124" s="415"/>
      <c r="BX124" s="416"/>
      <c r="BY124" s="417"/>
      <c r="BZ124" s="415"/>
      <c r="CA124" s="416"/>
      <c r="CB124" s="417"/>
      <c r="CC124" s="415"/>
      <c r="CD124" s="416"/>
      <c r="CE124" s="417"/>
      <c r="CF124" s="415"/>
      <c r="CG124" s="416"/>
      <c r="CH124" s="417"/>
      <c r="CI124" s="415"/>
      <c r="CJ124" s="416"/>
      <c r="CK124" s="417"/>
      <c r="CL124" s="415"/>
      <c r="CM124" s="416"/>
      <c r="CN124" s="417"/>
      <c r="CO124" s="415"/>
      <c r="CP124" s="416"/>
      <c r="CQ124" s="417"/>
      <c r="CR124" s="415"/>
      <c r="CS124" s="416"/>
      <c r="CT124" s="417"/>
      <c r="CU124" s="415"/>
      <c r="CV124" s="416"/>
      <c r="CW124" s="417"/>
      <c r="CX124" s="415"/>
      <c r="CY124" s="416"/>
      <c r="CZ124" s="417"/>
      <c r="DA124" s="415"/>
      <c r="DB124" s="416"/>
      <c r="DC124" s="417"/>
      <c r="DD124" s="415"/>
      <c r="DE124" s="416"/>
      <c r="DF124" s="417"/>
      <c r="DH124" s="311"/>
      <c r="DI124" s="311"/>
      <c r="DJ124" s="311"/>
      <c r="DK124" s="311"/>
      <c r="DL124" s="321"/>
      <c r="DM124" s="321"/>
      <c r="DN124" s="321"/>
      <c r="DO124" s="321"/>
      <c r="DP124" s="321"/>
      <c r="DQ124" s="321"/>
      <c r="DR124" s="321"/>
      <c r="DS124" s="321"/>
    </row>
    <row r="125" spans="1:342" ht="7.4" customHeight="1" x14ac:dyDescent="0.5">
      <c r="A125" s="42"/>
      <c r="B125" s="42"/>
      <c r="C125" s="333"/>
      <c r="D125" s="333"/>
      <c r="E125" s="41"/>
      <c r="F125" s="42"/>
      <c r="G125" s="56"/>
      <c r="H125" s="56"/>
      <c r="I125" s="56"/>
      <c r="J125" s="56"/>
      <c r="K125" s="56"/>
      <c r="L125" s="56"/>
      <c r="M125" s="56"/>
      <c r="N125" s="56"/>
      <c r="O125" s="56"/>
      <c r="P125" s="56"/>
      <c r="Q125" s="56"/>
      <c r="R125" s="126"/>
      <c r="S125" s="42"/>
      <c r="T125" s="116" t="str">
        <f>VLOOKUP(G123,PL!$B$9:$BH$1265,33,FALSE)</f>
        <v xml:space="preserve"> Aluminium, 40x30</v>
      </c>
      <c r="AJ125" s="41"/>
      <c r="AK125" s="42"/>
      <c r="AL125" s="311"/>
      <c r="AM125" s="311"/>
      <c r="AN125" s="311"/>
      <c r="AO125" s="311"/>
      <c r="AP125" s="43"/>
      <c r="AQ125" s="42"/>
      <c r="AR125" s="46"/>
      <c r="AS125" s="46"/>
      <c r="AT125" s="46"/>
      <c r="AU125" s="46"/>
      <c r="AV125" s="46"/>
      <c r="AW125" s="46"/>
      <c r="AX125" s="105"/>
      <c r="AZ125" s="119"/>
      <c r="BA125" s="119"/>
      <c r="BB125" s="119"/>
      <c r="BC125" s="119"/>
      <c r="BD125" s="119"/>
      <c r="BE125" s="119"/>
      <c r="BF125" s="119"/>
      <c r="BG125" s="119"/>
      <c r="BH125" s="124"/>
      <c r="BI125" s="124"/>
      <c r="BK125" s="194"/>
      <c r="BL125" s="123"/>
      <c r="BM125" s="195"/>
      <c r="BN125" s="196"/>
      <c r="BO125" s="153"/>
      <c r="BP125" s="197"/>
      <c r="BQ125" s="196"/>
      <c r="BR125" s="153"/>
      <c r="BS125" s="197"/>
      <c r="BT125" s="196"/>
      <c r="BU125" s="153"/>
      <c r="BV125" s="197"/>
      <c r="BW125" s="196"/>
      <c r="BX125" s="153"/>
      <c r="BY125" s="197"/>
      <c r="BZ125" s="196"/>
      <c r="CA125" s="153"/>
      <c r="CB125" s="197"/>
      <c r="CC125" s="196"/>
      <c r="CD125" s="153"/>
      <c r="CE125" s="197"/>
      <c r="CF125" s="196"/>
      <c r="CG125" s="153"/>
      <c r="CH125" s="197"/>
      <c r="CI125" s="196"/>
      <c r="CJ125" s="153"/>
      <c r="CK125" s="197"/>
      <c r="CL125" s="196"/>
      <c r="CM125" s="153"/>
      <c r="CN125" s="197"/>
      <c r="CO125" s="196"/>
      <c r="CP125" s="153"/>
      <c r="CQ125" s="197"/>
      <c r="CR125" s="196"/>
      <c r="CS125" s="153"/>
      <c r="CT125" s="197"/>
      <c r="CU125" s="196"/>
      <c r="CV125" s="153"/>
      <c r="CW125" s="197"/>
      <c r="CX125" s="196"/>
      <c r="CY125" s="153"/>
      <c r="CZ125" s="197"/>
      <c r="DA125" s="196"/>
      <c r="DB125" s="153"/>
      <c r="DC125" s="197"/>
      <c r="DD125" s="196"/>
      <c r="DE125" s="153"/>
      <c r="DF125" s="197"/>
      <c r="DH125" s="311"/>
      <c r="DI125" s="311"/>
      <c r="DJ125" s="311"/>
      <c r="DK125" s="311"/>
      <c r="DL125" s="321"/>
      <c r="DM125" s="321"/>
      <c r="DN125" s="321"/>
      <c r="DO125" s="321"/>
      <c r="DP125" s="321"/>
      <c r="DQ125" s="321"/>
      <c r="DR125" s="321"/>
      <c r="DS125" s="321"/>
    </row>
    <row r="126" spans="1:342" ht="7.4" customHeight="1" x14ac:dyDescent="0.5">
      <c r="A126" s="42"/>
      <c r="B126" s="42"/>
      <c r="C126" s="55"/>
      <c r="D126" s="55"/>
      <c r="E126" s="41"/>
      <c r="F126" s="42"/>
      <c r="G126" s="56"/>
      <c r="H126" s="56"/>
      <c r="I126" s="56"/>
      <c r="J126" s="56"/>
      <c r="K126" s="56"/>
      <c r="L126" s="56"/>
      <c r="M126" s="56"/>
      <c r="N126" s="56"/>
      <c r="O126" s="56"/>
      <c r="P126" s="56"/>
      <c r="Q126" s="56"/>
      <c r="R126" s="126"/>
      <c r="S126" s="42"/>
      <c r="AJ126" s="41"/>
      <c r="AK126" s="42"/>
      <c r="AL126" s="311"/>
      <c r="AM126" s="311"/>
      <c r="AN126" s="311"/>
      <c r="AO126" s="311"/>
      <c r="AP126" s="43"/>
      <c r="AQ126" s="42"/>
      <c r="AR126" s="46"/>
      <c r="AS126" s="46"/>
      <c r="AT126" s="46"/>
      <c r="AU126" s="46"/>
      <c r="AV126" s="46"/>
      <c r="AW126" s="46"/>
      <c r="AX126" s="105"/>
      <c r="AZ126" s="119"/>
      <c r="BA126" s="119"/>
      <c r="BB126" s="119"/>
      <c r="BC126" s="119"/>
      <c r="BD126" s="119"/>
      <c r="BE126" s="119"/>
      <c r="BF126" s="119"/>
      <c r="BG126" s="119"/>
      <c r="BH126" s="124"/>
      <c r="BI126" s="124"/>
      <c r="BK126" s="194"/>
      <c r="BL126" s="123"/>
      <c r="BM126" s="195"/>
      <c r="BN126" s="196"/>
      <c r="BO126" s="153"/>
      <c r="BP126" s="197"/>
      <c r="BQ126" s="196"/>
      <c r="BR126" s="153"/>
      <c r="BS126" s="197"/>
      <c r="BT126" s="196"/>
      <c r="BU126" s="153"/>
      <c r="BV126" s="197"/>
      <c r="BW126" s="196"/>
      <c r="BX126" s="153"/>
      <c r="BY126" s="197"/>
      <c r="BZ126" s="196"/>
      <c r="CA126" s="153"/>
      <c r="CB126" s="197"/>
      <c r="CC126" s="196"/>
      <c r="CD126" s="153"/>
      <c r="CE126" s="197"/>
      <c r="CF126" s="196"/>
      <c r="CG126" s="153"/>
      <c r="CH126" s="197"/>
      <c r="CI126" s="196"/>
      <c r="CJ126" s="153"/>
      <c r="CK126" s="197"/>
      <c r="CL126" s="196"/>
      <c r="CM126" s="153"/>
      <c r="CN126" s="197"/>
      <c r="CO126" s="196"/>
      <c r="CP126" s="153"/>
      <c r="CQ126" s="197"/>
      <c r="CR126" s="196"/>
      <c r="CS126" s="153"/>
      <c r="CT126" s="197"/>
      <c r="CU126" s="196"/>
      <c r="CV126" s="153"/>
      <c r="CW126" s="197"/>
      <c r="CX126" s="196"/>
      <c r="CY126" s="153"/>
      <c r="CZ126" s="197"/>
      <c r="DA126" s="196"/>
      <c r="DB126" s="153"/>
      <c r="DC126" s="197"/>
      <c r="DD126" s="196"/>
      <c r="DE126" s="153"/>
      <c r="DF126" s="197"/>
      <c r="DL126" s="105"/>
      <c r="DM126" s="105"/>
      <c r="DN126" s="105"/>
      <c r="DO126" s="105"/>
      <c r="DP126" s="105"/>
      <c r="DQ126" s="105"/>
      <c r="DR126" s="105"/>
      <c r="DS126" s="105"/>
    </row>
    <row r="127" spans="1:342" ht="7.4" customHeight="1" x14ac:dyDescent="0.5">
      <c r="A127" s="42"/>
      <c r="B127" s="42"/>
      <c r="C127" s="311">
        <f>C123+1</f>
        <v>3</v>
      </c>
      <c r="D127" s="311"/>
      <c r="E127" s="41"/>
      <c r="F127" s="42"/>
      <c r="G127" s="319" t="str">
        <f>IF(AL127=0,"N/A","AXE_EX_40_30_AL")</f>
        <v>AXE_EX_40_30_AL</v>
      </c>
      <c r="H127" s="319"/>
      <c r="I127" s="319"/>
      <c r="J127" s="319"/>
      <c r="K127" s="319"/>
      <c r="L127" s="319"/>
      <c r="M127" s="319"/>
      <c r="N127" s="319"/>
      <c r="O127" s="319"/>
      <c r="P127" s="319"/>
      <c r="Q127" s="319"/>
      <c r="R127" s="320"/>
      <c r="S127" s="42"/>
      <c r="T127" s="521" t="str">
        <f>VLOOKUP(G127,PL!$B$9:$BH$1265,14,FALSE)</f>
        <v xml:space="preserve">Extension </v>
      </c>
      <c r="U127" s="521"/>
      <c r="V127" s="521"/>
      <c r="W127" s="521"/>
      <c r="X127" s="521"/>
      <c r="Y127" s="521"/>
      <c r="Z127" s="521"/>
      <c r="AA127" s="521"/>
      <c r="AB127" s="521"/>
      <c r="AC127" s="521"/>
      <c r="AD127" s="521"/>
      <c r="AE127" s="521"/>
      <c r="AF127" s="521"/>
      <c r="AG127" s="521"/>
      <c r="AH127" s="521"/>
      <c r="AI127" s="521"/>
      <c r="AJ127" s="522"/>
      <c r="AK127" s="42"/>
      <c r="AL127" s="311">
        <f>ROUND(SUM(BK127:DF127)*(1+$BF$80),0)</f>
        <v>83</v>
      </c>
      <c r="AM127" s="311"/>
      <c r="AN127" s="311"/>
      <c r="AO127" s="311"/>
      <c r="AP127" s="43"/>
      <c r="AQ127" s="111"/>
      <c r="AR127" s="308" t="str">
        <f>VLOOKUP(G127,PL!$B$9:$BH$818,52,FALSE)</f>
        <v>SOL-5805</v>
      </c>
      <c r="AS127" s="309"/>
      <c r="AT127" s="309"/>
      <c r="AU127" s="309"/>
      <c r="AV127" s="309"/>
      <c r="AW127" s="309"/>
      <c r="AX127" s="309"/>
      <c r="AY127" s="309"/>
      <c r="AZ127" s="309"/>
      <c r="BA127" s="309"/>
      <c r="BB127" s="309"/>
      <c r="BC127" s="309"/>
      <c r="BD127" s="309"/>
      <c r="BE127" s="309"/>
      <c r="BF127" s="309"/>
      <c r="BG127" s="309"/>
      <c r="BH127" s="124"/>
      <c r="BI127" s="124"/>
      <c r="BK127" s="412">
        <f>IF($N$74="Combination",IF(M54&gt;0,ROUND(HLOOKUP(BK81,$DY$110:$ME$112,2),0)+ROUND(HLOOKUP(BK81,$DY$110:$ME$112,3),0)-IF(M54&gt;0,1,0),0),(ROUNDUP(($AE$45*M58+20*(M58-1)+$N$78*2)/$N$74,0)-1))*2*M54</f>
        <v>80</v>
      </c>
      <c r="BL127" s="413"/>
      <c r="BM127" s="414"/>
      <c r="BN127" s="412">
        <f t="shared" ref="BN127" si="8">IF($N$74="Combination",IF(P54&gt;0,ROUND(HLOOKUP(BN81,$DY$110:$ME$112,2),0)+ROUND(HLOOKUP(BN81,$DY$110:$ME$112,3),0)-IF(P54&gt;0,1,0),0),(ROUNDUP(($AE$45*P58+20*(P58-1)+$N$78*2)/$N$74,0)-1))*2*P54</f>
        <v>0</v>
      </c>
      <c r="BO127" s="413"/>
      <c r="BP127" s="414"/>
      <c r="BQ127" s="412">
        <f t="shared" ref="BQ127" si="9">IF($N$74="Combination",IF(S54&gt;0,ROUND(HLOOKUP(BQ81,$DY$110:$ME$112,2),0)+ROUND(HLOOKUP(BQ81,$DY$110:$ME$112,3),0)-IF(S54&gt;0,1,0),0),(ROUNDUP(($AE$45*S58+20*(S58-1)+$N$78*2)/$N$74,0)-1))*2*S54</f>
        <v>0</v>
      </c>
      <c r="BR127" s="413"/>
      <c r="BS127" s="414"/>
      <c r="BT127" s="412">
        <f t="shared" ref="BT127" si="10">IF($N$74="Combination",IF(V54&gt;0,ROUND(HLOOKUP(BT81,$DY$110:$ME$112,2),0)+ROUND(HLOOKUP(BT81,$DY$110:$ME$112,3),0)-IF(V54&gt;0,1,0),0),(ROUNDUP(($AE$45*V58+20*(V58-1)+$N$78*2)/$N$74,0)-1))*2*V54</f>
        <v>0</v>
      </c>
      <c r="BU127" s="413"/>
      <c r="BV127" s="414"/>
      <c r="BW127" s="412">
        <f t="shared" ref="BW127" si="11">IF($N$74="Combination",IF(Y54&gt;0,ROUND(HLOOKUP(BW81,$DY$110:$ME$112,2),0)+ROUND(HLOOKUP(BW81,$DY$110:$ME$112,3),0)-IF(Y54&gt;0,1,0),0),(ROUNDUP(($AE$45*Y58+20*(Y58-1)+$N$78*2)/$N$74,0)-1))*2*Y54</f>
        <v>0</v>
      </c>
      <c r="BX127" s="413"/>
      <c r="BY127" s="414"/>
      <c r="BZ127" s="412">
        <f t="shared" ref="BZ127" si="12">IF($N$74="Combination",IF(AB54&gt;0,ROUND(HLOOKUP(BZ81,$DY$110:$ME$112,2),0)+ROUND(HLOOKUP(BZ81,$DY$110:$ME$112,3),0)-IF(AB54&gt;0,1,0),0),(ROUNDUP(($AE$45*AB58+20*(AB58-1)+$N$78*2)/$N$74,0)-1))*2*AB54</f>
        <v>0</v>
      </c>
      <c r="CA127" s="413"/>
      <c r="CB127" s="414"/>
      <c r="CC127" s="412">
        <f t="shared" ref="CC127" si="13">IF($N$74="Combination",IF(AE54&gt;0,ROUND(HLOOKUP(CC81,$DY$110:$ME$112,2),0)+ROUND(HLOOKUP(CC81,$DY$110:$ME$112,3),0)-IF(AE54&gt;0,1,0),0),(ROUNDUP(($AE$45*AE58+20*(AE58-1)+$N$78*2)/$N$74,0)-1))*2*AE54</f>
        <v>0</v>
      </c>
      <c r="CD127" s="413"/>
      <c r="CE127" s="414"/>
      <c r="CF127" s="412">
        <f t="shared" ref="CF127" si="14">IF($N$74="Combination",IF(AH54&gt;0,ROUND(HLOOKUP(CF81,$DY$110:$ME$112,2),0)+ROUND(HLOOKUP(CF81,$DY$110:$ME$112,3),0)-IF(AH54&gt;0,1,0),0),(ROUNDUP(($AE$45*AH58+20*(AH58-1)+$N$78*2)/$N$74,0)-1))*2*AH54</f>
        <v>0</v>
      </c>
      <c r="CG127" s="413"/>
      <c r="CH127" s="414"/>
      <c r="CI127" s="412">
        <f t="shared" ref="CI127" si="15">IF($N$74="Combination",IF(AK54&gt;0,ROUND(HLOOKUP(CI81,$DY$110:$ME$112,2),0)+ROUND(HLOOKUP(CI81,$DY$110:$ME$112,3),0)-IF(AK54&gt;0,1,0),0),(ROUNDUP(($AE$45*AK58+20*(AK58-1)+$N$78*2)/$N$74,0)-1))*2*AK54</f>
        <v>0</v>
      </c>
      <c r="CJ127" s="413"/>
      <c r="CK127" s="414"/>
      <c r="CL127" s="412">
        <f t="shared" ref="CL127" si="16">IF($N$74="Combination",IF(AN54&gt;0,ROUND(HLOOKUP(CL81,$DY$110:$ME$112,2),0)+ROUND(HLOOKUP(CL81,$DY$110:$ME$112,3),0)-IF(AN54&gt;0,1,0),0),(ROUNDUP(($AE$45*AN58+20*(AN58-1)+$N$78*2)/$N$74,0)-1))*2*AN54</f>
        <v>0</v>
      </c>
      <c r="CM127" s="413"/>
      <c r="CN127" s="414"/>
      <c r="CO127" s="412">
        <f t="shared" ref="CO127" si="17">IF($N$74="Combination",IF(AQ54&gt;0,ROUND(HLOOKUP(CO81,$DY$110:$ME$112,2),0)+ROUND(HLOOKUP(CO81,$DY$110:$ME$112,3),0)-IF(AQ54&gt;0,1,0),0),(ROUNDUP(($AE$45*AQ58+20*(AQ58-1)+$N$78*2)/$N$74,0)-1))*2*AQ54</f>
        <v>0</v>
      </c>
      <c r="CP127" s="413"/>
      <c r="CQ127" s="414"/>
      <c r="CR127" s="412">
        <f t="shared" ref="CR127" si="18">IF($N$74="Combination",IF(AT54&gt;0,ROUND(HLOOKUP(CR81,$DY$110:$ME$112,2),0)+ROUND(HLOOKUP(CR81,$DY$110:$ME$112,3),0)-IF(AT54&gt;0,1,0),0),(ROUNDUP(($AE$45*AT58+20*(AT58-1)+$N$78*2)/$N$74,0)-1))*2*AT54</f>
        <v>0</v>
      </c>
      <c r="CS127" s="413"/>
      <c r="CT127" s="414"/>
      <c r="CU127" s="412">
        <f t="shared" ref="CU127" si="19">IF($N$74="Combination",IF(AW54&gt;0,ROUND(HLOOKUP(CU81,$DY$110:$ME$112,2),0)+ROUND(HLOOKUP(CU81,$DY$110:$ME$112,3),0)-IF(AW54&gt;0,1,0),0),(ROUNDUP(($AE$45*AW58+20*(AW58-1)+$N$78*2)/$N$74,0)-1))*2*AW54</f>
        <v>0</v>
      </c>
      <c r="CV127" s="413"/>
      <c r="CW127" s="414"/>
      <c r="CX127" s="412">
        <f t="shared" ref="CX127" si="20">IF($N$74="Combination",IF(AZ54&gt;0,ROUND(HLOOKUP(CX81,$DY$110:$ME$112,2),0)+ROUND(HLOOKUP(CX81,$DY$110:$ME$112,3),0)-IF(AZ54&gt;0,1,0),0),(ROUNDUP(($AE$45*AZ58+20*(AZ58-1)+$N$78*2)/$N$74,0)-1))*2*AZ54</f>
        <v>0</v>
      </c>
      <c r="CY127" s="413"/>
      <c r="CZ127" s="414"/>
      <c r="DA127" s="412">
        <f t="shared" ref="DA127" si="21">IF($N$74="Combination",IF(BC54&gt;0,ROUND(HLOOKUP(DA81,$DY$110:$ME$112,2),0)+ROUND(HLOOKUP(DA81,$DY$110:$ME$112,3),0)-IF(BC54&gt;0,1,0),0),(ROUNDUP(($AE$45*BC58+20*(BC58-1)+$N$78*2)/$N$74,0)-1))*2*BC54</f>
        <v>0</v>
      </c>
      <c r="DB127" s="413"/>
      <c r="DC127" s="414"/>
      <c r="DD127" s="412">
        <f t="shared" ref="DD127" si="22">IF($N$74="Combination",IF(BF54&gt;0,ROUND(HLOOKUP(DD81,$DY$110:$ME$112,2),0)+ROUND(HLOOKUP(DD81,$DY$110:$ME$112,3),0)-IF(BF54&gt;0,1,0),0),(ROUNDUP(($AE$45*BF58+20*(BF58-1)+$N$78*2)/$N$74,0)-1))*2*BF54</f>
        <v>0</v>
      </c>
      <c r="DE127" s="413"/>
      <c r="DF127" s="414"/>
      <c r="DH127" s="311"/>
      <c r="DI127" s="311"/>
      <c r="DJ127" s="311"/>
      <c r="DK127" s="311"/>
      <c r="DL127" s="321"/>
      <c r="DM127" s="321"/>
      <c r="DN127" s="321"/>
      <c r="DO127" s="321"/>
      <c r="DP127" s="321"/>
      <c r="DQ127" s="321"/>
      <c r="DR127" s="321"/>
      <c r="DS127" s="321"/>
      <c r="EA127" s="201"/>
      <c r="EB127" s="201"/>
      <c r="EC127" s="201"/>
      <c r="ED127" s="201"/>
      <c r="EE127" s="201"/>
      <c r="EF127" s="201"/>
      <c r="EG127" s="201"/>
      <c r="EH127" s="201"/>
      <c r="EI127" s="201"/>
      <c r="EJ127" s="201"/>
      <c r="EK127" s="201"/>
      <c r="EL127" s="201"/>
      <c r="EM127" s="201"/>
      <c r="EN127" s="201"/>
      <c r="EO127" s="201"/>
      <c r="EP127" s="201"/>
      <c r="EQ127" s="201"/>
      <c r="ER127" s="201"/>
      <c r="ES127" s="201"/>
      <c r="ET127" s="201"/>
      <c r="EU127" s="201"/>
      <c r="EV127" s="201"/>
      <c r="EW127" s="201"/>
      <c r="EX127" s="201"/>
      <c r="EY127" s="201"/>
      <c r="EZ127" s="201"/>
      <c r="FA127" s="201"/>
      <c r="FB127" s="201"/>
      <c r="FC127" s="201"/>
      <c r="FD127" s="201"/>
      <c r="FE127" s="201"/>
      <c r="FF127" s="201"/>
      <c r="FG127" s="201"/>
      <c r="FH127" s="201"/>
      <c r="FI127" s="201"/>
      <c r="FJ127" s="201"/>
      <c r="FK127" s="201"/>
      <c r="FL127" s="201"/>
      <c r="FM127" s="201"/>
      <c r="FN127" s="201"/>
      <c r="FO127" s="201"/>
      <c r="FP127" s="201"/>
      <c r="FQ127" s="201"/>
      <c r="FR127" s="201"/>
      <c r="FS127" s="201"/>
      <c r="FT127" s="201"/>
      <c r="FU127" s="201"/>
      <c r="FV127" s="201"/>
      <c r="FW127" s="201"/>
      <c r="FX127" s="201"/>
      <c r="FY127" s="201"/>
      <c r="FZ127" s="201"/>
      <c r="GA127" s="201"/>
      <c r="GB127" s="201"/>
      <c r="GC127" s="201"/>
      <c r="GD127" s="201"/>
      <c r="GE127" s="201"/>
      <c r="GF127" s="201"/>
      <c r="GG127" s="201"/>
      <c r="GH127" s="201"/>
      <c r="GI127" s="201"/>
      <c r="GJ127" s="201"/>
      <c r="GK127" s="201"/>
      <c r="GL127" s="201"/>
      <c r="GM127" s="201"/>
      <c r="GN127" s="201"/>
      <c r="GO127" s="201"/>
      <c r="GP127" s="201"/>
      <c r="GQ127" s="201"/>
      <c r="GR127" s="201"/>
      <c r="GS127" s="201"/>
      <c r="GT127" s="201"/>
      <c r="GU127" s="201"/>
      <c r="GV127" s="201"/>
      <c r="GW127" s="201"/>
      <c r="GX127" s="201"/>
      <c r="GY127" s="201"/>
      <c r="GZ127" s="201"/>
      <c r="HA127" s="201"/>
      <c r="HB127" s="201"/>
      <c r="HC127" s="201"/>
      <c r="HD127" s="201"/>
      <c r="HE127" s="201"/>
      <c r="HF127" s="201"/>
      <c r="HG127" s="201"/>
      <c r="HH127" s="201"/>
      <c r="HI127" s="201"/>
      <c r="HJ127" s="201"/>
      <c r="HK127" s="201"/>
      <c r="HL127" s="201"/>
      <c r="HM127" s="201"/>
      <c r="HN127" s="201"/>
      <c r="HO127" s="201"/>
      <c r="HP127" s="201"/>
      <c r="HQ127" s="201"/>
      <c r="HR127" s="201"/>
      <c r="HS127" s="201"/>
      <c r="HT127" s="201"/>
      <c r="HU127" s="201"/>
      <c r="HV127" s="201"/>
      <c r="HW127" s="201"/>
      <c r="HX127" s="201"/>
      <c r="HY127" s="201"/>
      <c r="HZ127" s="201"/>
      <c r="IA127" s="201"/>
      <c r="IB127" s="201"/>
      <c r="IC127" s="201"/>
      <c r="ID127" s="201"/>
      <c r="IE127" s="201"/>
      <c r="IF127" s="201"/>
      <c r="IG127" s="201"/>
      <c r="IH127" s="201"/>
      <c r="II127" s="201"/>
      <c r="IJ127" s="201"/>
      <c r="IK127" s="201"/>
      <c r="IL127" s="201"/>
      <c r="IM127" s="201"/>
      <c r="IN127" s="201"/>
      <c r="IO127" s="201"/>
      <c r="IP127" s="201"/>
      <c r="IQ127" s="201"/>
      <c r="IR127" s="201"/>
      <c r="IS127" s="201"/>
      <c r="IT127" s="201"/>
      <c r="IU127" s="201"/>
      <c r="IV127" s="201"/>
      <c r="IW127" s="201"/>
      <c r="IX127" s="201"/>
      <c r="IY127" s="201"/>
      <c r="IZ127" s="201"/>
      <c r="JA127" s="201"/>
      <c r="JB127" s="201"/>
      <c r="JC127" s="201"/>
      <c r="JD127" s="201"/>
      <c r="JE127" s="201"/>
      <c r="JF127" s="201"/>
      <c r="JG127" s="201"/>
      <c r="JH127" s="201"/>
      <c r="JI127" s="201"/>
      <c r="JJ127" s="201"/>
      <c r="JK127" s="201"/>
      <c r="JL127" s="201"/>
      <c r="JM127" s="201"/>
      <c r="JN127" s="201"/>
      <c r="JO127" s="201"/>
      <c r="JP127" s="201"/>
      <c r="JQ127" s="201"/>
      <c r="JR127" s="201"/>
      <c r="JS127" s="201"/>
      <c r="JT127" s="201"/>
      <c r="JU127" s="201"/>
      <c r="JV127" s="201"/>
      <c r="JW127" s="201"/>
      <c r="JX127" s="201"/>
      <c r="JY127" s="201"/>
      <c r="JZ127" s="201"/>
      <c r="KA127" s="201"/>
      <c r="KB127" s="201"/>
      <c r="KC127" s="201"/>
      <c r="KD127" s="201"/>
      <c r="KE127" s="201"/>
      <c r="KF127" s="201"/>
      <c r="KG127" s="201"/>
      <c r="KH127" s="201"/>
      <c r="KI127" s="201"/>
      <c r="KJ127" s="201"/>
      <c r="KK127" s="201"/>
      <c r="KL127" s="201"/>
      <c r="KM127" s="201"/>
      <c r="KN127" s="201"/>
      <c r="KO127" s="201"/>
      <c r="KP127" s="201"/>
      <c r="KQ127" s="201"/>
      <c r="KR127" s="201"/>
      <c r="KS127" s="201"/>
      <c r="KT127" s="201"/>
      <c r="KU127" s="201"/>
      <c r="KV127" s="201"/>
      <c r="KW127" s="201"/>
      <c r="KX127" s="201"/>
      <c r="KY127" s="201"/>
      <c r="KZ127" s="201"/>
      <c r="LA127" s="201"/>
      <c r="LB127" s="201"/>
      <c r="LC127" s="201"/>
      <c r="LD127" s="201"/>
      <c r="LE127" s="201"/>
      <c r="LF127" s="201"/>
      <c r="LG127" s="201"/>
      <c r="LH127" s="201"/>
      <c r="LI127" s="201"/>
      <c r="LJ127" s="201"/>
      <c r="LK127" s="201"/>
      <c r="LL127" s="201"/>
      <c r="LM127" s="201"/>
      <c r="LN127" s="201"/>
      <c r="LO127" s="201"/>
      <c r="LP127" s="201"/>
      <c r="LQ127" s="201"/>
      <c r="LR127" s="201"/>
      <c r="LS127" s="201"/>
      <c r="LT127" s="201"/>
      <c r="LU127" s="201"/>
      <c r="LV127" s="201"/>
      <c r="LW127" s="201"/>
      <c r="LX127" s="201"/>
      <c r="LY127" s="201"/>
      <c r="LZ127" s="201"/>
      <c r="MA127" s="201"/>
      <c r="MB127" s="201"/>
    </row>
    <row r="128" spans="1:342" ht="7.4" customHeight="1" x14ac:dyDescent="0.5">
      <c r="A128" s="42"/>
      <c r="B128" s="42"/>
      <c r="C128" s="311"/>
      <c r="D128" s="311"/>
      <c r="E128" s="41"/>
      <c r="F128" s="42"/>
      <c r="G128" s="319"/>
      <c r="H128" s="319"/>
      <c r="I128" s="319"/>
      <c r="J128" s="319"/>
      <c r="K128" s="319"/>
      <c r="L128" s="319"/>
      <c r="M128" s="319"/>
      <c r="N128" s="319"/>
      <c r="O128" s="319"/>
      <c r="P128" s="319"/>
      <c r="Q128" s="319"/>
      <c r="R128" s="320"/>
      <c r="S128" s="42"/>
      <c r="T128" s="521"/>
      <c r="U128" s="521"/>
      <c r="V128" s="521"/>
      <c r="W128" s="521"/>
      <c r="X128" s="521"/>
      <c r="Y128" s="521"/>
      <c r="Z128" s="521"/>
      <c r="AA128" s="521"/>
      <c r="AB128" s="521"/>
      <c r="AC128" s="521"/>
      <c r="AD128" s="521"/>
      <c r="AE128" s="521"/>
      <c r="AF128" s="521"/>
      <c r="AG128" s="521"/>
      <c r="AH128" s="521"/>
      <c r="AI128" s="521"/>
      <c r="AJ128" s="522"/>
      <c r="AK128" s="42"/>
      <c r="AL128" s="311"/>
      <c r="AM128" s="311"/>
      <c r="AN128" s="311"/>
      <c r="AO128" s="311"/>
      <c r="AP128" s="43"/>
      <c r="AQ128" s="111"/>
      <c r="AR128" s="309"/>
      <c r="AS128" s="309"/>
      <c r="AT128" s="309"/>
      <c r="AU128" s="309"/>
      <c r="AV128" s="309"/>
      <c r="AW128" s="309"/>
      <c r="AX128" s="309"/>
      <c r="AY128" s="309"/>
      <c r="AZ128" s="309"/>
      <c r="BA128" s="309"/>
      <c r="BB128" s="309"/>
      <c r="BC128" s="309"/>
      <c r="BD128" s="309"/>
      <c r="BE128" s="309"/>
      <c r="BF128" s="309"/>
      <c r="BG128" s="309"/>
      <c r="BH128" s="124"/>
      <c r="BI128" s="124"/>
      <c r="BK128" s="412"/>
      <c r="BL128" s="413"/>
      <c r="BM128" s="414"/>
      <c r="BN128" s="412"/>
      <c r="BO128" s="413"/>
      <c r="BP128" s="414"/>
      <c r="BQ128" s="412"/>
      <c r="BR128" s="413"/>
      <c r="BS128" s="414"/>
      <c r="BT128" s="412"/>
      <c r="BU128" s="413"/>
      <c r="BV128" s="414"/>
      <c r="BW128" s="412"/>
      <c r="BX128" s="413"/>
      <c r="BY128" s="414"/>
      <c r="BZ128" s="412"/>
      <c r="CA128" s="413"/>
      <c r="CB128" s="414"/>
      <c r="CC128" s="412"/>
      <c r="CD128" s="413"/>
      <c r="CE128" s="414"/>
      <c r="CF128" s="412"/>
      <c r="CG128" s="413"/>
      <c r="CH128" s="414"/>
      <c r="CI128" s="412"/>
      <c r="CJ128" s="413"/>
      <c r="CK128" s="414"/>
      <c r="CL128" s="412"/>
      <c r="CM128" s="413"/>
      <c r="CN128" s="414"/>
      <c r="CO128" s="412"/>
      <c r="CP128" s="413"/>
      <c r="CQ128" s="414"/>
      <c r="CR128" s="412"/>
      <c r="CS128" s="413"/>
      <c r="CT128" s="414"/>
      <c r="CU128" s="412"/>
      <c r="CV128" s="413"/>
      <c r="CW128" s="414"/>
      <c r="CX128" s="412"/>
      <c r="CY128" s="413"/>
      <c r="CZ128" s="414"/>
      <c r="DA128" s="412"/>
      <c r="DB128" s="413"/>
      <c r="DC128" s="414"/>
      <c r="DD128" s="412"/>
      <c r="DE128" s="413"/>
      <c r="DF128" s="414"/>
      <c r="DH128" s="311"/>
      <c r="DI128" s="311"/>
      <c r="DJ128" s="311"/>
      <c r="DK128" s="311"/>
      <c r="DL128" s="321"/>
      <c r="DM128" s="321"/>
      <c r="DN128" s="321"/>
      <c r="DO128" s="321"/>
      <c r="DP128" s="321"/>
      <c r="DQ128" s="321"/>
      <c r="DR128" s="321"/>
      <c r="DS128" s="321"/>
      <c r="EA128" s="201"/>
      <c r="EB128" s="201"/>
      <c r="EC128" s="201"/>
      <c r="ED128" s="201"/>
      <c r="EE128" s="201"/>
      <c r="EF128" s="201"/>
      <c r="EG128" s="201"/>
      <c r="EH128" s="201"/>
      <c r="EI128" s="201"/>
      <c r="EJ128" s="201"/>
      <c r="EK128" s="201"/>
      <c r="EL128" s="201"/>
      <c r="EM128" s="201"/>
      <c r="EN128" s="201"/>
      <c r="EO128" s="201"/>
      <c r="EP128" s="201"/>
      <c r="EQ128" s="201"/>
      <c r="ER128" s="201"/>
      <c r="ES128" s="201"/>
      <c r="ET128" s="201"/>
      <c r="EU128" s="201"/>
      <c r="EV128" s="201"/>
      <c r="EW128" s="201"/>
      <c r="EX128" s="201"/>
      <c r="EY128" s="201"/>
      <c r="EZ128" s="201"/>
      <c r="FA128" s="201"/>
      <c r="FB128" s="201"/>
      <c r="FC128" s="201"/>
      <c r="FD128" s="201"/>
      <c r="FE128" s="201"/>
      <c r="FF128" s="201"/>
      <c r="FG128" s="201"/>
      <c r="FH128" s="201"/>
      <c r="FI128" s="201"/>
      <c r="FJ128" s="201"/>
      <c r="FK128" s="201"/>
      <c r="FL128" s="201"/>
      <c r="FM128" s="201"/>
      <c r="FN128" s="201"/>
      <c r="FO128" s="201"/>
      <c r="FP128" s="201"/>
      <c r="FQ128" s="201"/>
      <c r="FR128" s="201"/>
      <c r="FS128" s="201"/>
      <c r="FT128" s="201"/>
      <c r="FU128" s="201"/>
      <c r="FV128" s="201"/>
      <c r="FW128" s="201"/>
      <c r="FX128" s="201"/>
      <c r="FY128" s="201"/>
      <c r="FZ128" s="201"/>
      <c r="GA128" s="201"/>
      <c r="GB128" s="201"/>
      <c r="GC128" s="201"/>
      <c r="GD128" s="201"/>
      <c r="GE128" s="201"/>
      <c r="GF128" s="201"/>
      <c r="GG128" s="201"/>
      <c r="GH128" s="201"/>
      <c r="GI128" s="201"/>
      <c r="GJ128" s="201"/>
      <c r="GK128" s="201"/>
      <c r="GL128" s="201"/>
      <c r="GM128" s="201"/>
      <c r="GN128" s="201"/>
      <c r="GO128" s="201"/>
      <c r="GP128" s="201"/>
      <c r="GQ128" s="201"/>
      <c r="GR128" s="201"/>
      <c r="GS128" s="201"/>
      <c r="GT128" s="201"/>
      <c r="GU128" s="201"/>
      <c r="GV128" s="201"/>
      <c r="GW128" s="201"/>
      <c r="GX128" s="201"/>
      <c r="GY128" s="201"/>
      <c r="GZ128" s="201"/>
      <c r="HA128" s="201"/>
      <c r="HB128" s="201"/>
      <c r="HC128" s="201"/>
      <c r="HD128" s="201"/>
      <c r="HE128" s="201"/>
      <c r="HF128" s="201"/>
      <c r="HG128" s="201"/>
      <c r="HH128" s="201"/>
      <c r="HI128" s="201"/>
      <c r="HJ128" s="201"/>
      <c r="HK128" s="201"/>
      <c r="HL128" s="201"/>
      <c r="HM128" s="201"/>
      <c r="HN128" s="201"/>
      <c r="HO128" s="201"/>
      <c r="HP128" s="201"/>
      <c r="HQ128" s="201"/>
      <c r="HR128" s="201"/>
      <c r="HS128" s="201"/>
      <c r="HT128" s="201"/>
      <c r="HU128" s="201"/>
      <c r="HV128" s="201"/>
      <c r="HW128" s="201"/>
      <c r="HX128" s="201"/>
      <c r="HY128" s="201"/>
      <c r="HZ128" s="201"/>
      <c r="IA128" s="201"/>
      <c r="IB128" s="201"/>
      <c r="IC128" s="201"/>
      <c r="ID128" s="201"/>
      <c r="IE128" s="201"/>
      <c r="IF128" s="201"/>
      <c r="IG128" s="201"/>
      <c r="IH128" s="201"/>
      <c r="II128" s="201"/>
      <c r="IJ128" s="201"/>
      <c r="IK128" s="201"/>
      <c r="IL128" s="201"/>
      <c r="IM128" s="201"/>
      <c r="IN128" s="201"/>
      <c r="IO128" s="201"/>
      <c r="IP128" s="201"/>
      <c r="IQ128" s="201"/>
      <c r="IR128" s="201"/>
      <c r="IS128" s="201"/>
      <c r="IT128" s="201"/>
      <c r="IU128" s="201"/>
      <c r="IV128" s="201"/>
      <c r="IW128" s="201"/>
      <c r="IX128" s="201"/>
      <c r="IY128" s="201"/>
      <c r="IZ128" s="201"/>
      <c r="JA128" s="201"/>
      <c r="JB128" s="201"/>
      <c r="JC128" s="201"/>
      <c r="JD128" s="201"/>
      <c r="JE128" s="201"/>
      <c r="JF128" s="201"/>
      <c r="JG128" s="201"/>
      <c r="JH128" s="201"/>
      <c r="JI128" s="201"/>
      <c r="JJ128" s="201"/>
      <c r="JK128" s="201"/>
      <c r="JL128" s="201"/>
      <c r="JM128" s="201"/>
      <c r="JN128" s="201"/>
      <c r="JO128" s="201"/>
      <c r="JP128" s="201"/>
      <c r="JQ128" s="201"/>
      <c r="JR128" s="201"/>
      <c r="JS128" s="201"/>
      <c r="JT128" s="201"/>
      <c r="JU128" s="201"/>
      <c r="JV128" s="201"/>
      <c r="JW128" s="201"/>
      <c r="JX128" s="201"/>
      <c r="JY128" s="201"/>
      <c r="JZ128" s="201"/>
      <c r="KA128" s="201"/>
      <c r="KB128" s="201"/>
      <c r="KC128" s="201"/>
      <c r="KD128" s="201"/>
      <c r="KE128" s="201"/>
      <c r="KF128" s="201"/>
      <c r="KG128" s="201"/>
      <c r="KH128" s="201"/>
      <c r="KI128" s="201"/>
      <c r="KJ128" s="201"/>
      <c r="KK128" s="201"/>
      <c r="KL128" s="201"/>
      <c r="KM128" s="201"/>
      <c r="KN128" s="201"/>
      <c r="KO128" s="201"/>
      <c r="KP128" s="201"/>
      <c r="KQ128" s="201"/>
      <c r="KR128" s="201"/>
      <c r="KS128" s="201"/>
      <c r="KT128" s="201"/>
      <c r="KU128" s="201"/>
      <c r="KV128" s="201"/>
      <c r="KW128" s="201"/>
      <c r="KX128" s="201"/>
      <c r="KY128" s="201"/>
      <c r="KZ128" s="201"/>
      <c r="LA128" s="201"/>
      <c r="LB128" s="201"/>
      <c r="LC128" s="201"/>
      <c r="LD128" s="201"/>
      <c r="LE128" s="201"/>
      <c r="LF128" s="201"/>
      <c r="LG128" s="201"/>
      <c r="LH128" s="201"/>
      <c r="LI128" s="201"/>
      <c r="LJ128" s="201"/>
      <c r="LK128" s="201"/>
      <c r="LL128" s="201"/>
      <c r="LM128" s="201"/>
      <c r="LN128" s="201"/>
      <c r="LO128" s="201"/>
      <c r="LP128" s="201"/>
      <c r="LQ128" s="201"/>
      <c r="LR128" s="201"/>
      <c r="LS128" s="201"/>
      <c r="LT128" s="201"/>
      <c r="LU128" s="201"/>
      <c r="LV128" s="201"/>
      <c r="LW128" s="201"/>
      <c r="LX128" s="201"/>
      <c r="LY128" s="201"/>
      <c r="LZ128" s="201"/>
      <c r="MA128" s="201"/>
      <c r="MB128" s="201"/>
    </row>
    <row r="129" spans="1:123" ht="7.4" customHeight="1" x14ac:dyDescent="0.5">
      <c r="A129" s="42"/>
      <c r="B129" s="42"/>
      <c r="C129" s="333"/>
      <c r="D129" s="333"/>
      <c r="E129" s="41"/>
      <c r="F129" s="42"/>
      <c r="G129" s="56"/>
      <c r="H129" s="56"/>
      <c r="I129" s="56"/>
      <c r="J129" s="56"/>
      <c r="K129" s="56"/>
      <c r="L129" s="56"/>
      <c r="M129" s="56"/>
      <c r="N129" s="56"/>
      <c r="O129" s="56"/>
      <c r="P129" s="56"/>
      <c r="Q129" s="56"/>
      <c r="R129" s="126"/>
      <c r="S129" s="42"/>
      <c r="T129" s="116" t="str">
        <f>VLOOKUP(G127,PL!$B$9:$BH$1265,33,FALSE)</f>
        <v>Aluminium, Rail Profile 40x30</v>
      </c>
      <c r="U129" s="45"/>
      <c r="V129" s="45"/>
      <c r="W129" s="45"/>
      <c r="X129" s="45"/>
      <c r="Y129" s="45"/>
      <c r="Z129" s="45"/>
      <c r="AA129" s="45"/>
      <c r="AB129" s="45"/>
      <c r="AC129" s="45"/>
      <c r="AD129" s="45"/>
      <c r="AE129" s="45"/>
      <c r="AF129" s="45"/>
      <c r="AG129" s="45"/>
      <c r="AH129" s="45"/>
      <c r="AI129" s="45"/>
      <c r="AJ129" s="244"/>
      <c r="AK129" s="42"/>
      <c r="AL129" s="311"/>
      <c r="AM129" s="311"/>
      <c r="AN129" s="311"/>
      <c r="AO129" s="311"/>
      <c r="AP129" s="43"/>
      <c r="AQ129" s="42"/>
      <c r="AR129" s="46"/>
      <c r="AS129" s="46"/>
      <c r="AT129" s="46"/>
      <c r="AU129" s="46"/>
      <c r="AV129" s="46"/>
      <c r="AW129" s="46"/>
      <c r="AX129" s="105"/>
      <c r="AZ129" s="119"/>
      <c r="BA129" s="119"/>
      <c r="BB129" s="119"/>
      <c r="BC129" s="119"/>
      <c r="BD129" s="119"/>
      <c r="BE129" s="119"/>
      <c r="BF129" s="119"/>
      <c r="BG129" s="119"/>
      <c r="BH129" s="124"/>
      <c r="BI129" s="124"/>
      <c r="BK129" s="194"/>
      <c r="BL129" s="123"/>
      <c r="BM129" s="195"/>
      <c r="BN129" s="194"/>
      <c r="BO129" s="123"/>
      <c r="BP129" s="195"/>
      <c r="BQ129" s="194"/>
      <c r="BR129" s="123"/>
      <c r="BS129" s="195"/>
      <c r="BT129" s="194"/>
      <c r="BU129" s="123"/>
      <c r="BV129" s="195"/>
      <c r="BW129" s="194"/>
      <c r="BX129" s="123"/>
      <c r="BY129" s="195"/>
      <c r="BZ129" s="194"/>
      <c r="CA129" s="123"/>
      <c r="CB129" s="195"/>
      <c r="CC129" s="194"/>
      <c r="CD129" s="123"/>
      <c r="CE129" s="195"/>
      <c r="CF129" s="194"/>
      <c r="CG129" s="123"/>
      <c r="CH129" s="195"/>
      <c r="CI129" s="194"/>
      <c r="CJ129" s="123"/>
      <c r="CK129" s="195"/>
      <c r="CL129" s="194"/>
      <c r="CM129" s="123"/>
      <c r="CN129" s="195"/>
      <c r="CO129" s="194"/>
      <c r="CP129" s="123"/>
      <c r="CQ129" s="195"/>
      <c r="CR129" s="194"/>
      <c r="CS129" s="123"/>
      <c r="CT129" s="195"/>
      <c r="CU129" s="194"/>
      <c r="CV129" s="123"/>
      <c r="CW129" s="195"/>
      <c r="CX129" s="194"/>
      <c r="CY129" s="123"/>
      <c r="CZ129" s="195"/>
      <c r="DA129" s="194"/>
      <c r="DB129" s="123"/>
      <c r="DC129" s="195"/>
      <c r="DD129" s="194"/>
      <c r="DE129" s="123"/>
      <c r="DF129" s="195"/>
      <c r="DH129" s="311"/>
      <c r="DI129" s="311"/>
      <c r="DJ129" s="311"/>
      <c r="DK129" s="311"/>
      <c r="DL129" s="321"/>
      <c r="DM129" s="321"/>
      <c r="DN129" s="321"/>
      <c r="DO129" s="321"/>
      <c r="DP129" s="321"/>
      <c r="DQ129" s="321"/>
      <c r="DR129" s="321"/>
      <c r="DS129" s="321"/>
    </row>
    <row r="130" spans="1:123" ht="7.4" customHeight="1" x14ac:dyDescent="0.5">
      <c r="A130" s="42"/>
      <c r="B130" s="42"/>
      <c r="C130" s="55"/>
      <c r="D130" s="55"/>
      <c r="E130" s="41"/>
      <c r="F130" s="42"/>
      <c r="G130" s="56"/>
      <c r="H130" s="56"/>
      <c r="I130" s="56"/>
      <c r="J130" s="56"/>
      <c r="K130" s="56"/>
      <c r="L130" s="56"/>
      <c r="M130" s="56"/>
      <c r="N130" s="56"/>
      <c r="O130" s="56"/>
      <c r="P130" s="56"/>
      <c r="Q130" s="56"/>
      <c r="R130" s="126"/>
      <c r="S130" s="42"/>
      <c r="AJ130" s="41"/>
      <c r="AK130" s="42"/>
      <c r="AL130" s="311"/>
      <c r="AM130" s="311"/>
      <c r="AN130" s="311"/>
      <c r="AO130" s="311"/>
      <c r="AP130" s="43"/>
      <c r="AQ130" s="42"/>
      <c r="AR130" s="46"/>
      <c r="AS130" s="46"/>
      <c r="AT130" s="46"/>
      <c r="AU130" s="46"/>
      <c r="AV130" s="46"/>
      <c r="AW130" s="46"/>
      <c r="AX130" s="105"/>
      <c r="AZ130" s="119"/>
      <c r="BA130" s="119"/>
      <c r="BB130" s="119"/>
      <c r="BC130" s="119"/>
      <c r="BD130" s="119"/>
      <c r="BE130" s="119"/>
      <c r="BF130" s="119"/>
      <c r="BG130" s="119"/>
      <c r="BH130" s="124"/>
      <c r="BI130" s="124"/>
      <c r="BK130" s="194"/>
      <c r="BL130" s="123"/>
      <c r="BM130" s="195"/>
      <c r="BN130" s="194"/>
      <c r="BO130" s="123"/>
      <c r="BP130" s="195"/>
      <c r="BQ130" s="194"/>
      <c r="BR130" s="123"/>
      <c r="BS130" s="195"/>
      <c r="BT130" s="194"/>
      <c r="BU130" s="123"/>
      <c r="BV130" s="195"/>
      <c r="BW130" s="194"/>
      <c r="BX130" s="123"/>
      <c r="BY130" s="195"/>
      <c r="BZ130" s="194"/>
      <c r="CA130" s="123"/>
      <c r="CB130" s="195"/>
      <c r="CC130" s="194"/>
      <c r="CD130" s="123"/>
      <c r="CE130" s="195"/>
      <c r="CF130" s="194"/>
      <c r="CG130" s="123"/>
      <c r="CH130" s="195"/>
      <c r="CI130" s="194"/>
      <c r="CJ130" s="123"/>
      <c r="CK130" s="195"/>
      <c r="CL130" s="194"/>
      <c r="CM130" s="123"/>
      <c r="CN130" s="195"/>
      <c r="CO130" s="194"/>
      <c r="CP130" s="123"/>
      <c r="CQ130" s="195"/>
      <c r="CR130" s="194"/>
      <c r="CS130" s="123"/>
      <c r="CT130" s="195"/>
      <c r="CU130" s="194"/>
      <c r="CV130" s="123"/>
      <c r="CW130" s="195"/>
      <c r="CX130" s="194"/>
      <c r="CY130" s="123"/>
      <c r="CZ130" s="195"/>
      <c r="DA130" s="194"/>
      <c r="DB130" s="123"/>
      <c r="DC130" s="195"/>
      <c r="DD130" s="194"/>
      <c r="DE130" s="123"/>
      <c r="DF130" s="195"/>
      <c r="DL130" s="105"/>
      <c r="DM130" s="105"/>
      <c r="DN130" s="105"/>
      <c r="DO130" s="105"/>
      <c r="DP130" s="105"/>
      <c r="DQ130" s="105"/>
      <c r="DR130" s="105"/>
      <c r="DS130" s="105"/>
    </row>
    <row r="131" spans="1:123" ht="7.4" customHeight="1" x14ac:dyDescent="0.5">
      <c r="A131" s="42"/>
      <c r="B131" s="42"/>
      <c r="C131" s="311">
        <f>C127+1</f>
        <v>4</v>
      </c>
      <c r="D131" s="311"/>
      <c r="E131" s="41"/>
      <c r="F131" s="42"/>
      <c r="G131" s="319" t="str">
        <f>IF($AI$78="Included","AXE_CM_CF_"&amp;$AM$45,"AXE_CM_AP")&amp;"_AL"</f>
        <v>AXE_CM_CF_30_AL</v>
      </c>
      <c r="H131" s="319"/>
      <c r="I131" s="319"/>
      <c r="J131" s="319"/>
      <c r="K131" s="319"/>
      <c r="L131" s="319"/>
      <c r="M131" s="319"/>
      <c r="N131" s="319"/>
      <c r="O131" s="319"/>
      <c r="P131" s="319"/>
      <c r="Q131" s="319"/>
      <c r="R131" s="320"/>
      <c r="S131" s="42"/>
      <c r="T131" s="521" t="str">
        <f>VLOOKUP(G131,PL!$B$9:$BH$1265,14,FALSE)</f>
        <v>Mid Clamp</v>
      </c>
      <c r="U131" s="521"/>
      <c r="V131" s="521"/>
      <c r="W131" s="521"/>
      <c r="X131" s="521"/>
      <c r="Y131" s="521"/>
      <c r="Z131" s="521"/>
      <c r="AA131" s="521"/>
      <c r="AB131" s="521"/>
      <c r="AC131" s="521"/>
      <c r="AD131" s="521"/>
      <c r="AE131" s="521"/>
      <c r="AF131" s="521"/>
      <c r="AG131" s="521"/>
      <c r="AH131" s="521"/>
      <c r="AI131" s="521"/>
      <c r="AJ131" s="522"/>
      <c r="AK131" s="42"/>
      <c r="AL131" s="311">
        <f>ROUND(SUM(BK131:DF131)*(1+$BF$74),0)</f>
        <v>490</v>
      </c>
      <c r="AM131" s="311"/>
      <c r="AN131" s="311"/>
      <c r="AO131" s="311"/>
      <c r="AP131" s="43"/>
      <c r="AQ131" s="111"/>
      <c r="AR131" s="308" t="str">
        <f>VLOOKUP(G131,PL!$B$9:$BH$818,52,FALSE)</f>
        <v>SOL-580101</v>
      </c>
      <c r="AS131" s="309"/>
      <c r="AT131" s="309"/>
      <c r="AU131" s="309"/>
      <c r="AV131" s="309"/>
      <c r="AW131" s="309"/>
      <c r="AX131" s="309"/>
      <c r="AY131" s="309"/>
      <c r="AZ131" s="309"/>
      <c r="BA131" s="309"/>
      <c r="BB131" s="309"/>
      <c r="BC131" s="309"/>
      <c r="BD131" s="309"/>
      <c r="BE131" s="309"/>
      <c r="BF131" s="309"/>
      <c r="BG131" s="309"/>
      <c r="BH131" s="124"/>
      <c r="BI131" s="124"/>
      <c r="BK131" s="412">
        <f>M54*M58*2-BK135/2</f>
        <v>480</v>
      </c>
      <c r="BL131" s="413"/>
      <c r="BM131" s="414"/>
      <c r="BN131" s="412">
        <f>P54*P58*2-BN135/2</f>
        <v>0</v>
      </c>
      <c r="BO131" s="413"/>
      <c r="BP131" s="414"/>
      <c r="BQ131" s="412">
        <f>S54*S58*2-BQ135/2</f>
        <v>0</v>
      </c>
      <c r="BR131" s="413"/>
      <c r="BS131" s="414"/>
      <c r="BT131" s="412">
        <f>V54*V58*2-BT135/2</f>
        <v>0</v>
      </c>
      <c r="BU131" s="413"/>
      <c r="BV131" s="414"/>
      <c r="BW131" s="412">
        <f>Y54*Y58*2-BW135/2</f>
        <v>0</v>
      </c>
      <c r="BX131" s="413"/>
      <c r="BY131" s="414"/>
      <c r="BZ131" s="412">
        <f>AB54*AB58*2-BZ135/2</f>
        <v>0</v>
      </c>
      <c r="CA131" s="413"/>
      <c r="CB131" s="414"/>
      <c r="CC131" s="412">
        <f>AE54*AE58*2-CC135/2</f>
        <v>0</v>
      </c>
      <c r="CD131" s="413"/>
      <c r="CE131" s="414"/>
      <c r="CF131" s="412">
        <f>AH54*AH58*2-CF135/2</f>
        <v>0</v>
      </c>
      <c r="CG131" s="413"/>
      <c r="CH131" s="414"/>
      <c r="CI131" s="412">
        <f>AK54*AK58*2-CI135/2</f>
        <v>0</v>
      </c>
      <c r="CJ131" s="413"/>
      <c r="CK131" s="414"/>
      <c r="CL131" s="412">
        <f>AN54*AN58*2-CL135/2</f>
        <v>0</v>
      </c>
      <c r="CM131" s="413"/>
      <c r="CN131" s="414"/>
      <c r="CO131" s="412">
        <f>AQ54*AQ58*2-CO135/2</f>
        <v>0</v>
      </c>
      <c r="CP131" s="413"/>
      <c r="CQ131" s="414"/>
      <c r="CR131" s="412">
        <f>AT54*AT58*2-CR135/2</f>
        <v>0</v>
      </c>
      <c r="CS131" s="413"/>
      <c r="CT131" s="414"/>
      <c r="CU131" s="412">
        <f>AW54*AW58*2-CU135/2</f>
        <v>0</v>
      </c>
      <c r="CV131" s="413"/>
      <c r="CW131" s="414"/>
      <c r="CX131" s="412">
        <f>AZ54*AZ58*2-CX135/2</f>
        <v>0</v>
      </c>
      <c r="CY131" s="413"/>
      <c r="CZ131" s="414"/>
      <c r="DA131" s="412">
        <f>BC54*BC58*2-DA135/2</f>
        <v>0</v>
      </c>
      <c r="DB131" s="413"/>
      <c r="DC131" s="414"/>
      <c r="DD131" s="412">
        <f>BF54*BF58*2-DD135/2</f>
        <v>0</v>
      </c>
      <c r="DE131" s="413"/>
      <c r="DF131" s="414"/>
      <c r="DH131" s="311"/>
      <c r="DI131" s="311"/>
      <c r="DJ131" s="311"/>
      <c r="DK131" s="311"/>
      <c r="DL131" s="321"/>
      <c r="DM131" s="321"/>
      <c r="DN131" s="321"/>
      <c r="DO131" s="321"/>
      <c r="DP131" s="321"/>
      <c r="DQ131" s="321"/>
      <c r="DR131" s="321"/>
      <c r="DS131" s="321"/>
    </row>
    <row r="132" spans="1:123" ht="7.4" customHeight="1" x14ac:dyDescent="0.5">
      <c r="A132" s="42"/>
      <c r="B132" s="42"/>
      <c r="C132" s="311"/>
      <c r="D132" s="311"/>
      <c r="E132" s="41"/>
      <c r="F132" s="42"/>
      <c r="G132" s="319"/>
      <c r="H132" s="319"/>
      <c r="I132" s="319"/>
      <c r="J132" s="319"/>
      <c r="K132" s="319"/>
      <c r="L132" s="319"/>
      <c r="M132" s="319"/>
      <c r="N132" s="319"/>
      <c r="O132" s="319"/>
      <c r="P132" s="319"/>
      <c r="Q132" s="319"/>
      <c r="R132" s="320"/>
      <c r="S132" s="42"/>
      <c r="T132" s="521"/>
      <c r="U132" s="521"/>
      <c r="V132" s="521"/>
      <c r="W132" s="521"/>
      <c r="X132" s="521"/>
      <c r="Y132" s="521"/>
      <c r="Z132" s="521"/>
      <c r="AA132" s="521"/>
      <c r="AB132" s="521"/>
      <c r="AC132" s="521"/>
      <c r="AD132" s="521"/>
      <c r="AE132" s="521"/>
      <c r="AF132" s="521"/>
      <c r="AG132" s="521"/>
      <c r="AH132" s="521"/>
      <c r="AI132" s="521"/>
      <c r="AJ132" s="522"/>
      <c r="AK132" s="42"/>
      <c r="AL132" s="311"/>
      <c r="AM132" s="311"/>
      <c r="AN132" s="311"/>
      <c r="AO132" s="311"/>
      <c r="AP132" s="43"/>
      <c r="AQ132" s="111"/>
      <c r="AR132" s="309"/>
      <c r="AS132" s="309"/>
      <c r="AT132" s="309"/>
      <c r="AU132" s="309"/>
      <c r="AV132" s="309"/>
      <c r="AW132" s="309"/>
      <c r="AX132" s="309"/>
      <c r="AY132" s="309"/>
      <c r="AZ132" s="309"/>
      <c r="BA132" s="309"/>
      <c r="BB132" s="309"/>
      <c r="BC132" s="309"/>
      <c r="BD132" s="309"/>
      <c r="BE132" s="309"/>
      <c r="BF132" s="309"/>
      <c r="BG132" s="309"/>
      <c r="BH132" s="124"/>
      <c r="BI132" s="124"/>
      <c r="BK132" s="412"/>
      <c r="BL132" s="413"/>
      <c r="BM132" s="414"/>
      <c r="BN132" s="412"/>
      <c r="BO132" s="413"/>
      <c r="BP132" s="414"/>
      <c r="BQ132" s="412"/>
      <c r="BR132" s="413"/>
      <c r="BS132" s="414"/>
      <c r="BT132" s="412"/>
      <c r="BU132" s="413"/>
      <c r="BV132" s="414"/>
      <c r="BW132" s="412"/>
      <c r="BX132" s="413"/>
      <c r="BY132" s="414"/>
      <c r="BZ132" s="412"/>
      <c r="CA132" s="413"/>
      <c r="CB132" s="414"/>
      <c r="CC132" s="412"/>
      <c r="CD132" s="413"/>
      <c r="CE132" s="414"/>
      <c r="CF132" s="412"/>
      <c r="CG132" s="413"/>
      <c r="CH132" s="414"/>
      <c r="CI132" s="412"/>
      <c r="CJ132" s="413"/>
      <c r="CK132" s="414"/>
      <c r="CL132" s="412"/>
      <c r="CM132" s="413"/>
      <c r="CN132" s="414"/>
      <c r="CO132" s="412"/>
      <c r="CP132" s="413"/>
      <c r="CQ132" s="414"/>
      <c r="CR132" s="412"/>
      <c r="CS132" s="413"/>
      <c r="CT132" s="414"/>
      <c r="CU132" s="412"/>
      <c r="CV132" s="413"/>
      <c r="CW132" s="414"/>
      <c r="CX132" s="412"/>
      <c r="CY132" s="413"/>
      <c r="CZ132" s="414"/>
      <c r="DA132" s="412"/>
      <c r="DB132" s="413"/>
      <c r="DC132" s="414"/>
      <c r="DD132" s="412"/>
      <c r="DE132" s="413"/>
      <c r="DF132" s="414"/>
      <c r="DH132" s="311"/>
      <c r="DI132" s="311"/>
      <c r="DJ132" s="311"/>
      <c r="DK132" s="311"/>
      <c r="DL132" s="321"/>
      <c r="DM132" s="321"/>
      <c r="DN132" s="321"/>
      <c r="DO132" s="321"/>
      <c r="DP132" s="321"/>
      <c r="DQ132" s="321"/>
      <c r="DR132" s="321"/>
      <c r="DS132" s="321"/>
    </row>
    <row r="133" spans="1:123" ht="7.4" customHeight="1" x14ac:dyDescent="0.5">
      <c r="A133" s="42"/>
      <c r="B133" s="42"/>
      <c r="C133" s="333"/>
      <c r="D133" s="333"/>
      <c r="E133" s="41"/>
      <c r="F133" s="42"/>
      <c r="G133" s="56"/>
      <c r="H133" s="56"/>
      <c r="I133" s="56"/>
      <c r="J133" s="56"/>
      <c r="K133" s="56"/>
      <c r="L133" s="56"/>
      <c r="M133" s="56"/>
      <c r="N133" s="56"/>
      <c r="O133" s="56"/>
      <c r="P133" s="56"/>
      <c r="Q133" s="56"/>
      <c r="R133" s="126"/>
      <c r="S133" s="42"/>
      <c r="T133" s="257" t="str">
        <f>VLOOKUP(G131,PL!$B$9:$BH$1265,33,FALSE)</f>
        <v>Aluminium, Click Fix, 30mm high</v>
      </c>
      <c r="U133" s="45"/>
      <c r="V133" s="45"/>
      <c r="W133" s="45"/>
      <c r="X133" s="45"/>
      <c r="Y133" s="45"/>
      <c r="Z133" s="45"/>
      <c r="AA133" s="45"/>
      <c r="AB133" s="45"/>
      <c r="AC133" s="45"/>
      <c r="AD133" s="45"/>
      <c r="AE133" s="45"/>
      <c r="AF133" s="45"/>
      <c r="AG133" s="45"/>
      <c r="AH133" s="45"/>
      <c r="AI133" s="45"/>
      <c r="AJ133" s="244"/>
      <c r="AK133" s="42"/>
      <c r="AL133" s="311"/>
      <c r="AM133" s="311"/>
      <c r="AN133" s="311"/>
      <c r="AO133" s="311"/>
      <c r="AP133" s="43"/>
      <c r="AQ133" s="42"/>
      <c r="AR133" s="46"/>
      <c r="AS133" s="46"/>
      <c r="AT133" s="46"/>
      <c r="AU133" s="46"/>
      <c r="AV133" s="46"/>
      <c r="AW133" s="46"/>
      <c r="AX133" s="105"/>
      <c r="AZ133" s="119"/>
      <c r="BA133" s="119"/>
      <c r="BB133" s="119"/>
      <c r="BC133" s="119"/>
      <c r="BD133" s="119"/>
      <c r="BE133" s="119"/>
      <c r="BF133" s="119"/>
      <c r="BG133" s="119"/>
      <c r="BH133" s="124"/>
      <c r="BI133" s="124"/>
      <c r="BK133" s="194"/>
      <c r="BL133" s="123"/>
      <c r="BM133" s="195"/>
      <c r="BN133" s="194"/>
      <c r="BO133" s="123"/>
      <c r="BP133" s="195"/>
      <c r="BQ133" s="194"/>
      <c r="BR133" s="123"/>
      <c r="BS133" s="195"/>
      <c r="BT133" s="194"/>
      <c r="BU133" s="123"/>
      <c r="BV133" s="195"/>
      <c r="BW133" s="194"/>
      <c r="BX133" s="123"/>
      <c r="BY133" s="195"/>
      <c r="BZ133" s="194"/>
      <c r="CA133" s="123"/>
      <c r="CB133" s="195"/>
      <c r="CC133" s="194"/>
      <c r="CD133" s="123"/>
      <c r="CE133" s="195"/>
      <c r="CF133" s="194"/>
      <c r="CG133" s="123"/>
      <c r="CH133" s="195"/>
      <c r="CI133" s="194"/>
      <c r="CJ133" s="123"/>
      <c r="CK133" s="195"/>
      <c r="CL133" s="194"/>
      <c r="CM133" s="123"/>
      <c r="CN133" s="195"/>
      <c r="CO133" s="194"/>
      <c r="CP133" s="123"/>
      <c r="CQ133" s="195"/>
      <c r="CR133" s="194"/>
      <c r="CS133" s="123"/>
      <c r="CT133" s="195"/>
      <c r="CU133" s="194"/>
      <c r="CV133" s="123"/>
      <c r="CW133" s="195"/>
      <c r="CX133" s="194"/>
      <c r="CY133" s="123"/>
      <c r="CZ133" s="195"/>
      <c r="DA133" s="194"/>
      <c r="DB133" s="123"/>
      <c r="DC133" s="195"/>
      <c r="DD133" s="194"/>
      <c r="DE133" s="123"/>
      <c r="DF133" s="195"/>
      <c r="DH133" s="311"/>
      <c r="DI133" s="311"/>
      <c r="DJ133" s="311"/>
      <c r="DK133" s="311"/>
      <c r="DL133" s="321"/>
      <c r="DM133" s="321"/>
      <c r="DN133" s="321"/>
      <c r="DO133" s="321"/>
      <c r="DP133" s="321"/>
      <c r="DQ133" s="321"/>
      <c r="DR133" s="321"/>
      <c r="DS133" s="321"/>
    </row>
    <row r="134" spans="1:123" ht="7.4" customHeight="1" x14ac:dyDescent="0.5">
      <c r="A134" s="42"/>
      <c r="B134" s="42"/>
      <c r="C134" s="55"/>
      <c r="D134" s="55"/>
      <c r="E134" s="41"/>
      <c r="F134" s="42"/>
      <c r="G134" s="56"/>
      <c r="H134" s="56"/>
      <c r="I134" s="56"/>
      <c r="J134" s="56"/>
      <c r="K134" s="56"/>
      <c r="L134" s="56"/>
      <c r="M134" s="56"/>
      <c r="N134" s="56"/>
      <c r="O134" s="56"/>
      <c r="P134" s="56"/>
      <c r="Q134" s="56"/>
      <c r="R134" s="126"/>
      <c r="S134" s="42"/>
      <c r="T134" s="45"/>
      <c r="U134" s="45"/>
      <c r="V134" s="45"/>
      <c r="W134" s="45"/>
      <c r="X134" s="45"/>
      <c r="Y134" s="45"/>
      <c r="Z134" s="45"/>
      <c r="AA134" s="45"/>
      <c r="AB134" s="45"/>
      <c r="AC134" s="45"/>
      <c r="AD134" s="45"/>
      <c r="AE134" s="45"/>
      <c r="AF134" s="45"/>
      <c r="AG134" s="45"/>
      <c r="AH134" s="45"/>
      <c r="AI134" s="45"/>
      <c r="AJ134" s="244"/>
      <c r="AK134" s="42"/>
      <c r="AL134" s="311"/>
      <c r="AM134" s="311"/>
      <c r="AN134" s="311"/>
      <c r="AO134" s="311"/>
      <c r="AP134" s="43"/>
      <c r="AQ134" s="42"/>
      <c r="AR134" s="46"/>
      <c r="AS134" s="46"/>
      <c r="AT134" s="46"/>
      <c r="AU134" s="46"/>
      <c r="AV134" s="46"/>
      <c r="AW134" s="46"/>
      <c r="AX134" s="105"/>
      <c r="AZ134" s="119"/>
      <c r="BA134" s="119"/>
      <c r="BB134" s="119"/>
      <c r="BC134" s="119"/>
      <c r="BD134" s="119"/>
      <c r="BE134" s="119"/>
      <c r="BF134" s="119"/>
      <c r="BG134" s="119"/>
      <c r="BH134" s="124"/>
      <c r="BI134" s="124"/>
      <c r="BK134" s="194"/>
      <c r="BL134" s="123"/>
      <c r="BM134" s="195"/>
      <c r="BN134" s="194"/>
      <c r="BO134" s="123"/>
      <c r="BP134" s="195"/>
      <c r="BQ134" s="194"/>
      <c r="BR134" s="123"/>
      <c r="BS134" s="195"/>
      <c r="BT134" s="194"/>
      <c r="BU134" s="123"/>
      <c r="BV134" s="195"/>
      <c r="BW134" s="194"/>
      <c r="BX134" s="123"/>
      <c r="BY134" s="195"/>
      <c r="BZ134" s="194"/>
      <c r="CA134" s="123"/>
      <c r="CB134" s="195"/>
      <c r="CC134" s="194"/>
      <c r="CD134" s="123"/>
      <c r="CE134" s="195"/>
      <c r="CF134" s="194"/>
      <c r="CG134" s="123"/>
      <c r="CH134" s="195"/>
      <c r="CI134" s="194"/>
      <c r="CJ134" s="123"/>
      <c r="CK134" s="195"/>
      <c r="CL134" s="194"/>
      <c r="CM134" s="123"/>
      <c r="CN134" s="195"/>
      <c r="CO134" s="194"/>
      <c r="CP134" s="123"/>
      <c r="CQ134" s="195"/>
      <c r="CR134" s="194"/>
      <c r="CS134" s="123"/>
      <c r="CT134" s="195"/>
      <c r="CU134" s="194"/>
      <c r="CV134" s="123"/>
      <c r="CW134" s="195"/>
      <c r="CX134" s="194"/>
      <c r="CY134" s="123"/>
      <c r="CZ134" s="195"/>
      <c r="DA134" s="194"/>
      <c r="DB134" s="123"/>
      <c r="DC134" s="195"/>
      <c r="DD134" s="194"/>
      <c r="DE134" s="123"/>
      <c r="DF134" s="195"/>
      <c r="DL134" s="105"/>
      <c r="DM134" s="105"/>
      <c r="DN134" s="105"/>
      <c r="DO134" s="105"/>
      <c r="DP134" s="105"/>
      <c r="DQ134" s="105"/>
      <c r="DR134" s="105"/>
      <c r="DS134" s="105"/>
    </row>
    <row r="135" spans="1:123" ht="7.4" customHeight="1" x14ac:dyDescent="0.5">
      <c r="A135" s="42"/>
      <c r="B135" s="42"/>
      <c r="C135" s="311">
        <f>C131+1</f>
        <v>5</v>
      </c>
      <c r="D135" s="311"/>
      <c r="E135" s="41"/>
      <c r="F135" s="42"/>
      <c r="G135" s="319" t="str">
        <f>IF($AI$78="Included","AXE_CE_CF_"&amp;$AM$45,"AXE_CE_AP_"&amp;$AM$45)&amp;"_AL"</f>
        <v>AXE_CE_CF_30_AL</v>
      </c>
      <c r="H135" s="319"/>
      <c r="I135" s="319"/>
      <c r="J135" s="319"/>
      <c r="K135" s="319"/>
      <c r="L135" s="319"/>
      <c r="M135" s="319"/>
      <c r="N135" s="319"/>
      <c r="O135" s="319"/>
      <c r="P135" s="319"/>
      <c r="Q135" s="319"/>
      <c r="R135" s="320"/>
      <c r="S135" s="42"/>
      <c r="T135" s="521" t="str">
        <f>VLOOKUP(G135,PL!$B$9:$BH$1265,14,FALSE)</f>
        <v>End Clamp</v>
      </c>
      <c r="U135" s="521"/>
      <c r="V135" s="521"/>
      <c r="W135" s="521"/>
      <c r="X135" s="521"/>
      <c r="Y135" s="521"/>
      <c r="Z135" s="521"/>
      <c r="AA135" s="521"/>
      <c r="AB135" s="521"/>
      <c r="AC135" s="521"/>
      <c r="AD135" s="521"/>
      <c r="AE135" s="521"/>
      <c r="AF135" s="521"/>
      <c r="AG135" s="521"/>
      <c r="AH135" s="521"/>
      <c r="AI135" s="521"/>
      <c r="AJ135" s="522"/>
      <c r="AK135" s="42"/>
      <c r="AL135" s="311">
        <f>ROUND(SUM(BK135:DF135)*(1+$BF$84),0)</f>
        <v>41</v>
      </c>
      <c r="AM135" s="311"/>
      <c r="AN135" s="311"/>
      <c r="AO135" s="311"/>
      <c r="AP135" s="43"/>
      <c r="AQ135" s="111"/>
      <c r="AR135" s="308" t="str">
        <f>VLOOKUP(G135,PL!$B$9:$BH$818,52,FALSE)</f>
        <v>SOL-580301</v>
      </c>
      <c r="AS135" s="309"/>
      <c r="AT135" s="309"/>
      <c r="AU135" s="309"/>
      <c r="AV135" s="309"/>
      <c r="AW135" s="309"/>
      <c r="AX135" s="309"/>
      <c r="AY135" s="309"/>
      <c r="AZ135" s="309"/>
      <c r="BA135" s="309"/>
      <c r="BB135" s="309"/>
      <c r="BC135" s="309"/>
      <c r="BD135" s="309"/>
      <c r="BE135" s="309"/>
      <c r="BF135" s="309"/>
      <c r="BG135" s="309"/>
      <c r="BH135" s="124"/>
      <c r="BI135" s="124"/>
      <c r="BK135" s="412">
        <f>4*M54</f>
        <v>40</v>
      </c>
      <c r="BL135" s="413"/>
      <c r="BM135" s="414"/>
      <c r="BN135" s="412">
        <f>4*P54</f>
        <v>0</v>
      </c>
      <c r="BO135" s="413"/>
      <c r="BP135" s="414"/>
      <c r="BQ135" s="412">
        <f>4*S54</f>
        <v>0</v>
      </c>
      <c r="BR135" s="413"/>
      <c r="BS135" s="414"/>
      <c r="BT135" s="412">
        <f>4*V54</f>
        <v>0</v>
      </c>
      <c r="BU135" s="413"/>
      <c r="BV135" s="414"/>
      <c r="BW135" s="412">
        <f>4*Y54</f>
        <v>0</v>
      </c>
      <c r="BX135" s="413"/>
      <c r="BY135" s="414"/>
      <c r="BZ135" s="412">
        <f>4*AB54</f>
        <v>0</v>
      </c>
      <c r="CA135" s="413"/>
      <c r="CB135" s="414"/>
      <c r="CC135" s="412">
        <f>4*AE54</f>
        <v>0</v>
      </c>
      <c r="CD135" s="413"/>
      <c r="CE135" s="414"/>
      <c r="CF135" s="412">
        <f>4*AH54</f>
        <v>0</v>
      </c>
      <c r="CG135" s="413"/>
      <c r="CH135" s="414"/>
      <c r="CI135" s="412">
        <f>4*AK54</f>
        <v>0</v>
      </c>
      <c r="CJ135" s="413"/>
      <c r="CK135" s="414"/>
      <c r="CL135" s="412">
        <f>4*AN54</f>
        <v>0</v>
      </c>
      <c r="CM135" s="413"/>
      <c r="CN135" s="414"/>
      <c r="CO135" s="412">
        <f>4*AQ54</f>
        <v>0</v>
      </c>
      <c r="CP135" s="413"/>
      <c r="CQ135" s="414"/>
      <c r="CR135" s="412">
        <f>4*AT54</f>
        <v>0</v>
      </c>
      <c r="CS135" s="413"/>
      <c r="CT135" s="414"/>
      <c r="CU135" s="412">
        <f>4*AW54</f>
        <v>0</v>
      </c>
      <c r="CV135" s="413"/>
      <c r="CW135" s="414"/>
      <c r="CX135" s="412">
        <f>4*AZ54</f>
        <v>0</v>
      </c>
      <c r="CY135" s="413"/>
      <c r="CZ135" s="414"/>
      <c r="DA135" s="412">
        <f>4*BC54</f>
        <v>0</v>
      </c>
      <c r="DB135" s="413"/>
      <c r="DC135" s="414"/>
      <c r="DD135" s="412">
        <f>4*BF54</f>
        <v>0</v>
      </c>
      <c r="DE135" s="413"/>
      <c r="DF135" s="414"/>
      <c r="DH135" s="311"/>
      <c r="DI135" s="311"/>
      <c r="DJ135" s="311"/>
      <c r="DK135" s="311"/>
      <c r="DL135" s="321"/>
      <c r="DM135" s="321"/>
      <c r="DN135" s="321"/>
      <c r="DO135" s="321"/>
      <c r="DP135" s="321"/>
      <c r="DQ135" s="321"/>
      <c r="DR135" s="321"/>
      <c r="DS135" s="321"/>
    </row>
    <row r="136" spans="1:123" ht="7.4" customHeight="1" x14ac:dyDescent="0.5">
      <c r="A136" s="42"/>
      <c r="B136" s="42"/>
      <c r="C136" s="311"/>
      <c r="D136" s="311"/>
      <c r="E136" s="41"/>
      <c r="F136" s="42"/>
      <c r="G136" s="319"/>
      <c r="H136" s="319"/>
      <c r="I136" s="319"/>
      <c r="J136" s="319"/>
      <c r="K136" s="319"/>
      <c r="L136" s="319"/>
      <c r="M136" s="319"/>
      <c r="N136" s="319"/>
      <c r="O136" s="319"/>
      <c r="P136" s="319"/>
      <c r="Q136" s="319"/>
      <c r="R136" s="320"/>
      <c r="S136" s="42"/>
      <c r="T136" s="521"/>
      <c r="U136" s="521"/>
      <c r="V136" s="521"/>
      <c r="W136" s="521"/>
      <c r="X136" s="521"/>
      <c r="Y136" s="521"/>
      <c r="Z136" s="521"/>
      <c r="AA136" s="521"/>
      <c r="AB136" s="521"/>
      <c r="AC136" s="521"/>
      <c r="AD136" s="521"/>
      <c r="AE136" s="521"/>
      <c r="AF136" s="521"/>
      <c r="AG136" s="521"/>
      <c r="AH136" s="521"/>
      <c r="AI136" s="521"/>
      <c r="AJ136" s="522"/>
      <c r="AK136" s="42"/>
      <c r="AL136" s="311"/>
      <c r="AM136" s="311"/>
      <c r="AN136" s="311"/>
      <c r="AO136" s="311"/>
      <c r="AP136" s="43"/>
      <c r="AQ136" s="111"/>
      <c r="AR136" s="309"/>
      <c r="AS136" s="309"/>
      <c r="AT136" s="309"/>
      <c r="AU136" s="309"/>
      <c r="AV136" s="309"/>
      <c r="AW136" s="309"/>
      <c r="AX136" s="309"/>
      <c r="AY136" s="309"/>
      <c r="AZ136" s="309"/>
      <c r="BA136" s="309"/>
      <c r="BB136" s="309"/>
      <c r="BC136" s="309"/>
      <c r="BD136" s="309"/>
      <c r="BE136" s="309"/>
      <c r="BF136" s="309"/>
      <c r="BG136" s="309"/>
      <c r="BH136" s="124"/>
      <c r="BI136" s="124"/>
      <c r="BK136" s="412"/>
      <c r="BL136" s="413"/>
      <c r="BM136" s="414"/>
      <c r="BN136" s="412"/>
      <c r="BO136" s="413"/>
      <c r="BP136" s="414"/>
      <c r="BQ136" s="412"/>
      <c r="BR136" s="413"/>
      <c r="BS136" s="414"/>
      <c r="BT136" s="412"/>
      <c r="BU136" s="413"/>
      <c r="BV136" s="414"/>
      <c r="BW136" s="412"/>
      <c r="BX136" s="413"/>
      <c r="BY136" s="414"/>
      <c r="BZ136" s="412"/>
      <c r="CA136" s="413"/>
      <c r="CB136" s="414"/>
      <c r="CC136" s="412"/>
      <c r="CD136" s="413"/>
      <c r="CE136" s="414"/>
      <c r="CF136" s="412"/>
      <c r="CG136" s="413"/>
      <c r="CH136" s="414"/>
      <c r="CI136" s="412"/>
      <c r="CJ136" s="413"/>
      <c r="CK136" s="414"/>
      <c r="CL136" s="412"/>
      <c r="CM136" s="413"/>
      <c r="CN136" s="414"/>
      <c r="CO136" s="412"/>
      <c r="CP136" s="413"/>
      <c r="CQ136" s="414"/>
      <c r="CR136" s="412"/>
      <c r="CS136" s="413"/>
      <c r="CT136" s="414"/>
      <c r="CU136" s="412"/>
      <c r="CV136" s="413"/>
      <c r="CW136" s="414"/>
      <c r="CX136" s="412"/>
      <c r="CY136" s="413"/>
      <c r="CZ136" s="414"/>
      <c r="DA136" s="412"/>
      <c r="DB136" s="413"/>
      <c r="DC136" s="414"/>
      <c r="DD136" s="412"/>
      <c r="DE136" s="413"/>
      <c r="DF136" s="414"/>
      <c r="DH136" s="311"/>
      <c r="DI136" s="311"/>
      <c r="DJ136" s="311"/>
      <c r="DK136" s="311"/>
      <c r="DL136" s="321"/>
      <c r="DM136" s="321"/>
      <c r="DN136" s="321"/>
      <c r="DO136" s="321"/>
      <c r="DP136" s="321"/>
      <c r="DQ136" s="321"/>
      <c r="DR136" s="321"/>
      <c r="DS136" s="321"/>
    </row>
    <row r="137" spans="1:123" ht="7.4" customHeight="1" x14ac:dyDescent="0.5">
      <c r="A137" s="42"/>
      <c r="B137" s="42"/>
      <c r="C137" s="55"/>
      <c r="D137" s="55"/>
      <c r="E137" s="41"/>
      <c r="F137" s="42"/>
      <c r="G137" s="56"/>
      <c r="H137" s="56"/>
      <c r="I137" s="56"/>
      <c r="J137" s="56"/>
      <c r="K137" s="56"/>
      <c r="L137" s="56"/>
      <c r="M137" s="56"/>
      <c r="N137" s="56"/>
      <c r="O137" s="56"/>
      <c r="P137" s="56"/>
      <c r="Q137" s="56"/>
      <c r="R137" s="126"/>
      <c r="S137" s="42"/>
      <c r="T137" s="257" t="str">
        <f>VLOOKUP(G135,PL!$B$9:$BH$1265,33,FALSE)</f>
        <v>Aluminium, Click Fix, 30mm high</v>
      </c>
      <c r="U137" s="45"/>
      <c r="V137" s="45"/>
      <c r="W137" s="45"/>
      <c r="X137" s="45"/>
      <c r="Y137" s="45"/>
      <c r="Z137" s="45"/>
      <c r="AA137" s="45"/>
      <c r="AB137" s="45"/>
      <c r="AC137" s="45"/>
      <c r="AD137" s="45"/>
      <c r="AE137" s="45"/>
      <c r="AF137" s="45"/>
      <c r="AG137" s="45"/>
      <c r="AH137" s="45"/>
      <c r="AI137" s="45"/>
      <c r="AJ137" s="244"/>
      <c r="AK137" s="42"/>
      <c r="AL137" s="311"/>
      <c r="AM137" s="311"/>
      <c r="AN137" s="311"/>
      <c r="AO137" s="311"/>
      <c r="AP137" s="43"/>
      <c r="AQ137" s="42"/>
      <c r="AR137" s="46"/>
      <c r="AS137" s="46"/>
      <c r="AT137" s="46"/>
      <c r="AU137" s="46"/>
      <c r="AV137" s="46"/>
      <c r="AW137" s="46"/>
      <c r="AX137" s="105"/>
      <c r="AZ137" s="119"/>
      <c r="BA137" s="119"/>
      <c r="BB137" s="119"/>
      <c r="BC137" s="119"/>
      <c r="BD137" s="119"/>
      <c r="BE137" s="119"/>
      <c r="BF137" s="119"/>
      <c r="BG137" s="119"/>
      <c r="BH137" s="124"/>
      <c r="BI137" s="124"/>
      <c r="BK137" s="194"/>
      <c r="BL137" s="123"/>
      <c r="BM137" s="195"/>
      <c r="BN137" s="194"/>
      <c r="BO137" s="123"/>
      <c r="BP137" s="195"/>
      <c r="BQ137" s="194"/>
      <c r="BR137" s="123"/>
      <c r="BS137" s="195"/>
      <c r="BT137" s="194"/>
      <c r="BU137" s="123"/>
      <c r="BV137" s="195"/>
      <c r="BW137" s="194"/>
      <c r="BX137" s="123"/>
      <c r="BY137" s="195"/>
      <c r="BZ137" s="194"/>
      <c r="CA137" s="123"/>
      <c r="CB137" s="195"/>
      <c r="CC137" s="194"/>
      <c r="CD137" s="123"/>
      <c r="CE137" s="195"/>
      <c r="CF137" s="194"/>
      <c r="CG137" s="123"/>
      <c r="CH137" s="195"/>
      <c r="CI137" s="194"/>
      <c r="CJ137" s="123"/>
      <c r="CK137" s="195"/>
      <c r="CL137" s="194"/>
      <c r="CM137" s="123"/>
      <c r="CN137" s="195"/>
      <c r="CO137" s="194"/>
      <c r="CP137" s="123"/>
      <c r="CQ137" s="195"/>
      <c r="CR137" s="194"/>
      <c r="CS137" s="123"/>
      <c r="CT137" s="195"/>
      <c r="CU137" s="194"/>
      <c r="CV137" s="123"/>
      <c r="CW137" s="195"/>
      <c r="CX137" s="194"/>
      <c r="CY137" s="123"/>
      <c r="CZ137" s="195"/>
      <c r="DA137" s="194"/>
      <c r="DB137" s="123"/>
      <c r="DC137" s="195"/>
      <c r="DD137" s="194"/>
      <c r="DE137" s="123"/>
      <c r="DF137" s="195"/>
      <c r="DH137" s="311"/>
      <c r="DI137" s="311"/>
      <c r="DJ137" s="311"/>
      <c r="DK137" s="311"/>
      <c r="DL137" s="321"/>
      <c r="DM137" s="321"/>
      <c r="DN137" s="321"/>
      <c r="DO137" s="321"/>
      <c r="DP137" s="321"/>
      <c r="DQ137" s="321"/>
      <c r="DR137" s="321"/>
      <c r="DS137" s="321"/>
    </row>
    <row r="138" spans="1:123" ht="7.4" customHeight="1" x14ac:dyDescent="0.5">
      <c r="A138" s="42"/>
      <c r="B138" s="42"/>
      <c r="C138" s="333"/>
      <c r="D138" s="333"/>
      <c r="E138" s="41"/>
      <c r="F138" s="42"/>
      <c r="G138" s="56"/>
      <c r="H138" s="56"/>
      <c r="I138" s="56"/>
      <c r="J138" s="56"/>
      <c r="K138" s="56"/>
      <c r="L138" s="56"/>
      <c r="M138" s="56"/>
      <c r="N138" s="56"/>
      <c r="O138" s="56"/>
      <c r="P138" s="56"/>
      <c r="Q138" s="56"/>
      <c r="R138" s="126"/>
      <c r="S138" s="42"/>
      <c r="T138" s="45"/>
      <c r="U138" s="45"/>
      <c r="V138" s="45"/>
      <c r="W138" s="45"/>
      <c r="X138" s="45"/>
      <c r="Y138" s="45"/>
      <c r="Z138" s="45"/>
      <c r="AA138" s="45"/>
      <c r="AB138" s="45"/>
      <c r="AC138" s="45"/>
      <c r="AD138" s="45"/>
      <c r="AE138" s="45"/>
      <c r="AF138" s="45"/>
      <c r="AG138" s="45"/>
      <c r="AH138" s="45"/>
      <c r="AI138" s="45"/>
      <c r="AJ138" s="244"/>
      <c r="AK138" s="42"/>
      <c r="AL138" s="311"/>
      <c r="AM138" s="311"/>
      <c r="AN138" s="311"/>
      <c r="AO138" s="311"/>
      <c r="AP138" s="43"/>
      <c r="AQ138" s="42"/>
      <c r="AR138" s="46"/>
      <c r="AS138" s="46"/>
      <c r="AT138" s="46"/>
      <c r="AU138" s="46"/>
      <c r="AV138" s="46"/>
      <c r="AW138" s="46"/>
      <c r="AX138" s="105"/>
      <c r="AZ138" s="119"/>
      <c r="BA138" s="119"/>
      <c r="BB138" s="119"/>
      <c r="BC138" s="119"/>
      <c r="BD138" s="119"/>
      <c r="BE138" s="119"/>
      <c r="BF138" s="119"/>
      <c r="BG138" s="119"/>
      <c r="BH138" s="124"/>
      <c r="BI138" s="124"/>
      <c r="BK138" s="194"/>
      <c r="BL138" s="123"/>
      <c r="BM138" s="195"/>
      <c r="BN138" s="194"/>
      <c r="BO138" s="123"/>
      <c r="BP138" s="195"/>
      <c r="BQ138" s="194"/>
      <c r="BR138" s="123"/>
      <c r="BS138" s="195"/>
      <c r="BT138" s="194"/>
      <c r="BU138" s="123"/>
      <c r="BV138" s="195"/>
      <c r="BW138" s="194"/>
      <c r="BX138" s="123"/>
      <c r="BY138" s="195"/>
      <c r="BZ138" s="194"/>
      <c r="CA138" s="123"/>
      <c r="CB138" s="195"/>
      <c r="CC138" s="194"/>
      <c r="CD138" s="123"/>
      <c r="CE138" s="195"/>
      <c r="CF138" s="194"/>
      <c r="CG138" s="123"/>
      <c r="CH138" s="195"/>
      <c r="CI138" s="194"/>
      <c r="CJ138" s="123"/>
      <c r="CK138" s="195"/>
      <c r="CL138" s="194"/>
      <c r="CM138" s="123"/>
      <c r="CN138" s="195"/>
      <c r="CO138" s="194"/>
      <c r="CP138" s="123"/>
      <c r="CQ138" s="195"/>
      <c r="CR138" s="194"/>
      <c r="CS138" s="123"/>
      <c r="CT138" s="195"/>
      <c r="CU138" s="194"/>
      <c r="CV138" s="123"/>
      <c r="CW138" s="195"/>
      <c r="CX138" s="194"/>
      <c r="CY138" s="123"/>
      <c r="CZ138" s="195"/>
      <c r="DA138" s="194"/>
      <c r="DB138" s="123"/>
      <c r="DC138" s="195"/>
      <c r="DD138" s="194"/>
      <c r="DE138" s="123"/>
      <c r="DF138" s="195"/>
      <c r="DH138" s="311"/>
      <c r="DI138" s="311"/>
      <c r="DJ138" s="311"/>
      <c r="DK138" s="311"/>
      <c r="DL138" s="321"/>
      <c r="DM138" s="321"/>
      <c r="DN138" s="321"/>
      <c r="DO138" s="321"/>
      <c r="DP138" s="321"/>
      <c r="DQ138" s="321"/>
      <c r="DR138" s="321"/>
      <c r="DS138" s="321"/>
    </row>
    <row r="139" spans="1:123" ht="7.4" customHeight="1" x14ac:dyDescent="0.5">
      <c r="A139" s="42"/>
      <c r="B139" s="42"/>
      <c r="C139" s="311">
        <f>C135+1</f>
        <v>6</v>
      </c>
      <c r="D139" s="311"/>
      <c r="E139" s="41"/>
      <c r="F139" s="42"/>
      <c r="G139" s="319" t="str">
        <f>IF($AO$35="Rail Clip","AXE_CP_RM_AL",
"AXE_BR_" &amp;
IF(OR($AO$35="Corrugated (L-bracket)",$AO$35="IBR (L-bracket)"),
    IF(N86="Included","L_R_AA","L_R_AL"),
IF($AO$35="Corrugated",
    IF(N86="Included","COR_RD_AA","COR_RD_AL"),
IF(OR($AO$35="Corrugated (Rib Surface)",$AO$35="IBR (Rib Surface)"),
    IF(N86="Included","RS_RD_AA","RS_RD_AL"),
IF(OR($AO$35="Corrugated (Ridge)",$AO$35="IBR (Ridge)"),
    IF(N86="Included","RF_RD_AA","RF_RD_AL"),
IF($AO$35="Flat Surface",
    IF(N86="Included","L_S_AA","L_S_AL"),
IF($AO$35="IBR",
    IF(N86="Included","IBR_RD_AA","IBR_RD_AL"),
IF(OR($AO$35="Brownbuilt",$AO$35="Dimondek"),
    IF(N86="Included","GL_RD_AA","GL_RD_AL"),
IF($AO$35="Springlok",
    IF(N86="Included","SL_RD_AA","SL_RD_AL"),
IF(OR($AO$35="Klip-Lok",$AO$35="ProLok",$AO$35="Saflok"),
    IF(N86="Included","FL_RD_AA","FL_RD_AL"),
IF(OR($AO$35="Brownbuilt (Pinch)",$AO$35="Dimondek (Pinch)"),
    IF(N86="Included","PF_RD_AA","PF_RD_AL"),
IF($AO$35="Craft-Lock",
    IF(N86="Included","CL_RD_AA","CL_RD_AL"),
IF($AO$35="Novotexi",
    IF(N86="Included","NT_RD_AA","NT_RD_AL"),
IF($AO$35="Novotexi (MacSteel)",
    IF(N86="Included","L_S_AA","L_S_AL"),
IF(OR($AO$35="Dimondek (Stand Rib)",$AO$35="Zip-Tek"),
    IF(N86="Included","SR_RD_AA","SR_RD_AL"),
IF($AO$35="Metal Purlin (HB)","HB_RD_M_AL",
IF($AO$35="Metal Purlin (HB Vrtical)","HB_V_M_AL",
IF($AO$35="Wood Purlin (HB)","HB_RD_W_AL",
IF($AO$35="Wood Purlin (HB Vrtical)","HB_V_W_AL",
IF(OR($AO$35="Tile Eco SH",$AO$35="Tile Eco SH Lnd"),"TH_V_E_SH",
IF(OR($AO$35="Tile Sweep SH",$AO$35="Tile Sweep SH Lnd"),"TH_V_S_SH",
IF(OR($AO$35="Tile Eco SS",$AO$35="Tile Eco SS Lnd"),"TH_V_E_SS",
IF(OR($AO$35="Tile Sweep SS",$AO$35="Tile Sweep SS Lnd"),"TH_V_S_SS",
"N/A")))))))))))))))))))))))</f>
        <v>AXE_BR_IBR_RD_AL</v>
      </c>
      <c r="H139" s="319"/>
      <c r="I139" s="319"/>
      <c r="J139" s="319"/>
      <c r="K139" s="319"/>
      <c r="L139" s="319"/>
      <c r="M139" s="319"/>
      <c r="N139" s="319"/>
      <c r="O139" s="319"/>
      <c r="P139" s="319"/>
      <c r="Q139" s="319"/>
      <c r="R139" s="320"/>
      <c r="S139" s="42"/>
      <c r="T139" s="521" t="str">
        <f>VLOOKUP(G139,PL!$B$9:$BH$1265,14,FALSE)</f>
        <v xml:space="preserve">IBR Bracket </v>
      </c>
      <c r="U139" s="521"/>
      <c r="V139" s="521"/>
      <c r="W139" s="521"/>
      <c r="X139" s="521"/>
      <c r="Y139" s="521"/>
      <c r="Z139" s="521"/>
      <c r="AA139" s="521"/>
      <c r="AB139" s="521"/>
      <c r="AC139" s="521"/>
      <c r="AD139" s="521"/>
      <c r="AE139" s="521"/>
      <c r="AF139" s="521"/>
      <c r="AG139" s="521"/>
      <c r="AH139" s="521"/>
      <c r="AI139" s="521"/>
      <c r="AJ139" s="522"/>
      <c r="AK139" s="42"/>
      <c r="AL139" s="311">
        <f>ROUND(SUM(BK139:DF139)*(1+$BF$74),0)</f>
        <v>408</v>
      </c>
      <c r="AM139" s="311"/>
      <c r="AN139" s="311"/>
      <c r="AO139" s="311"/>
      <c r="AP139" s="43"/>
      <c r="AQ139" s="111"/>
      <c r="AR139" s="308" t="str">
        <f>VLOOKUP(G139,PL!$B$9:$BH$818,52,FALSE)</f>
        <v>SOL-5901</v>
      </c>
      <c r="AS139" s="309"/>
      <c r="AT139" s="309"/>
      <c r="AU139" s="309"/>
      <c r="AV139" s="309"/>
      <c r="AW139" s="309"/>
      <c r="AX139" s="309"/>
      <c r="AY139" s="309"/>
      <c r="AZ139" s="309"/>
      <c r="BA139" s="309"/>
      <c r="BB139" s="309"/>
      <c r="BC139" s="309"/>
      <c r="BD139" s="309"/>
      <c r="BE139" s="309"/>
      <c r="BF139" s="309"/>
      <c r="BG139" s="309"/>
      <c r="BH139" s="124"/>
      <c r="BI139" s="124"/>
      <c r="BK139" s="412">
        <f>(ROUNDUP(($AE$45*M58+20*(M58-1)+$N$78*2-2*$N$82)/$AX$35,0)+1)*2*M54</f>
        <v>400</v>
      </c>
      <c r="BL139" s="413"/>
      <c r="BM139" s="414"/>
      <c r="BN139" s="412">
        <f>(ROUNDUP(($AE$45*P58+20*(P58-1)+$N$78*2-2*$N$82)/$AX$35,0)+1)*2*P54</f>
        <v>0</v>
      </c>
      <c r="BO139" s="413"/>
      <c r="BP139" s="414"/>
      <c r="BQ139" s="412">
        <f>(ROUNDUP(($AE$45*S58+20*(S58-1)+$N$78*2-2*$N$82)/$AX$35,0)+1)*2*S54</f>
        <v>0</v>
      </c>
      <c r="BR139" s="413"/>
      <c r="BS139" s="414"/>
      <c r="BT139" s="412">
        <f>(ROUNDUP(($AE$45*V58+20*(V58-1)+$N$78*2-2*$N$82)/$AX$35,0)+1)*2*V54</f>
        <v>0</v>
      </c>
      <c r="BU139" s="413"/>
      <c r="BV139" s="414"/>
      <c r="BW139" s="412">
        <f>(ROUNDUP(($AE$45*Y58+20*(Y58-1)+$N$78*2-2*$N$82)/$AX$35,0)+1)*2*Y54</f>
        <v>0</v>
      </c>
      <c r="BX139" s="413"/>
      <c r="BY139" s="414"/>
      <c r="BZ139" s="412">
        <f>(ROUNDUP(($AE$45*AB58+20*(AB58-1)+$N$78*2-2*$N$82)/$AX$35,0)+1)*2*AB54</f>
        <v>0</v>
      </c>
      <c r="CA139" s="413"/>
      <c r="CB139" s="414"/>
      <c r="CC139" s="412">
        <f>(ROUNDUP(($AE$45*AE58+20*(AE58-1)+$N$78*2-2*$N$82)/$AX$35,0)+1)*2*AE54</f>
        <v>0</v>
      </c>
      <c r="CD139" s="413"/>
      <c r="CE139" s="414"/>
      <c r="CF139" s="412">
        <f>(ROUNDUP(($AE$45*AH58+20*(AH58-1)+$N$78*2-2*$N$82)/$AX$35,0)+1)*2*AH54</f>
        <v>0</v>
      </c>
      <c r="CG139" s="413"/>
      <c r="CH139" s="414"/>
      <c r="CI139" s="412">
        <f>(ROUNDUP(($AE$45*AK58+20*(AK58-1)+$N$78*2-2*$N$82)/$AX$35,0)+1)*2*AK54</f>
        <v>0</v>
      </c>
      <c r="CJ139" s="413"/>
      <c r="CK139" s="414"/>
      <c r="CL139" s="412">
        <f>(ROUNDUP(($AE$45*AN58+20*(AN58-1)+$N$78*2-2*$N$82)/$AX$35,0)+1)*2*AN54</f>
        <v>0</v>
      </c>
      <c r="CM139" s="413"/>
      <c r="CN139" s="414"/>
      <c r="CO139" s="412">
        <f>(ROUNDUP(($AE$45*AQ58+20*(AQ58-1)+$N$78*2-2*$N$82)/$AX$35,0)+1)*2*AQ54</f>
        <v>0</v>
      </c>
      <c r="CP139" s="413"/>
      <c r="CQ139" s="414"/>
      <c r="CR139" s="412">
        <f>(ROUNDUP(($AE$45*AT58+20*(AT58-1)+$N$78*2-2*$N$82)/$AX$35,0)+1)*2*AT54</f>
        <v>0</v>
      </c>
      <c r="CS139" s="413"/>
      <c r="CT139" s="414"/>
      <c r="CU139" s="412">
        <f>(ROUNDUP(($AE$45*AW58+20*(AW58-1)+$N$78*2-2*$N$82)/$AX$35,0)+1)*2*AW54</f>
        <v>0</v>
      </c>
      <c r="CV139" s="413"/>
      <c r="CW139" s="414"/>
      <c r="CX139" s="412">
        <f>(ROUNDUP(($AE$45*AZ58+20*(AZ58-1)+$N$78*2-2*$N$82)/$AX$35,0)+1)*2*AZ54</f>
        <v>0</v>
      </c>
      <c r="CY139" s="413"/>
      <c r="CZ139" s="414"/>
      <c r="DA139" s="412">
        <f>(ROUNDUP(($AE$45*BC58+20*(BC58-1)+$N$78*2-2*$N$82)/$AX$35,0)+1)*2*BC54</f>
        <v>0</v>
      </c>
      <c r="DB139" s="413"/>
      <c r="DC139" s="414"/>
      <c r="DD139" s="412">
        <f>(ROUNDUP(($AE$45*BF58+20*(BF58-1)+$N$78*2-2*$N$82)/$AX$35,0)+1)*2*BF54</f>
        <v>0</v>
      </c>
      <c r="DE139" s="413"/>
      <c r="DF139" s="414"/>
      <c r="DH139" s="311"/>
      <c r="DI139" s="311"/>
      <c r="DJ139" s="311"/>
      <c r="DK139" s="311"/>
      <c r="DL139" s="321"/>
      <c r="DM139" s="321"/>
      <c r="DN139" s="321"/>
      <c r="DO139" s="321"/>
      <c r="DP139" s="321"/>
      <c r="DQ139" s="321"/>
      <c r="DR139" s="321"/>
      <c r="DS139" s="321"/>
    </row>
    <row r="140" spans="1:123" ht="7.4" customHeight="1" x14ac:dyDescent="0.5">
      <c r="A140" s="42"/>
      <c r="B140" s="42"/>
      <c r="C140" s="311"/>
      <c r="D140" s="311"/>
      <c r="E140" s="41"/>
      <c r="F140" s="42"/>
      <c r="G140" s="319"/>
      <c r="H140" s="319"/>
      <c r="I140" s="319"/>
      <c r="J140" s="319"/>
      <c r="K140" s="319"/>
      <c r="L140" s="319"/>
      <c r="M140" s="319"/>
      <c r="N140" s="319"/>
      <c r="O140" s="319"/>
      <c r="P140" s="319"/>
      <c r="Q140" s="319"/>
      <c r="R140" s="320"/>
      <c r="S140" s="42"/>
      <c r="T140" s="521"/>
      <c r="U140" s="521"/>
      <c r="V140" s="521"/>
      <c r="W140" s="521"/>
      <c r="X140" s="521"/>
      <c r="Y140" s="521"/>
      <c r="Z140" s="521"/>
      <c r="AA140" s="521"/>
      <c r="AB140" s="521"/>
      <c r="AC140" s="521"/>
      <c r="AD140" s="521"/>
      <c r="AE140" s="521"/>
      <c r="AF140" s="521"/>
      <c r="AG140" s="521"/>
      <c r="AH140" s="521"/>
      <c r="AI140" s="521"/>
      <c r="AJ140" s="522"/>
      <c r="AK140" s="42"/>
      <c r="AL140" s="311"/>
      <c r="AM140" s="311"/>
      <c r="AN140" s="311"/>
      <c r="AO140" s="311"/>
      <c r="AP140" s="43"/>
      <c r="AQ140" s="111"/>
      <c r="AR140" s="309"/>
      <c r="AS140" s="309"/>
      <c r="AT140" s="309"/>
      <c r="AU140" s="309"/>
      <c r="AV140" s="309"/>
      <c r="AW140" s="309"/>
      <c r="AX140" s="309"/>
      <c r="AY140" s="309"/>
      <c r="AZ140" s="309"/>
      <c r="BA140" s="309"/>
      <c r="BB140" s="309"/>
      <c r="BC140" s="309"/>
      <c r="BD140" s="309"/>
      <c r="BE140" s="309"/>
      <c r="BF140" s="309"/>
      <c r="BG140" s="309"/>
      <c r="BH140" s="124"/>
      <c r="BI140" s="124"/>
      <c r="BK140" s="412"/>
      <c r="BL140" s="413"/>
      <c r="BM140" s="414"/>
      <c r="BN140" s="412"/>
      <c r="BO140" s="413"/>
      <c r="BP140" s="414"/>
      <c r="BQ140" s="412"/>
      <c r="BR140" s="413"/>
      <c r="BS140" s="414"/>
      <c r="BT140" s="412"/>
      <c r="BU140" s="413"/>
      <c r="BV140" s="414"/>
      <c r="BW140" s="412"/>
      <c r="BX140" s="413"/>
      <c r="BY140" s="414"/>
      <c r="BZ140" s="412"/>
      <c r="CA140" s="413"/>
      <c r="CB140" s="414"/>
      <c r="CC140" s="412"/>
      <c r="CD140" s="413"/>
      <c r="CE140" s="414"/>
      <c r="CF140" s="412"/>
      <c r="CG140" s="413"/>
      <c r="CH140" s="414"/>
      <c r="CI140" s="412"/>
      <c r="CJ140" s="413"/>
      <c r="CK140" s="414"/>
      <c r="CL140" s="412"/>
      <c r="CM140" s="413"/>
      <c r="CN140" s="414"/>
      <c r="CO140" s="412"/>
      <c r="CP140" s="413"/>
      <c r="CQ140" s="414"/>
      <c r="CR140" s="412"/>
      <c r="CS140" s="413"/>
      <c r="CT140" s="414"/>
      <c r="CU140" s="412"/>
      <c r="CV140" s="413"/>
      <c r="CW140" s="414"/>
      <c r="CX140" s="412"/>
      <c r="CY140" s="413"/>
      <c r="CZ140" s="414"/>
      <c r="DA140" s="412"/>
      <c r="DB140" s="413"/>
      <c r="DC140" s="414"/>
      <c r="DD140" s="412"/>
      <c r="DE140" s="413"/>
      <c r="DF140" s="414"/>
      <c r="DH140" s="311"/>
      <c r="DI140" s="311"/>
      <c r="DJ140" s="311"/>
      <c r="DK140" s="311"/>
      <c r="DL140" s="321"/>
      <c r="DM140" s="321"/>
      <c r="DN140" s="321"/>
      <c r="DO140" s="321"/>
      <c r="DP140" s="321"/>
      <c r="DQ140" s="321"/>
      <c r="DR140" s="321"/>
      <c r="DS140" s="321"/>
    </row>
    <row r="141" spans="1:123" ht="7.4" customHeight="1" x14ac:dyDescent="0.5">
      <c r="A141" s="42"/>
      <c r="B141" s="42"/>
      <c r="C141" s="333"/>
      <c r="D141" s="333"/>
      <c r="E141" s="41"/>
      <c r="F141" s="42"/>
      <c r="G141" s="56"/>
      <c r="H141" s="56"/>
      <c r="I141" s="56"/>
      <c r="J141" s="56"/>
      <c r="K141" s="56"/>
      <c r="L141" s="56"/>
      <c r="M141" s="56"/>
      <c r="N141" s="56"/>
      <c r="O141" s="56"/>
      <c r="P141" s="56"/>
      <c r="Q141" s="56"/>
      <c r="R141" s="126"/>
      <c r="S141" s="42"/>
      <c r="T141" s="257" t="str">
        <f>VLOOKUP(G139,PL!$B$9:$BH$1265,33,FALSE)</f>
        <v>Aluminium, Railed</v>
      </c>
      <c r="U141" s="45"/>
      <c r="V141" s="45"/>
      <c r="W141" s="45"/>
      <c r="X141" s="45"/>
      <c r="Y141" s="45"/>
      <c r="Z141" s="45"/>
      <c r="AA141" s="45"/>
      <c r="AB141" s="45"/>
      <c r="AC141" s="45"/>
      <c r="AD141" s="45"/>
      <c r="AE141" s="45"/>
      <c r="AF141" s="45"/>
      <c r="AG141" s="45"/>
      <c r="AH141" s="45"/>
      <c r="AI141" s="45"/>
      <c r="AJ141" s="244"/>
      <c r="AK141" s="42"/>
      <c r="AL141" s="311"/>
      <c r="AM141" s="311"/>
      <c r="AN141" s="311"/>
      <c r="AO141" s="311"/>
      <c r="AP141" s="43"/>
      <c r="AQ141" s="42"/>
      <c r="AR141" s="46"/>
      <c r="AS141" s="46"/>
      <c r="AT141" s="46"/>
      <c r="AU141" s="46"/>
      <c r="AV141" s="46"/>
      <c r="AW141" s="46"/>
      <c r="AX141" s="105"/>
      <c r="AZ141" s="119"/>
      <c r="BA141" s="119"/>
      <c r="BB141" s="119"/>
      <c r="BC141" s="119"/>
      <c r="BD141" s="119"/>
      <c r="BE141" s="119"/>
      <c r="BF141" s="119"/>
      <c r="BG141" s="119"/>
      <c r="BH141" s="124"/>
      <c r="BI141" s="124"/>
      <c r="BK141" s="194"/>
      <c r="BL141" s="123"/>
      <c r="BM141" s="195"/>
      <c r="BN141" s="194"/>
      <c r="BO141" s="123"/>
      <c r="BP141" s="195"/>
      <c r="BQ141" s="194"/>
      <c r="BR141" s="123"/>
      <c r="BS141" s="195"/>
      <c r="BT141" s="194"/>
      <c r="BU141" s="123"/>
      <c r="BV141" s="195"/>
      <c r="BW141" s="194"/>
      <c r="BX141" s="123"/>
      <c r="BY141" s="195"/>
      <c r="BZ141" s="194"/>
      <c r="CA141" s="123"/>
      <c r="CB141" s="195"/>
      <c r="CC141" s="194"/>
      <c r="CD141" s="123"/>
      <c r="CE141" s="195"/>
      <c r="CF141" s="194"/>
      <c r="CG141" s="123"/>
      <c r="CH141" s="195"/>
      <c r="CI141" s="194"/>
      <c r="CJ141" s="123"/>
      <c r="CK141" s="195"/>
      <c r="CL141" s="194"/>
      <c r="CM141" s="123"/>
      <c r="CN141" s="195"/>
      <c r="CO141" s="194"/>
      <c r="CP141" s="123"/>
      <c r="CQ141" s="195"/>
      <c r="CR141" s="194"/>
      <c r="CS141" s="123"/>
      <c r="CT141" s="195"/>
      <c r="CU141" s="194"/>
      <c r="CV141" s="123"/>
      <c r="CW141" s="195"/>
      <c r="CX141" s="194"/>
      <c r="CY141" s="123"/>
      <c r="CZ141" s="195"/>
      <c r="DA141" s="194"/>
      <c r="DB141" s="123"/>
      <c r="DC141" s="195"/>
      <c r="DD141" s="194"/>
      <c r="DE141" s="123"/>
      <c r="DF141" s="195"/>
      <c r="DH141" s="311"/>
      <c r="DI141" s="311"/>
      <c r="DJ141" s="311"/>
      <c r="DK141" s="311"/>
      <c r="DL141" s="321"/>
      <c r="DM141" s="321"/>
      <c r="DN141" s="321"/>
      <c r="DO141" s="321"/>
      <c r="DP141" s="321"/>
      <c r="DQ141" s="321"/>
      <c r="DR141" s="321"/>
      <c r="DS141" s="321"/>
    </row>
    <row r="142" spans="1:123" ht="7.4" customHeight="1" x14ac:dyDescent="0.5">
      <c r="A142" s="42"/>
      <c r="B142" s="42"/>
      <c r="C142" s="55"/>
      <c r="D142" s="55"/>
      <c r="E142" s="41"/>
      <c r="F142" s="42"/>
      <c r="G142" s="56"/>
      <c r="H142" s="56"/>
      <c r="I142" s="56"/>
      <c r="J142" s="56"/>
      <c r="K142" s="56"/>
      <c r="L142" s="56"/>
      <c r="M142" s="56"/>
      <c r="N142" s="56"/>
      <c r="O142" s="56"/>
      <c r="P142" s="56"/>
      <c r="Q142" s="56"/>
      <c r="R142" s="126"/>
      <c r="S142" s="42"/>
      <c r="T142" s="45"/>
      <c r="U142" s="45"/>
      <c r="V142" s="45"/>
      <c r="W142" s="45"/>
      <c r="X142" s="45"/>
      <c r="Y142" s="45"/>
      <c r="Z142" s="45"/>
      <c r="AA142" s="45"/>
      <c r="AB142" s="45"/>
      <c r="AC142" s="45"/>
      <c r="AD142" s="45"/>
      <c r="AE142" s="45"/>
      <c r="AF142" s="45"/>
      <c r="AG142" s="45"/>
      <c r="AH142" s="45"/>
      <c r="AI142" s="45"/>
      <c r="AJ142" s="244"/>
      <c r="AK142" s="42"/>
      <c r="AL142" s="311"/>
      <c r="AM142" s="311"/>
      <c r="AN142" s="311"/>
      <c r="AO142" s="311"/>
      <c r="AP142" s="43"/>
      <c r="AQ142" s="42"/>
      <c r="AR142" s="46"/>
      <c r="AS142" s="46"/>
      <c r="AT142" s="46"/>
      <c r="AU142" s="46"/>
      <c r="AV142" s="46"/>
      <c r="AW142" s="46"/>
      <c r="AX142" s="105"/>
      <c r="AZ142" s="119"/>
      <c r="BA142" s="119"/>
      <c r="BB142" s="119"/>
      <c r="BC142" s="119"/>
      <c r="BD142" s="119"/>
      <c r="BE142" s="119"/>
      <c r="BF142" s="119"/>
      <c r="BG142" s="119"/>
      <c r="BH142" s="124"/>
      <c r="BI142" s="124"/>
      <c r="BK142" s="194"/>
      <c r="BL142" s="123"/>
      <c r="BM142" s="195"/>
      <c r="BN142" s="194"/>
      <c r="BO142" s="123"/>
      <c r="BP142" s="195"/>
      <c r="BQ142" s="194"/>
      <c r="BR142" s="123"/>
      <c r="BS142" s="195"/>
      <c r="BT142" s="194"/>
      <c r="BU142" s="123"/>
      <c r="BV142" s="195"/>
      <c r="BW142" s="194"/>
      <c r="BX142" s="123"/>
      <c r="BY142" s="195"/>
      <c r="BZ142" s="194"/>
      <c r="CA142" s="123"/>
      <c r="CB142" s="195"/>
      <c r="CC142" s="194"/>
      <c r="CD142" s="123"/>
      <c r="CE142" s="195"/>
      <c r="CF142" s="194"/>
      <c r="CG142" s="123"/>
      <c r="CH142" s="195"/>
      <c r="CI142" s="194"/>
      <c r="CJ142" s="123"/>
      <c r="CK142" s="195"/>
      <c r="CL142" s="194"/>
      <c r="CM142" s="123"/>
      <c r="CN142" s="195"/>
      <c r="CO142" s="194"/>
      <c r="CP142" s="123"/>
      <c r="CQ142" s="195"/>
      <c r="CR142" s="194"/>
      <c r="CS142" s="123"/>
      <c r="CT142" s="195"/>
      <c r="CU142" s="194"/>
      <c r="CV142" s="123"/>
      <c r="CW142" s="195"/>
      <c r="CX142" s="194"/>
      <c r="CY142" s="123"/>
      <c r="CZ142" s="195"/>
      <c r="DA142" s="194"/>
      <c r="DB142" s="123"/>
      <c r="DC142" s="195"/>
      <c r="DD142" s="194"/>
      <c r="DE142" s="123"/>
      <c r="DF142" s="195"/>
      <c r="DL142" s="105"/>
      <c r="DM142" s="105"/>
      <c r="DN142" s="105"/>
      <c r="DO142" s="105"/>
      <c r="DP142" s="105"/>
      <c r="DQ142" s="105"/>
      <c r="DR142" s="105"/>
      <c r="DS142" s="105"/>
    </row>
    <row r="143" spans="1:123" ht="7.4" customHeight="1" x14ac:dyDescent="0.5">
      <c r="A143" s="42"/>
      <c r="B143" s="42"/>
      <c r="C143" s="311">
        <f>C139+1</f>
        <v>7</v>
      </c>
      <c r="D143" s="311"/>
      <c r="E143" s="41"/>
      <c r="F143" s="42"/>
      <c r="G143" s="319" t="str">
        <f>IF(AL143=0,"N/A",IF($AO$35="Novotexi (MacSteel)","Novotexi_Single","AXE_BR_L_F_AL"))</f>
        <v>N/A</v>
      </c>
      <c r="H143" s="319"/>
      <c r="I143" s="319"/>
      <c r="J143" s="319"/>
      <c r="K143" s="319"/>
      <c r="L143" s="319"/>
      <c r="M143" s="319"/>
      <c r="N143" s="319"/>
      <c r="O143" s="319"/>
      <c r="P143" s="319"/>
      <c r="Q143" s="319"/>
      <c r="R143" s="320"/>
      <c r="S143" s="42"/>
      <c r="T143" s="521" t="str">
        <f>VLOOKUP(G143,PL!$B$9:$BH$1265,14,FALSE)</f>
        <v>No Item</v>
      </c>
      <c r="U143" s="521"/>
      <c r="V143" s="521"/>
      <c r="W143" s="521"/>
      <c r="X143" s="521"/>
      <c r="Y143" s="521"/>
      <c r="Z143" s="521"/>
      <c r="AA143" s="521"/>
      <c r="AB143" s="521"/>
      <c r="AC143" s="521"/>
      <c r="AD143" s="521"/>
      <c r="AE143" s="521"/>
      <c r="AF143" s="521"/>
      <c r="AG143" s="521"/>
      <c r="AH143" s="521"/>
      <c r="AI143" s="521"/>
      <c r="AJ143" s="522"/>
      <c r="AK143" s="42"/>
      <c r="AL143" s="311">
        <f>ROUND(SUM(BK143:DF143)*(1+$BF$74),0)</f>
        <v>0</v>
      </c>
      <c r="AM143" s="311"/>
      <c r="AN143" s="311"/>
      <c r="AO143" s="311"/>
      <c r="AP143" s="43"/>
      <c r="AQ143" s="111"/>
      <c r="AR143" s="308" t="str">
        <f>VLOOKUP(G143,PL!$B$9:$BH$818,52,FALSE)</f>
        <v>-</v>
      </c>
      <c r="AS143" s="309"/>
      <c r="AT143" s="309"/>
      <c r="AU143" s="309"/>
      <c r="AV143" s="309"/>
      <c r="AW143" s="309"/>
      <c r="AX143" s="309"/>
      <c r="AY143" s="309"/>
      <c r="AZ143" s="309"/>
      <c r="BA143" s="309"/>
      <c r="BB143" s="309"/>
      <c r="BC143" s="309"/>
      <c r="BD143" s="309"/>
      <c r="BE143" s="309"/>
      <c r="BF143" s="309"/>
      <c r="BG143" s="309"/>
      <c r="BH143" s="124"/>
      <c r="BI143" s="124"/>
      <c r="BK143" s="412">
        <f>IF(OR($AO$35="Tile Eco SH Lnd",$AO$35="Tile Sweep SH Lnd",$AO$35="Tile Eco SS Lnd",$AO$35="Tile Sweep SS Lnd",$AO$35="Novotexi (MacSteel)"),BK139,0)</f>
        <v>0</v>
      </c>
      <c r="BL143" s="413"/>
      <c r="BM143" s="414"/>
      <c r="BN143" s="412">
        <f>IF(OR($AO$35="Tile Eco SH Lnd",$AO$35="Tile Sweep SH Lnd",$AO$35="Tile Eco SS Lnd",$AO$35="Tile Sweep SS Lnd",$AO$35="Novotexi (MacSteel)"),BN139,0)</f>
        <v>0</v>
      </c>
      <c r="BO143" s="413"/>
      <c r="BP143" s="414"/>
      <c r="BQ143" s="412">
        <f>IF(OR($AO$35="Tile Eco SH Lnd",$AO$35="Tile Sweep SH Lnd",$AO$35="Tile Eco SS Lnd",$AO$35="Tile Sweep SS Lnd",$AO$35="Novotexi (MacSteel)"),BQ139,0)</f>
        <v>0</v>
      </c>
      <c r="BR143" s="413"/>
      <c r="BS143" s="414"/>
      <c r="BT143" s="412">
        <f>IF(OR($AO$35="Tile Eco SH Lnd",$AO$35="Tile Sweep SH Lnd",$AO$35="Tile Eco SS Lnd",$AO$35="Tile Sweep SS Lnd",$AO$35="Novotexi (MacSteel)"),BT139,0)</f>
        <v>0</v>
      </c>
      <c r="BU143" s="413"/>
      <c r="BV143" s="414"/>
      <c r="BW143" s="412">
        <f>IF(OR($AO$35="Tile Eco SH Lnd",$AO$35="Tile Sweep SH Lnd",$AO$35="Tile Eco SS Lnd",$AO$35="Tile Sweep SS Lnd",$AO$35="Novotexi (MacSteel)"),BW139,0)</f>
        <v>0</v>
      </c>
      <c r="BX143" s="413"/>
      <c r="BY143" s="414"/>
      <c r="BZ143" s="412">
        <f>IF(OR($AO$35="Tile Eco SH Lnd",$AO$35="Tile Sweep SH Lnd",$AO$35="Tile Eco SS Lnd",$AO$35="Tile Sweep SS Lnd",$AO$35="Novotexi (MacSteel)"),BZ139,0)</f>
        <v>0</v>
      </c>
      <c r="CA143" s="413"/>
      <c r="CB143" s="414"/>
      <c r="CC143" s="412">
        <f>IF(OR($AO$35="Tile Eco SH Lnd",$AO$35="Tile Sweep SH Lnd",$AO$35="Tile Eco SS Lnd",$AO$35="Tile Sweep SS Lnd",$AO$35="Novotexi (MacSteel)"),CC139,0)</f>
        <v>0</v>
      </c>
      <c r="CD143" s="413"/>
      <c r="CE143" s="414"/>
      <c r="CF143" s="412">
        <f>IF(OR($AO$35="Tile Eco SH Lnd",$AO$35="Tile Sweep SH Lnd",$AO$35="Tile Eco SS Lnd",$AO$35="Tile Sweep SS Lnd",$AO$35="Novotexi (MacSteel)"),CF139,0)</f>
        <v>0</v>
      </c>
      <c r="CG143" s="413"/>
      <c r="CH143" s="414"/>
      <c r="CI143" s="412">
        <f>IF(OR($AO$35="Tile Eco SH Lnd",$AO$35="Tile Sweep SH Lnd",$AO$35="Tile Eco SS Lnd",$AO$35="Tile Sweep SS Lnd",$AO$35="Novotexi (MacSteel)"),CI139,0)</f>
        <v>0</v>
      </c>
      <c r="CJ143" s="413"/>
      <c r="CK143" s="414"/>
      <c r="CL143" s="412">
        <f>IF(OR($AO$35="Tile Eco SH Lnd",$AO$35="Tile Sweep SH Lnd",$AO$35="Tile Eco SS Lnd",$AO$35="Tile Sweep SS Lnd",$AO$35="Novotexi (MacSteel)"),CL139,0)</f>
        <v>0</v>
      </c>
      <c r="CM143" s="413"/>
      <c r="CN143" s="414"/>
      <c r="CO143" s="412">
        <f>IF(OR($AO$35="Tile Eco SH Lnd",$AO$35="Tile Sweep SH Lnd",$AO$35="Tile Eco SS Lnd",$AO$35="Tile Sweep SS Lnd",$AO$35="Novotexi (MacSteel)"),CO139,0)</f>
        <v>0</v>
      </c>
      <c r="CP143" s="413"/>
      <c r="CQ143" s="414"/>
      <c r="CR143" s="412">
        <f>IF(OR($AO$35="Tile Eco SH Lnd",$AO$35="Tile Sweep SH Lnd",$AO$35="Tile Eco SS Lnd",$AO$35="Tile Sweep SS Lnd",$AO$35="Novotexi (MacSteel)"),CR139,0)</f>
        <v>0</v>
      </c>
      <c r="CS143" s="413"/>
      <c r="CT143" s="414"/>
      <c r="CU143" s="412">
        <f>IF(OR($AO$35="Tile Eco SH Lnd",$AO$35="Tile Sweep SH Lnd",$AO$35="Tile Eco SS Lnd",$AO$35="Tile Sweep SS Lnd",$AO$35="Novotexi (MacSteel)"),CU139,0)</f>
        <v>0</v>
      </c>
      <c r="CV143" s="413"/>
      <c r="CW143" s="414"/>
      <c r="CX143" s="412">
        <f>IF(OR($AO$35="Tile Eco SH Lnd",$AO$35="Tile Sweep SH Lnd",$AO$35="Tile Eco SS Lnd",$AO$35="Tile Sweep SS Lnd",$AO$35="Novotexi (MacSteel)"),CX139,0)</f>
        <v>0</v>
      </c>
      <c r="CY143" s="413"/>
      <c r="CZ143" s="414"/>
      <c r="DA143" s="412">
        <f>IF(OR($AO$35="Tile Eco SH Lnd",$AO$35="Tile Sweep SH Lnd",$AO$35="Tile Eco SS Lnd",$AO$35="Tile Sweep SS Lnd",$AO$35="Novotexi (MacSteel)"),DA139,0)</f>
        <v>0</v>
      </c>
      <c r="DB143" s="413"/>
      <c r="DC143" s="414"/>
      <c r="DD143" s="412">
        <f>IF(OR($AO$35="Tile Eco SH Lnd",$AO$35="Tile Sweep SH Lnd",$AO$35="Tile Eco SS Lnd",$AO$35="Tile Sweep SS Lnd",$AO$35="Novotexi (MacSteel)"),DD139,0)</f>
        <v>0</v>
      </c>
      <c r="DE143" s="413"/>
      <c r="DF143" s="414"/>
      <c r="DH143" s="311"/>
      <c r="DI143" s="311"/>
      <c r="DJ143" s="311"/>
      <c r="DK143" s="311"/>
      <c r="DL143" s="321"/>
      <c r="DM143" s="321"/>
      <c r="DN143" s="321"/>
      <c r="DO143" s="321"/>
      <c r="DP143" s="321"/>
      <c r="DQ143" s="321"/>
      <c r="DR143" s="321"/>
      <c r="DS143" s="321"/>
    </row>
    <row r="144" spans="1:123" ht="7.4" customHeight="1" x14ac:dyDescent="0.5">
      <c r="A144" s="42"/>
      <c r="B144" s="42"/>
      <c r="C144" s="311"/>
      <c r="D144" s="311"/>
      <c r="E144" s="41"/>
      <c r="F144" s="42"/>
      <c r="G144" s="319"/>
      <c r="H144" s="319"/>
      <c r="I144" s="319"/>
      <c r="J144" s="319"/>
      <c r="K144" s="319"/>
      <c r="L144" s="319"/>
      <c r="M144" s="319"/>
      <c r="N144" s="319"/>
      <c r="O144" s="319"/>
      <c r="P144" s="319"/>
      <c r="Q144" s="319"/>
      <c r="R144" s="320"/>
      <c r="S144" s="42"/>
      <c r="T144" s="521"/>
      <c r="U144" s="521"/>
      <c r="V144" s="521"/>
      <c r="W144" s="521"/>
      <c r="X144" s="521"/>
      <c r="Y144" s="521"/>
      <c r="Z144" s="521"/>
      <c r="AA144" s="521"/>
      <c r="AB144" s="521"/>
      <c r="AC144" s="521"/>
      <c r="AD144" s="521"/>
      <c r="AE144" s="521"/>
      <c r="AF144" s="521"/>
      <c r="AG144" s="521"/>
      <c r="AH144" s="521"/>
      <c r="AI144" s="521"/>
      <c r="AJ144" s="522"/>
      <c r="AK144" s="42"/>
      <c r="AL144" s="311"/>
      <c r="AM144" s="311"/>
      <c r="AN144" s="311"/>
      <c r="AO144" s="311"/>
      <c r="AP144" s="43"/>
      <c r="AQ144" s="111"/>
      <c r="AR144" s="309"/>
      <c r="AS144" s="309"/>
      <c r="AT144" s="309"/>
      <c r="AU144" s="309"/>
      <c r="AV144" s="309"/>
      <c r="AW144" s="309"/>
      <c r="AX144" s="309"/>
      <c r="AY144" s="309"/>
      <c r="AZ144" s="309"/>
      <c r="BA144" s="309"/>
      <c r="BB144" s="309"/>
      <c r="BC144" s="309"/>
      <c r="BD144" s="309"/>
      <c r="BE144" s="309"/>
      <c r="BF144" s="309"/>
      <c r="BG144" s="309"/>
      <c r="BH144" s="124"/>
      <c r="BI144" s="124"/>
      <c r="BK144" s="412"/>
      <c r="BL144" s="413"/>
      <c r="BM144" s="414"/>
      <c r="BN144" s="412"/>
      <c r="BO144" s="413"/>
      <c r="BP144" s="414"/>
      <c r="BQ144" s="412"/>
      <c r="BR144" s="413"/>
      <c r="BS144" s="414"/>
      <c r="BT144" s="412"/>
      <c r="BU144" s="413"/>
      <c r="BV144" s="414"/>
      <c r="BW144" s="412"/>
      <c r="BX144" s="413"/>
      <c r="BY144" s="414"/>
      <c r="BZ144" s="412"/>
      <c r="CA144" s="413"/>
      <c r="CB144" s="414"/>
      <c r="CC144" s="412"/>
      <c r="CD144" s="413"/>
      <c r="CE144" s="414"/>
      <c r="CF144" s="412"/>
      <c r="CG144" s="413"/>
      <c r="CH144" s="414"/>
      <c r="CI144" s="412"/>
      <c r="CJ144" s="413"/>
      <c r="CK144" s="414"/>
      <c r="CL144" s="412"/>
      <c r="CM144" s="413"/>
      <c r="CN144" s="414"/>
      <c r="CO144" s="412"/>
      <c r="CP144" s="413"/>
      <c r="CQ144" s="414"/>
      <c r="CR144" s="412"/>
      <c r="CS144" s="413"/>
      <c r="CT144" s="414"/>
      <c r="CU144" s="412"/>
      <c r="CV144" s="413"/>
      <c r="CW144" s="414"/>
      <c r="CX144" s="412"/>
      <c r="CY144" s="413"/>
      <c r="CZ144" s="414"/>
      <c r="DA144" s="412"/>
      <c r="DB144" s="413"/>
      <c r="DC144" s="414"/>
      <c r="DD144" s="412"/>
      <c r="DE144" s="413"/>
      <c r="DF144" s="414"/>
      <c r="DH144" s="311"/>
      <c r="DI144" s="311"/>
      <c r="DJ144" s="311"/>
      <c r="DK144" s="311"/>
      <c r="DL144" s="321"/>
      <c r="DM144" s="321"/>
      <c r="DN144" s="321"/>
      <c r="DO144" s="321"/>
      <c r="DP144" s="321"/>
      <c r="DQ144" s="321"/>
      <c r="DR144" s="321"/>
      <c r="DS144" s="321"/>
    </row>
    <row r="145" spans="1:123" ht="7.4" customHeight="1" x14ac:dyDescent="0.5">
      <c r="A145" s="42"/>
      <c r="B145" s="42"/>
      <c r="C145" s="333"/>
      <c r="D145" s="333"/>
      <c r="E145" s="41"/>
      <c r="F145" s="42"/>
      <c r="G145" s="258"/>
      <c r="H145" s="56"/>
      <c r="I145" s="56"/>
      <c r="J145" s="56"/>
      <c r="K145" s="56"/>
      <c r="L145" s="56"/>
      <c r="M145" s="56"/>
      <c r="N145" s="56"/>
      <c r="O145" s="56"/>
      <c r="P145" s="56"/>
      <c r="Q145" s="56"/>
      <c r="R145" s="126"/>
      <c r="S145" s="42"/>
      <c r="T145" s="116" t="str">
        <f>VLOOKUP(G143,PL!$B$9:$BH$1265,33,FALSE)</f>
        <v>.</v>
      </c>
      <c r="U145" s="45"/>
      <c r="V145" s="45"/>
      <c r="W145" s="45"/>
      <c r="X145" s="45"/>
      <c r="Y145" s="45"/>
      <c r="Z145" s="45"/>
      <c r="AA145" s="45"/>
      <c r="AB145" s="45"/>
      <c r="AC145" s="45"/>
      <c r="AD145" s="45"/>
      <c r="AE145" s="45"/>
      <c r="AF145" s="45"/>
      <c r="AG145" s="45"/>
      <c r="AH145" s="45"/>
      <c r="AI145" s="45"/>
      <c r="AJ145" s="244"/>
      <c r="AK145" s="42"/>
      <c r="AL145" s="311"/>
      <c r="AM145" s="311"/>
      <c r="AN145" s="311"/>
      <c r="AO145" s="311"/>
      <c r="AP145" s="43"/>
      <c r="AQ145" s="42"/>
      <c r="AR145" s="46"/>
      <c r="AS145" s="46"/>
      <c r="AT145" s="46"/>
      <c r="AU145" s="46"/>
      <c r="AV145" s="46"/>
      <c r="AW145" s="46"/>
      <c r="AX145" s="105"/>
      <c r="AZ145" s="119"/>
      <c r="BA145" s="119"/>
      <c r="BB145" s="119"/>
      <c r="BC145" s="119"/>
      <c r="BD145" s="119"/>
      <c r="BE145" s="119"/>
      <c r="BF145" s="119"/>
      <c r="BG145" s="119"/>
      <c r="BH145" s="124"/>
      <c r="BI145" s="124"/>
      <c r="BK145" s="194"/>
      <c r="BL145" s="123"/>
      <c r="BM145" s="195"/>
      <c r="BN145" s="194"/>
      <c r="BO145" s="123"/>
      <c r="BP145" s="195"/>
      <c r="BQ145" s="194"/>
      <c r="BR145" s="123"/>
      <c r="BS145" s="195"/>
      <c r="BT145" s="194"/>
      <c r="BU145" s="123"/>
      <c r="BV145" s="195"/>
      <c r="BW145" s="194"/>
      <c r="BX145" s="123"/>
      <c r="BY145" s="195"/>
      <c r="BZ145" s="194"/>
      <c r="CA145" s="123"/>
      <c r="CB145" s="195"/>
      <c r="CC145" s="194"/>
      <c r="CD145" s="123"/>
      <c r="CE145" s="195"/>
      <c r="CF145" s="194"/>
      <c r="CG145" s="123"/>
      <c r="CH145" s="195"/>
      <c r="CI145" s="194"/>
      <c r="CJ145" s="123"/>
      <c r="CK145" s="195"/>
      <c r="CL145" s="194"/>
      <c r="CM145" s="123"/>
      <c r="CN145" s="195"/>
      <c r="CO145" s="194"/>
      <c r="CP145" s="123"/>
      <c r="CQ145" s="195"/>
      <c r="CR145" s="194"/>
      <c r="CS145" s="123"/>
      <c r="CT145" s="195"/>
      <c r="CU145" s="194"/>
      <c r="CV145" s="123"/>
      <c r="CW145" s="195"/>
      <c r="CX145" s="194"/>
      <c r="CY145" s="123"/>
      <c r="CZ145" s="195"/>
      <c r="DA145" s="194"/>
      <c r="DB145" s="123"/>
      <c r="DC145" s="195"/>
      <c r="DD145" s="194"/>
      <c r="DE145" s="123"/>
      <c r="DF145" s="195"/>
      <c r="DH145" s="311"/>
      <c r="DI145" s="311"/>
      <c r="DJ145" s="311"/>
      <c r="DK145" s="311"/>
      <c r="DL145" s="321"/>
      <c r="DM145" s="321"/>
      <c r="DN145" s="321"/>
      <c r="DO145" s="321"/>
      <c r="DP145" s="321"/>
      <c r="DQ145" s="321"/>
      <c r="DR145" s="321"/>
      <c r="DS145" s="321"/>
    </row>
    <row r="146" spans="1:123" ht="7.4" customHeight="1" x14ac:dyDescent="0.5">
      <c r="A146" s="42"/>
      <c r="B146" s="42"/>
      <c r="C146" s="55"/>
      <c r="D146" s="55"/>
      <c r="E146" s="41"/>
      <c r="F146" s="42"/>
      <c r="G146" s="56"/>
      <c r="H146" s="56"/>
      <c r="I146" s="56"/>
      <c r="J146" s="56"/>
      <c r="K146" s="56"/>
      <c r="L146" s="56"/>
      <c r="M146" s="56"/>
      <c r="N146" s="56"/>
      <c r="O146" s="56"/>
      <c r="P146" s="56"/>
      <c r="Q146" s="56"/>
      <c r="R146" s="126"/>
      <c r="S146" s="42"/>
      <c r="T146" s="45"/>
      <c r="U146" s="45"/>
      <c r="V146" s="45"/>
      <c r="W146" s="45"/>
      <c r="X146" s="45"/>
      <c r="Y146" s="45"/>
      <c r="Z146" s="45"/>
      <c r="AA146" s="45"/>
      <c r="AB146" s="45"/>
      <c r="AC146" s="45"/>
      <c r="AD146" s="45"/>
      <c r="AE146" s="45"/>
      <c r="AF146" s="45"/>
      <c r="AG146" s="45"/>
      <c r="AH146" s="45"/>
      <c r="AI146" s="45"/>
      <c r="AJ146" s="244"/>
      <c r="AK146" s="42"/>
      <c r="AL146" s="311"/>
      <c r="AM146" s="311"/>
      <c r="AN146" s="311"/>
      <c r="AO146" s="311"/>
      <c r="AP146" s="43"/>
      <c r="AQ146" s="42"/>
      <c r="AR146" s="46"/>
      <c r="AS146" s="46"/>
      <c r="AT146" s="46"/>
      <c r="AU146" s="46"/>
      <c r="AV146" s="46"/>
      <c r="AW146" s="46"/>
      <c r="AX146" s="105"/>
      <c r="AZ146" s="119"/>
      <c r="BA146" s="119"/>
      <c r="BB146" s="119"/>
      <c r="BC146" s="119"/>
      <c r="BD146" s="119"/>
      <c r="BE146" s="119"/>
      <c r="BF146" s="119"/>
      <c r="BG146" s="119"/>
      <c r="BH146" s="124"/>
      <c r="BI146" s="124"/>
      <c r="BK146" s="194"/>
      <c r="BL146" s="123"/>
      <c r="BM146" s="195"/>
      <c r="BN146" s="194"/>
      <c r="BO146" s="123"/>
      <c r="BP146" s="195"/>
      <c r="BQ146" s="194"/>
      <c r="BR146" s="123"/>
      <c r="BS146" s="195"/>
      <c r="BT146" s="194"/>
      <c r="BU146" s="123"/>
      <c r="BV146" s="195"/>
      <c r="BW146" s="194"/>
      <c r="BX146" s="123"/>
      <c r="BY146" s="195"/>
      <c r="BZ146" s="194"/>
      <c r="CA146" s="123"/>
      <c r="CB146" s="195"/>
      <c r="CC146" s="194"/>
      <c r="CD146" s="123"/>
      <c r="CE146" s="195"/>
      <c r="CF146" s="194"/>
      <c r="CG146" s="123"/>
      <c r="CH146" s="195"/>
      <c r="CI146" s="194"/>
      <c r="CJ146" s="123"/>
      <c r="CK146" s="195"/>
      <c r="CL146" s="194"/>
      <c r="CM146" s="123"/>
      <c r="CN146" s="195"/>
      <c r="CO146" s="194"/>
      <c r="CP146" s="123"/>
      <c r="CQ146" s="195"/>
      <c r="CR146" s="194"/>
      <c r="CS146" s="123"/>
      <c r="CT146" s="195"/>
      <c r="CU146" s="194"/>
      <c r="CV146" s="123"/>
      <c r="CW146" s="195"/>
      <c r="CX146" s="194"/>
      <c r="CY146" s="123"/>
      <c r="CZ146" s="195"/>
      <c r="DA146" s="194"/>
      <c r="DB146" s="123"/>
      <c r="DC146" s="195"/>
      <c r="DD146" s="194"/>
      <c r="DE146" s="123"/>
      <c r="DF146" s="195"/>
      <c r="DL146" s="105"/>
      <c r="DM146" s="105"/>
      <c r="DN146" s="105"/>
      <c r="DO146" s="105"/>
      <c r="DP146" s="105"/>
      <c r="DQ146" s="105"/>
      <c r="DR146" s="105"/>
      <c r="DS146" s="105"/>
    </row>
    <row r="147" spans="1:123" ht="7.4" customHeight="1" x14ac:dyDescent="0.5">
      <c r="A147" s="42"/>
      <c r="B147" s="42"/>
      <c r="C147" s="311">
        <f>C143+1</f>
        <v>8</v>
      </c>
      <c r="D147" s="311"/>
      <c r="E147" s="41"/>
      <c r="F147" s="42"/>
      <c r="G147" s="319" t="str">
        <f>IF(AL147=0,"N/A","AXE_EC_40_30_AL")</f>
        <v>N/A</v>
      </c>
      <c r="H147" s="319"/>
      <c r="I147" s="319"/>
      <c r="J147" s="319"/>
      <c r="K147" s="319"/>
      <c r="L147" s="319"/>
      <c r="M147" s="319"/>
      <c r="N147" s="319"/>
      <c r="O147" s="319"/>
      <c r="P147" s="319"/>
      <c r="Q147" s="319"/>
      <c r="R147" s="320"/>
      <c r="S147" s="42"/>
      <c r="T147" s="521" t="str">
        <f>VLOOKUP(G147,PL!$B$9:$BH$1265,14,FALSE)</f>
        <v>No Item</v>
      </c>
      <c r="U147" s="521"/>
      <c r="V147" s="521"/>
      <c r="W147" s="521"/>
      <c r="X147" s="521"/>
      <c r="Y147" s="521"/>
      <c r="Z147" s="521"/>
      <c r="AA147" s="521"/>
      <c r="AB147" s="521"/>
      <c r="AC147" s="521"/>
      <c r="AD147" s="521"/>
      <c r="AE147" s="521"/>
      <c r="AF147" s="521"/>
      <c r="AG147" s="521"/>
      <c r="AH147" s="521"/>
      <c r="AI147" s="521"/>
      <c r="AJ147" s="522"/>
      <c r="AK147" s="42"/>
      <c r="AL147" s="311">
        <f>ROUND(SUM(BK147:DF147),0)</f>
        <v>0</v>
      </c>
      <c r="AM147" s="311"/>
      <c r="AN147" s="311"/>
      <c r="AO147" s="311"/>
      <c r="AP147" s="43"/>
      <c r="AQ147" s="111"/>
      <c r="AR147" s="308" t="str">
        <f>VLOOKUP(G147,PL!$B$9:$BH$818,52,FALSE)</f>
        <v>-</v>
      </c>
      <c r="AS147" s="309"/>
      <c r="AT147" s="309"/>
      <c r="AU147" s="309"/>
      <c r="AV147" s="309"/>
      <c r="AW147" s="309"/>
      <c r="AX147" s="309"/>
      <c r="AY147" s="309"/>
      <c r="AZ147" s="309"/>
      <c r="BA147" s="309"/>
      <c r="BB147" s="309"/>
      <c r="BC147" s="309"/>
      <c r="BD147" s="309"/>
      <c r="BE147" s="309"/>
      <c r="BF147" s="309"/>
      <c r="BG147" s="309"/>
      <c r="BH147" s="124"/>
      <c r="BI147" s="124"/>
      <c r="BK147" s="412">
        <f>IF($AI$82="Included",1,0)*M54*4</f>
        <v>0</v>
      </c>
      <c r="BL147" s="413"/>
      <c r="BM147" s="414"/>
      <c r="BN147" s="412">
        <f t="shared" ref="BN147" si="23">IF($AI$82="Included",1,0)*P54*4</f>
        <v>0</v>
      </c>
      <c r="BO147" s="413"/>
      <c r="BP147" s="414"/>
      <c r="BQ147" s="412">
        <f t="shared" ref="BQ147" si="24">IF($AI$82="Included",1,0)*S54*4</f>
        <v>0</v>
      </c>
      <c r="BR147" s="413"/>
      <c r="BS147" s="414"/>
      <c r="BT147" s="412">
        <f t="shared" ref="BT147" si="25">IF($AI$82="Included",1,0)*V54*4</f>
        <v>0</v>
      </c>
      <c r="BU147" s="413"/>
      <c r="BV147" s="414"/>
      <c r="BW147" s="412">
        <f t="shared" ref="BW147" si="26">IF($AI$82="Included",1,0)*Y54*4</f>
        <v>0</v>
      </c>
      <c r="BX147" s="413"/>
      <c r="BY147" s="414"/>
      <c r="BZ147" s="412">
        <f t="shared" ref="BZ147" si="27">IF($AI$82="Included",1,0)*AB54*4</f>
        <v>0</v>
      </c>
      <c r="CA147" s="413"/>
      <c r="CB147" s="414"/>
      <c r="CC147" s="412">
        <f t="shared" ref="CC147" si="28">IF($AI$82="Included",1,0)*AE54*4</f>
        <v>0</v>
      </c>
      <c r="CD147" s="413"/>
      <c r="CE147" s="414"/>
      <c r="CF147" s="412">
        <f t="shared" ref="CF147" si="29">IF($AI$82="Included",1,0)*AH54*4</f>
        <v>0</v>
      </c>
      <c r="CG147" s="413"/>
      <c r="CH147" s="414"/>
      <c r="CI147" s="412">
        <f t="shared" ref="CI147" si="30">IF($AI$82="Included",1,0)*AK54*4</f>
        <v>0</v>
      </c>
      <c r="CJ147" s="413"/>
      <c r="CK147" s="414"/>
      <c r="CL147" s="412">
        <f t="shared" ref="CL147" si="31">IF($AI$82="Included",1,0)*AN54*4</f>
        <v>0</v>
      </c>
      <c r="CM147" s="413"/>
      <c r="CN147" s="414"/>
      <c r="CO147" s="412">
        <f t="shared" ref="CO147" si="32">IF($AI$82="Included",1,0)*AQ54*4</f>
        <v>0</v>
      </c>
      <c r="CP147" s="413"/>
      <c r="CQ147" s="414"/>
      <c r="CR147" s="412">
        <f t="shared" ref="CR147" si="33">IF($AI$82="Included",1,0)*AT54*4</f>
        <v>0</v>
      </c>
      <c r="CS147" s="413"/>
      <c r="CT147" s="414"/>
      <c r="CU147" s="412">
        <f t="shared" ref="CU147" si="34">IF($AI$82="Included",1,0)*AW54*4</f>
        <v>0</v>
      </c>
      <c r="CV147" s="413"/>
      <c r="CW147" s="414"/>
      <c r="CX147" s="412">
        <f t="shared" ref="CX147" si="35">IF($AI$82="Included",1,0)*AZ54*4</f>
        <v>0</v>
      </c>
      <c r="CY147" s="413"/>
      <c r="CZ147" s="414"/>
      <c r="DA147" s="412">
        <f t="shared" ref="DA147" si="36">IF($AI$82="Included",1,0)*BC54*4</f>
        <v>0</v>
      </c>
      <c r="DB147" s="413"/>
      <c r="DC147" s="414"/>
      <c r="DD147" s="412">
        <f t="shared" ref="DD147" si="37">IF($AI$82="Included",1,0)*BF54*4</f>
        <v>0</v>
      </c>
      <c r="DE147" s="413"/>
      <c r="DF147" s="414"/>
      <c r="DH147" s="311"/>
      <c r="DI147" s="311"/>
      <c r="DJ147" s="311"/>
      <c r="DK147" s="311"/>
      <c r="DL147" s="321"/>
      <c r="DM147" s="321"/>
      <c r="DN147" s="321"/>
      <c r="DO147" s="321"/>
      <c r="DP147" s="321"/>
      <c r="DQ147" s="321"/>
      <c r="DR147" s="321"/>
      <c r="DS147" s="321"/>
    </row>
    <row r="148" spans="1:123" ht="7.4" customHeight="1" x14ac:dyDescent="0.5">
      <c r="A148" s="42"/>
      <c r="B148" s="42"/>
      <c r="C148" s="311"/>
      <c r="D148" s="311"/>
      <c r="E148" s="41"/>
      <c r="F148" s="42"/>
      <c r="G148" s="319"/>
      <c r="H148" s="319"/>
      <c r="I148" s="319"/>
      <c r="J148" s="319"/>
      <c r="K148" s="319"/>
      <c r="L148" s="319"/>
      <c r="M148" s="319"/>
      <c r="N148" s="319"/>
      <c r="O148" s="319"/>
      <c r="P148" s="319"/>
      <c r="Q148" s="319"/>
      <c r="R148" s="320"/>
      <c r="S148" s="42"/>
      <c r="T148" s="521"/>
      <c r="U148" s="521"/>
      <c r="V148" s="521"/>
      <c r="W148" s="521"/>
      <c r="X148" s="521"/>
      <c r="Y148" s="521"/>
      <c r="Z148" s="521"/>
      <c r="AA148" s="521"/>
      <c r="AB148" s="521"/>
      <c r="AC148" s="521"/>
      <c r="AD148" s="521"/>
      <c r="AE148" s="521"/>
      <c r="AF148" s="521"/>
      <c r="AG148" s="521"/>
      <c r="AH148" s="521"/>
      <c r="AI148" s="521"/>
      <c r="AJ148" s="522"/>
      <c r="AK148" s="42"/>
      <c r="AL148" s="311"/>
      <c r="AM148" s="311"/>
      <c r="AN148" s="311"/>
      <c r="AO148" s="311"/>
      <c r="AP148" s="43"/>
      <c r="AQ148" s="111"/>
      <c r="AR148" s="309"/>
      <c r="AS148" s="309"/>
      <c r="AT148" s="309"/>
      <c r="AU148" s="309"/>
      <c r="AV148" s="309"/>
      <c r="AW148" s="309"/>
      <c r="AX148" s="309"/>
      <c r="AY148" s="309"/>
      <c r="AZ148" s="309"/>
      <c r="BA148" s="309"/>
      <c r="BB148" s="309"/>
      <c r="BC148" s="309"/>
      <c r="BD148" s="309"/>
      <c r="BE148" s="309"/>
      <c r="BF148" s="309"/>
      <c r="BG148" s="309"/>
      <c r="BH148" s="124"/>
      <c r="BI148" s="124"/>
      <c r="BK148" s="412"/>
      <c r="BL148" s="413"/>
      <c r="BM148" s="414"/>
      <c r="BN148" s="412"/>
      <c r="BO148" s="413"/>
      <c r="BP148" s="414"/>
      <c r="BQ148" s="412"/>
      <c r="BR148" s="413"/>
      <c r="BS148" s="414"/>
      <c r="BT148" s="412"/>
      <c r="BU148" s="413"/>
      <c r="BV148" s="414"/>
      <c r="BW148" s="412"/>
      <c r="BX148" s="413"/>
      <c r="BY148" s="414"/>
      <c r="BZ148" s="412"/>
      <c r="CA148" s="413"/>
      <c r="CB148" s="414"/>
      <c r="CC148" s="412"/>
      <c r="CD148" s="413"/>
      <c r="CE148" s="414"/>
      <c r="CF148" s="412"/>
      <c r="CG148" s="413"/>
      <c r="CH148" s="414"/>
      <c r="CI148" s="412"/>
      <c r="CJ148" s="413"/>
      <c r="CK148" s="414"/>
      <c r="CL148" s="412"/>
      <c r="CM148" s="413"/>
      <c r="CN148" s="414"/>
      <c r="CO148" s="412"/>
      <c r="CP148" s="413"/>
      <c r="CQ148" s="414"/>
      <c r="CR148" s="412"/>
      <c r="CS148" s="413"/>
      <c r="CT148" s="414"/>
      <c r="CU148" s="412"/>
      <c r="CV148" s="413"/>
      <c r="CW148" s="414"/>
      <c r="CX148" s="412"/>
      <c r="CY148" s="413"/>
      <c r="CZ148" s="414"/>
      <c r="DA148" s="412"/>
      <c r="DB148" s="413"/>
      <c r="DC148" s="414"/>
      <c r="DD148" s="412"/>
      <c r="DE148" s="413"/>
      <c r="DF148" s="414"/>
      <c r="DH148" s="311"/>
      <c r="DI148" s="311"/>
      <c r="DJ148" s="311"/>
      <c r="DK148" s="311"/>
      <c r="DL148" s="321"/>
      <c r="DM148" s="321"/>
      <c r="DN148" s="321"/>
      <c r="DO148" s="321"/>
      <c r="DP148" s="321"/>
      <c r="DQ148" s="321"/>
      <c r="DR148" s="321"/>
      <c r="DS148" s="321"/>
    </row>
    <row r="149" spans="1:123" ht="7.4" customHeight="1" x14ac:dyDescent="0.5">
      <c r="A149" s="42"/>
      <c r="B149" s="42"/>
      <c r="C149" s="333"/>
      <c r="D149" s="333"/>
      <c r="E149" s="41"/>
      <c r="F149" s="42"/>
      <c r="G149" s="56"/>
      <c r="H149" s="56"/>
      <c r="I149" s="56"/>
      <c r="J149" s="56"/>
      <c r="K149" s="56"/>
      <c r="L149" s="56"/>
      <c r="M149" s="56"/>
      <c r="N149" s="56"/>
      <c r="O149" s="56"/>
      <c r="P149" s="56"/>
      <c r="Q149" s="56"/>
      <c r="R149" s="126"/>
      <c r="S149" s="42"/>
      <c r="T149" s="116" t="str">
        <f>VLOOKUP(G147,PL!$B$9:$BH$1265,33,FALSE)</f>
        <v>.</v>
      </c>
      <c r="U149" s="45"/>
      <c r="V149" s="45"/>
      <c r="W149" s="45"/>
      <c r="X149" s="45"/>
      <c r="Y149" s="45"/>
      <c r="Z149" s="45"/>
      <c r="AA149" s="45"/>
      <c r="AB149" s="45"/>
      <c r="AC149" s="45"/>
      <c r="AD149" s="45"/>
      <c r="AE149" s="45"/>
      <c r="AF149" s="45"/>
      <c r="AG149" s="45"/>
      <c r="AH149" s="45"/>
      <c r="AI149" s="45"/>
      <c r="AJ149" s="244"/>
      <c r="AK149" s="42"/>
      <c r="AL149" s="311"/>
      <c r="AM149" s="311"/>
      <c r="AN149" s="311"/>
      <c r="AO149" s="311"/>
      <c r="AP149" s="43"/>
      <c r="AQ149" s="42"/>
      <c r="AR149" s="46"/>
      <c r="AS149" s="46"/>
      <c r="AT149" s="46"/>
      <c r="AU149" s="46"/>
      <c r="AV149" s="46"/>
      <c r="AW149" s="46"/>
      <c r="AX149" s="105"/>
      <c r="AZ149" s="119"/>
      <c r="BA149" s="119"/>
      <c r="BB149" s="119"/>
      <c r="BC149" s="119"/>
      <c r="BD149" s="119"/>
      <c r="BE149" s="119"/>
      <c r="BF149" s="119"/>
      <c r="BG149" s="119"/>
      <c r="BH149" s="124"/>
      <c r="BI149" s="124"/>
      <c r="BK149" s="194"/>
      <c r="BL149" s="123"/>
      <c r="BM149" s="195"/>
      <c r="BN149" s="194"/>
      <c r="BO149" s="123"/>
      <c r="BP149" s="195"/>
      <c r="BQ149" s="194"/>
      <c r="BR149" s="123"/>
      <c r="BS149" s="195"/>
      <c r="BT149" s="194"/>
      <c r="BU149" s="123"/>
      <c r="BV149" s="195"/>
      <c r="BW149" s="194"/>
      <c r="BX149" s="123"/>
      <c r="BY149" s="195"/>
      <c r="BZ149" s="194"/>
      <c r="CA149" s="123"/>
      <c r="CB149" s="195"/>
      <c r="CC149" s="194"/>
      <c r="CD149" s="123"/>
      <c r="CE149" s="195"/>
      <c r="CF149" s="194"/>
      <c r="CG149" s="123"/>
      <c r="CH149" s="195"/>
      <c r="CI149" s="194"/>
      <c r="CJ149" s="123"/>
      <c r="CK149" s="195"/>
      <c r="CL149" s="194"/>
      <c r="CM149" s="123"/>
      <c r="CN149" s="195"/>
      <c r="CO149" s="194"/>
      <c r="CP149" s="123"/>
      <c r="CQ149" s="195"/>
      <c r="CR149" s="194"/>
      <c r="CS149" s="123"/>
      <c r="CT149" s="195"/>
      <c r="CU149" s="194"/>
      <c r="CV149" s="123"/>
      <c r="CW149" s="195"/>
      <c r="CX149" s="194"/>
      <c r="CY149" s="123"/>
      <c r="CZ149" s="195"/>
      <c r="DA149" s="194"/>
      <c r="DB149" s="123"/>
      <c r="DC149" s="195"/>
      <c r="DD149" s="194"/>
      <c r="DE149" s="123"/>
      <c r="DF149" s="195"/>
      <c r="DH149" s="311"/>
      <c r="DI149" s="311"/>
      <c r="DJ149" s="311"/>
      <c r="DK149" s="311"/>
      <c r="DL149" s="321"/>
      <c r="DM149" s="321"/>
      <c r="DN149" s="321"/>
      <c r="DO149" s="321"/>
      <c r="DP149" s="321"/>
      <c r="DQ149" s="321"/>
      <c r="DR149" s="321"/>
      <c r="DS149" s="321"/>
    </row>
    <row r="150" spans="1:123" ht="7.4" customHeight="1" x14ac:dyDescent="0.5">
      <c r="A150" s="42"/>
      <c r="B150" s="42"/>
      <c r="C150" s="55"/>
      <c r="D150" s="55"/>
      <c r="E150" s="41"/>
      <c r="F150" s="42"/>
      <c r="G150" s="56"/>
      <c r="H150" s="56"/>
      <c r="I150" s="56"/>
      <c r="J150" s="56"/>
      <c r="K150" s="56"/>
      <c r="L150" s="56"/>
      <c r="M150" s="56"/>
      <c r="N150" s="56"/>
      <c r="O150" s="56"/>
      <c r="P150" s="56"/>
      <c r="Q150" s="56"/>
      <c r="R150" s="126"/>
      <c r="S150" s="42"/>
      <c r="T150" s="45"/>
      <c r="U150" s="45"/>
      <c r="V150" s="45"/>
      <c r="W150" s="45"/>
      <c r="X150" s="45"/>
      <c r="Y150" s="45"/>
      <c r="Z150" s="45"/>
      <c r="AA150" s="45"/>
      <c r="AB150" s="45"/>
      <c r="AC150" s="45"/>
      <c r="AD150" s="45"/>
      <c r="AE150" s="45"/>
      <c r="AF150" s="45"/>
      <c r="AG150" s="45"/>
      <c r="AH150" s="45"/>
      <c r="AI150" s="45"/>
      <c r="AJ150" s="244"/>
      <c r="AK150" s="42"/>
      <c r="AL150" s="311"/>
      <c r="AM150" s="311"/>
      <c r="AN150" s="311"/>
      <c r="AO150" s="311"/>
      <c r="AP150" s="43"/>
      <c r="AQ150" s="42"/>
      <c r="AR150" s="46"/>
      <c r="AS150" s="46"/>
      <c r="AT150" s="46"/>
      <c r="AU150" s="46"/>
      <c r="AV150" s="46"/>
      <c r="AW150" s="46"/>
      <c r="AX150" s="105"/>
      <c r="AZ150" s="119"/>
      <c r="BA150" s="119"/>
      <c r="BB150" s="119"/>
      <c r="BC150" s="119"/>
      <c r="BD150" s="119"/>
      <c r="BE150" s="119"/>
      <c r="BF150" s="119"/>
      <c r="BG150" s="119"/>
      <c r="BH150" s="124"/>
      <c r="BI150" s="124"/>
      <c r="BK150" s="194"/>
      <c r="BL150" s="123"/>
      <c r="BM150" s="195"/>
      <c r="BN150" s="194"/>
      <c r="BO150" s="123"/>
      <c r="BP150" s="195"/>
      <c r="BQ150" s="194"/>
      <c r="BR150" s="123"/>
      <c r="BS150" s="195"/>
      <c r="BT150" s="194"/>
      <c r="BU150" s="123"/>
      <c r="BV150" s="195"/>
      <c r="BW150" s="194"/>
      <c r="BX150" s="123"/>
      <c r="BY150" s="195"/>
      <c r="BZ150" s="194"/>
      <c r="CA150" s="123"/>
      <c r="CB150" s="195"/>
      <c r="CC150" s="194"/>
      <c r="CD150" s="123"/>
      <c r="CE150" s="195"/>
      <c r="CF150" s="194"/>
      <c r="CG150" s="123"/>
      <c r="CH150" s="195"/>
      <c r="CI150" s="194"/>
      <c r="CJ150" s="123"/>
      <c r="CK150" s="195"/>
      <c r="CL150" s="194"/>
      <c r="CM150" s="123"/>
      <c r="CN150" s="195"/>
      <c r="CO150" s="194"/>
      <c r="CP150" s="123"/>
      <c r="CQ150" s="195"/>
      <c r="CR150" s="194"/>
      <c r="CS150" s="123"/>
      <c r="CT150" s="195"/>
      <c r="CU150" s="194"/>
      <c r="CV150" s="123"/>
      <c r="CW150" s="195"/>
      <c r="CX150" s="194"/>
      <c r="CY150" s="123"/>
      <c r="CZ150" s="195"/>
      <c r="DA150" s="194"/>
      <c r="DB150" s="123"/>
      <c r="DC150" s="195"/>
      <c r="DD150" s="194"/>
      <c r="DE150" s="123"/>
      <c r="DF150" s="195"/>
      <c r="DL150" s="105"/>
      <c r="DM150" s="105"/>
      <c r="DN150" s="105"/>
      <c r="DO150" s="105"/>
      <c r="DP150" s="105"/>
      <c r="DQ150" s="105"/>
      <c r="DR150" s="105"/>
      <c r="DS150" s="105"/>
    </row>
    <row r="151" spans="1:123" ht="7.4" customHeight="1" x14ac:dyDescent="0.5">
      <c r="A151" s="42"/>
      <c r="B151" s="42"/>
      <c r="C151" s="311">
        <f>C147+1</f>
        <v>9</v>
      </c>
      <c r="D151" s="311"/>
      <c r="E151" s="41"/>
      <c r="F151" s="42"/>
      <c r="G151" s="319" t="str">
        <f>IF(AL151=0,"N/A","AXE_CC_SS")</f>
        <v>N/A</v>
      </c>
      <c r="H151" s="319"/>
      <c r="I151" s="319"/>
      <c r="J151" s="319"/>
      <c r="K151" s="319"/>
      <c r="L151" s="319"/>
      <c r="M151" s="319"/>
      <c r="N151" s="319"/>
      <c r="O151" s="319"/>
      <c r="P151" s="319"/>
      <c r="Q151" s="319"/>
      <c r="R151" s="320"/>
      <c r="S151" s="42"/>
      <c r="T151" s="521" t="str">
        <f>VLOOKUP(G151,PL!$B$9:$BH$1265,14,FALSE)</f>
        <v>No Item</v>
      </c>
      <c r="U151" s="521"/>
      <c r="V151" s="521"/>
      <c r="W151" s="521"/>
      <c r="X151" s="521"/>
      <c r="Y151" s="521"/>
      <c r="Z151" s="521"/>
      <c r="AA151" s="521"/>
      <c r="AB151" s="521"/>
      <c r="AC151" s="521"/>
      <c r="AD151" s="521"/>
      <c r="AE151" s="521"/>
      <c r="AF151" s="521"/>
      <c r="AG151" s="521"/>
      <c r="AH151" s="521"/>
      <c r="AI151" s="521"/>
      <c r="AJ151" s="522"/>
      <c r="AK151" s="42"/>
      <c r="AL151" s="311">
        <f>ROUND(SUM(BK151:DF151)*(1+$BF$74),0)</f>
        <v>0</v>
      </c>
      <c r="AM151" s="311"/>
      <c r="AN151" s="311"/>
      <c r="AO151" s="311"/>
      <c r="AP151" s="43"/>
      <c r="AQ151" s="111"/>
      <c r="AR151" s="308" t="str">
        <f>VLOOKUP(G151,PL!$B$9:$BH$818,52,FALSE)</f>
        <v>-</v>
      </c>
      <c r="AS151" s="309"/>
      <c r="AT151" s="309"/>
      <c r="AU151" s="309"/>
      <c r="AV151" s="309"/>
      <c r="AW151" s="309"/>
      <c r="AX151" s="309"/>
      <c r="AY151" s="309"/>
      <c r="AZ151" s="309"/>
      <c r="BA151" s="309"/>
      <c r="BB151" s="309"/>
      <c r="BC151" s="309"/>
      <c r="BD151" s="309"/>
      <c r="BE151" s="309"/>
      <c r="BF151" s="309"/>
      <c r="BG151" s="309"/>
      <c r="BH151" s="124"/>
      <c r="BI151" s="124"/>
      <c r="BK151" s="412">
        <f>IF($AI$74="Included",1,0)*M54*M58</f>
        <v>0</v>
      </c>
      <c r="BL151" s="413"/>
      <c r="BM151" s="414"/>
      <c r="BN151" s="412">
        <f t="shared" ref="BN151" si="38">IF($AI$74="Included",1,0)*P54*P58</f>
        <v>0</v>
      </c>
      <c r="BO151" s="413"/>
      <c r="BP151" s="414"/>
      <c r="BQ151" s="412">
        <f t="shared" ref="BQ151" si="39">IF($AI$74="Included",1,0)*S54*S58</f>
        <v>0</v>
      </c>
      <c r="BR151" s="413"/>
      <c r="BS151" s="414"/>
      <c r="BT151" s="412">
        <f t="shared" ref="BT151" si="40">IF($AI$74="Included",1,0)*V54*V58</f>
        <v>0</v>
      </c>
      <c r="BU151" s="413"/>
      <c r="BV151" s="414"/>
      <c r="BW151" s="412">
        <f t="shared" ref="BW151" si="41">IF($AI$74="Included",1,0)*Y54*Y58</f>
        <v>0</v>
      </c>
      <c r="BX151" s="413"/>
      <c r="BY151" s="414"/>
      <c r="BZ151" s="412">
        <f t="shared" ref="BZ151" si="42">IF($AI$74="Included",1,0)*AB54*AB58</f>
        <v>0</v>
      </c>
      <c r="CA151" s="413"/>
      <c r="CB151" s="414"/>
      <c r="CC151" s="412">
        <f t="shared" ref="CC151" si="43">IF($AI$74="Included",1,0)*AE54*AE58</f>
        <v>0</v>
      </c>
      <c r="CD151" s="413"/>
      <c r="CE151" s="414"/>
      <c r="CF151" s="412">
        <f t="shared" ref="CF151" si="44">IF($AI$74="Included",1,0)*AH54*AH58</f>
        <v>0</v>
      </c>
      <c r="CG151" s="413"/>
      <c r="CH151" s="414"/>
      <c r="CI151" s="412">
        <f t="shared" ref="CI151" si="45">IF($AI$74="Included",1,0)*AK54*AK58</f>
        <v>0</v>
      </c>
      <c r="CJ151" s="413"/>
      <c r="CK151" s="414"/>
      <c r="CL151" s="412">
        <f t="shared" ref="CL151" si="46">IF($AI$74="Included",1,0)*AN54*AN58</f>
        <v>0</v>
      </c>
      <c r="CM151" s="413"/>
      <c r="CN151" s="414"/>
      <c r="CO151" s="412">
        <f t="shared" ref="CO151" si="47">IF($AI$74="Included",1,0)*AQ54*AQ58</f>
        <v>0</v>
      </c>
      <c r="CP151" s="413"/>
      <c r="CQ151" s="414"/>
      <c r="CR151" s="412">
        <f t="shared" ref="CR151" si="48">IF($AI$74="Included",1,0)*AT54*AT58</f>
        <v>0</v>
      </c>
      <c r="CS151" s="413"/>
      <c r="CT151" s="414"/>
      <c r="CU151" s="412">
        <f t="shared" ref="CU151" si="49">IF($AI$74="Included",1,0)*AW54*AW58</f>
        <v>0</v>
      </c>
      <c r="CV151" s="413"/>
      <c r="CW151" s="414"/>
      <c r="CX151" s="412">
        <f t="shared" ref="CX151" si="50">IF($AI$74="Included",1,0)*AZ54*AZ58</f>
        <v>0</v>
      </c>
      <c r="CY151" s="413"/>
      <c r="CZ151" s="414"/>
      <c r="DA151" s="412">
        <f t="shared" ref="DA151" si="51">IF($AI$74="Included",1,0)*BC54*BC58</f>
        <v>0</v>
      </c>
      <c r="DB151" s="413"/>
      <c r="DC151" s="414"/>
      <c r="DD151" s="412">
        <f t="shared" ref="DD151" si="52">IF($AI$74="Included",1,0)*BF54*BF58</f>
        <v>0</v>
      </c>
      <c r="DE151" s="413"/>
      <c r="DF151" s="414"/>
      <c r="DH151" s="311"/>
      <c r="DI151" s="311"/>
      <c r="DJ151" s="311"/>
      <c r="DK151" s="311"/>
      <c r="DL151" s="321"/>
      <c r="DM151" s="321"/>
      <c r="DN151" s="321"/>
      <c r="DO151" s="321"/>
      <c r="DP151" s="321"/>
      <c r="DQ151" s="321"/>
      <c r="DR151" s="321"/>
      <c r="DS151" s="321"/>
    </row>
    <row r="152" spans="1:123" ht="7.4" customHeight="1" x14ac:dyDescent="0.5">
      <c r="A152" s="42"/>
      <c r="B152" s="42"/>
      <c r="C152" s="311"/>
      <c r="D152" s="311"/>
      <c r="E152" s="41"/>
      <c r="F152" s="42"/>
      <c r="G152" s="319"/>
      <c r="H152" s="319"/>
      <c r="I152" s="319"/>
      <c r="J152" s="319"/>
      <c r="K152" s="319"/>
      <c r="L152" s="319"/>
      <c r="M152" s="319"/>
      <c r="N152" s="319"/>
      <c r="O152" s="319"/>
      <c r="P152" s="319"/>
      <c r="Q152" s="319"/>
      <c r="R152" s="320"/>
      <c r="S152" s="42"/>
      <c r="T152" s="521"/>
      <c r="U152" s="521"/>
      <c r="V152" s="521"/>
      <c r="W152" s="521"/>
      <c r="X152" s="521"/>
      <c r="Y152" s="521"/>
      <c r="Z152" s="521"/>
      <c r="AA152" s="521"/>
      <c r="AB152" s="521"/>
      <c r="AC152" s="521"/>
      <c r="AD152" s="521"/>
      <c r="AE152" s="521"/>
      <c r="AF152" s="521"/>
      <c r="AG152" s="521"/>
      <c r="AH152" s="521"/>
      <c r="AI152" s="521"/>
      <c r="AJ152" s="522"/>
      <c r="AK152" s="42"/>
      <c r="AL152" s="311"/>
      <c r="AM152" s="311"/>
      <c r="AN152" s="311"/>
      <c r="AO152" s="311"/>
      <c r="AP152" s="43"/>
      <c r="AQ152" s="111"/>
      <c r="AR152" s="309"/>
      <c r="AS152" s="309"/>
      <c r="AT152" s="309"/>
      <c r="AU152" s="309"/>
      <c r="AV152" s="309"/>
      <c r="AW152" s="309"/>
      <c r="AX152" s="309"/>
      <c r="AY152" s="309"/>
      <c r="AZ152" s="309"/>
      <c r="BA152" s="309"/>
      <c r="BB152" s="309"/>
      <c r="BC152" s="309"/>
      <c r="BD152" s="309"/>
      <c r="BE152" s="309"/>
      <c r="BF152" s="309"/>
      <c r="BG152" s="309"/>
      <c r="BH152" s="124"/>
      <c r="BI152" s="124"/>
      <c r="BK152" s="412"/>
      <c r="BL152" s="413"/>
      <c r="BM152" s="414"/>
      <c r="BN152" s="412"/>
      <c r="BO152" s="413"/>
      <c r="BP152" s="414"/>
      <c r="BQ152" s="412"/>
      <c r="BR152" s="413"/>
      <c r="BS152" s="414"/>
      <c r="BT152" s="412"/>
      <c r="BU152" s="413"/>
      <c r="BV152" s="414"/>
      <c r="BW152" s="412"/>
      <c r="BX152" s="413"/>
      <c r="BY152" s="414"/>
      <c r="BZ152" s="412"/>
      <c r="CA152" s="413"/>
      <c r="CB152" s="414"/>
      <c r="CC152" s="412"/>
      <c r="CD152" s="413"/>
      <c r="CE152" s="414"/>
      <c r="CF152" s="412"/>
      <c r="CG152" s="413"/>
      <c r="CH152" s="414"/>
      <c r="CI152" s="412"/>
      <c r="CJ152" s="413"/>
      <c r="CK152" s="414"/>
      <c r="CL152" s="412"/>
      <c r="CM152" s="413"/>
      <c r="CN152" s="414"/>
      <c r="CO152" s="412"/>
      <c r="CP152" s="413"/>
      <c r="CQ152" s="414"/>
      <c r="CR152" s="412"/>
      <c r="CS152" s="413"/>
      <c r="CT152" s="414"/>
      <c r="CU152" s="412"/>
      <c r="CV152" s="413"/>
      <c r="CW152" s="414"/>
      <c r="CX152" s="412"/>
      <c r="CY152" s="413"/>
      <c r="CZ152" s="414"/>
      <c r="DA152" s="412"/>
      <c r="DB152" s="413"/>
      <c r="DC152" s="414"/>
      <c r="DD152" s="412"/>
      <c r="DE152" s="413"/>
      <c r="DF152" s="414"/>
      <c r="DH152" s="311"/>
      <c r="DI152" s="311"/>
      <c r="DJ152" s="311"/>
      <c r="DK152" s="311"/>
      <c r="DL152" s="321"/>
      <c r="DM152" s="321"/>
      <c r="DN152" s="321"/>
      <c r="DO152" s="321"/>
      <c r="DP152" s="321"/>
      <c r="DQ152" s="321"/>
      <c r="DR152" s="321"/>
      <c r="DS152" s="321"/>
    </row>
    <row r="153" spans="1:123" ht="7.4" customHeight="1" x14ac:dyDescent="0.5">
      <c r="A153" s="42"/>
      <c r="B153" s="42"/>
      <c r="C153" s="333"/>
      <c r="D153" s="333"/>
      <c r="E153" s="41"/>
      <c r="F153" s="42"/>
      <c r="G153" s="56"/>
      <c r="H153" s="56"/>
      <c r="I153" s="56"/>
      <c r="J153" s="56"/>
      <c r="K153" s="56"/>
      <c r="L153" s="56"/>
      <c r="M153" s="56"/>
      <c r="N153" s="56"/>
      <c r="O153" s="56"/>
      <c r="P153" s="56"/>
      <c r="Q153" s="56"/>
      <c r="R153" s="126"/>
      <c r="S153" s="42"/>
      <c r="T153" s="116" t="str">
        <f>VLOOKUP(G151,PL!$B$9:$BH$1265,33,FALSE)</f>
        <v>.</v>
      </c>
      <c r="U153" s="45"/>
      <c r="V153" s="45"/>
      <c r="W153" s="45"/>
      <c r="X153" s="45"/>
      <c r="Y153" s="45"/>
      <c r="Z153" s="45"/>
      <c r="AA153" s="45"/>
      <c r="AB153" s="45"/>
      <c r="AC153" s="45"/>
      <c r="AD153" s="45"/>
      <c r="AE153" s="45"/>
      <c r="AF153" s="45"/>
      <c r="AG153" s="45"/>
      <c r="AH153" s="45"/>
      <c r="AI153" s="45"/>
      <c r="AJ153" s="244"/>
      <c r="AK153" s="42"/>
      <c r="AL153" s="311"/>
      <c r="AM153" s="311"/>
      <c r="AN153" s="311"/>
      <c r="AO153" s="311"/>
      <c r="AP153" s="43"/>
      <c r="AQ153" s="42"/>
      <c r="AR153" s="46"/>
      <c r="AS153" s="46"/>
      <c r="AT153" s="46"/>
      <c r="AU153" s="46"/>
      <c r="AV153" s="46"/>
      <c r="AW153" s="46"/>
      <c r="AX153" s="105"/>
      <c r="AZ153" s="119"/>
      <c r="BA153" s="119"/>
      <c r="BB153" s="119"/>
      <c r="BC153" s="119"/>
      <c r="BD153" s="119"/>
      <c r="BE153" s="119"/>
      <c r="BF153" s="119"/>
      <c r="BG153" s="119"/>
      <c r="BH153" s="124"/>
      <c r="BI153" s="124"/>
      <c r="BK153" s="194"/>
      <c r="BL153" s="123"/>
      <c r="BM153" s="195"/>
      <c r="BN153" s="194"/>
      <c r="BO153" s="123"/>
      <c r="BP153" s="195"/>
      <c r="BQ153" s="194"/>
      <c r="BR153" s="123"/>
      <c r="BS153" s="195"/>
      <c r="BT153" s="194"/>
      <c r="BU153" s="123"/>
      <c r="BV153" s="195"/>
      <c r="BW153" s="194"/>
      <c r="BX153" s="123"/>
      <c r="BY153" s="195"/>
      <c r="BZ153" s="194"/>
      <c r="CA153" s="123"/>
      <c r="CB153" s="195"/>
      <c r="CC153" s="194"/>
      <c r="CD153" s="123"/>
      <c r="CE153" s="195"/>
      <c r="CF153" s="194"/>
      <c r="CG153" s="123"/>
      <c r="CH153" s="195"/>
      <c r="CI153" s="194"/>
      <c r="CJ153" s="123"/>
      <c r="CK153" s="195"/>
      <c r="CL153" s="194"/>
      <c r="CM153" s="123"/>
      <c r="CN153" s="195"/>
      <c r="CO153" s="194"/>
      <c r="CP153" s="123"/>
      <c r="CQ153" s="195"/>
      <c r="CR153" s="194"/>
      <c r="CS153" s="123"/>
      <c r="CT153" s="195"/>
      <c r="CU153" s="194"/>
      <c r="CV153" s="123"/>
      <c r="CW153" s="195"/>
      <c r="CX153" s="194"/>
      <c r="CY153" s="123"/>
      <c r="CZ153" s="195"/>
      <c r="DA153" s="194"/>
      <c r="DB153" s="123"/>
      <c r="DC153" s="195"/>
      <c r="DD153" s="194"/>
      <c r="DE153" s="123"/>
      <c r="DF153" s="195"/>
      <c r="DH153" s="311"/>
      <c r="DI153" s="311"/>
      <c r="DJ153" s="311"/>
      <c r="DK153" s="311"/>
      <c r="DL153" s="321"/>
      <c r="DM153" s="321"/>
      <c r="DN153" s="321"/>
      <c r="DO153" s="321"/>
      <c r="DP153" s="321"/>
      <c r="DQ153" s="321"/>
      <c r="DR153" s="321"/>
      <c r="DS153" s="321"/>
    </row>
    <row r="154" spans="1:123" ht="7.4" customHeight="1" x14ac:dyDescent="0.5">
      <c r="A154" s="42"/>
      <c r="B154" s="42"/>
      <c r="C154" s="55"/>
      <c r="D154" s="55"/>
      <c r="E154" s="41"/>
      <c r="F154" s="42"/>
      <c r="G154" s="56"/>
      <c r="H154" s="56"/>
      <c r="I154" s="56"/>
      <c r="J154" s="56"/>
      <c r="K154" s="56"/>
      <c r="L154" s="56"/>
      <c r="M154" s="56"/>
      <c r="N154" s="56"/>
      <c r="O154" s="56"/>
      <c r="P154" s="56"/>
      <c r="Q154" s="56"/>
      <c r="R154" s="126"/>
      <c r="S154" s="42"/>
      <c r="T154" s="45"/>
      <c r="U154" s="45"/>
      <c r="V154" s="45"/>
      <c r="W154" s="45"/>
      <c r="X154" s="45"/>
      <c r="Y154" s="45"/>
      <c r="Z154" s="45"/>
      <c r="AA154" s="45"/>
      <c r="AB154" s="45"/>
      <c r="AC154" s="45"/>
      <c r="AD154" s="45"/>
      <c r="AE154" s="45"/>
      <c r="AF154" s="45"/>
      <c r="AG154" s="45"/>
      <c r="AH154" s="45"/>
      <c r="AI154" s="45"/>
      <c r="AJ154" s="244"/>
      <c r="AK154" s="42"/>
      <c r="AL154" s="311"/>
      <c r="AM154" s="311"/>
      <c r="AN154" s="311"/>
      <c r="AO154" s="311"/>
      <c r="AP154" s="43"/>
      <c r="AQ154" s="42"/>
      <c r="AR154" s="46"/>
      <c r="AS154" s="46"/>
      <c r="AT154" s="46"/>
      <c r="AU154" s="46"/>
      <c r="AV154" s="46"/>
      <c r="AW154" s="46"/>
      <c r="AX154" s="105"/>
      <c r="AZ154" s="119"/>
      <c r="BA154" s="119"/>
      <c r="BB154" s="119"/>
      <c r="BC154" s="119"/>
      <c r="BD154" s="119"/>
      <c r="BE154" s="119"/>
      <c r="BF154" s="119"/>
      <c r="BG154" s="119"/>
      <c r="BH154" s="124"/>
      <c r="BI154" s="124"/>
      <c r="BK154" s="194"/>
      <c r="BL154" s="123"/>
      <c r="BM154" s="195"/>
      <c r="BN154" s="194"/>
      <c r="BO154" s="123"/>
      <c r="BP154" s="195"/>
      <c r="BQ154" s="194"/>
      <c r="BR154" s="123"/>
      <c r="BS154" s="195"/>
      <c r="BT154" s="194"/>
      <c r="BU154" s="123"/>
      <c r="BV154" s="195"/>
      <c r="BW154" s="194"/>
      <c r="BX154" s="123"/>
      <c r="BY154" s="195"/>
      <c r="BZ154" s="194"/>
      <c r="CA154" s="123"/>
      <c r="CB154" s="195"/>
      <c r="CC154" s="194"/>
      <c r="CD154" s="123"/>
      <c r="CE154" s="195"/>
      <c r="CF154" s="194"/>
      <c r="CG154" s="123"/>
      <c r="CH154" s="195"/>
      <c r="CI154" s="194"/>
      <c r="CJ154" s="123"/>
      <c r="CK154" s="195"/>
      <c r="CL154" s="194"/>
      <c r="CM154" s="123"/>
      <c r="CN154" s="195"/>
      <c r="CO154" s="194"/>
      <c r="CP154" s="123"/>
      <c r="CQ154" s="195"/>
      <c r="CR154" s="194"/>
      <c r="CS154" s="123"/>
      <c r="CT154" s="195"/>
      <c r="CU154" s="194"/>
      <c r="CV154" s="123"/>
      <c r="CW154" s="195"/>
      <c r="CX154" s="194"/>
      <c r="CY154" s="123"/>
      <c r="CZ154" s="195"/>
      <c r="DA154" s="194"/>
      <c r="DB154" s="123"/>
      <c r="DC154" s="195"/>
      <c r="DD154" s="194"/>
      <c r="DE154" s="123"/>
      <c r="DF154" s="195"/>
      <c r="DL154" s="105"/>
      <c r="DM154" s="105"/>
      <c r="DN154" s="105"/>
      <c r="DO154" s="105"/>
      <c r="DP154" s="105"/>
      <c r="DQ154" s="105"/>
      <c r="DR154" s="105"/>
      <c r="DS154" s="105"/>
    </row>
    <row r="155" spans="1:123" ht="7.4" customHeight="1" x14ac:dyDescent="0.5">
      <c r="A155" s="42"/>
      <c r="B155" s="42"/>
      <c r="C155" s="311">
        <f>C151+1</f>
        <v>10</v>
      </c>
      <c r="D155" s="311"/>
      <c r="E155" s="41"/>
      <c r="F155" s="42"/>
      <c r="G155" s="319" t="str">
        <f>IF(AL155=0,"N/A","AXE_EL_AL")</f>
        <v>N/A</v>
      </c>
      <c r="H155" s="319"/>
      <c r="I155" s="319"/>
      <c r="J155" s="319"/>
      <c r="K155" s="319"/>
      <c r="L155" s="319"/>
      <c r="M155" s="319"/>
      <c r="N155" s="319"/>
      <c r="O155" s="319"/>
      <c r="P155" s="319"/>
      <c r="Q155" s="319"/>
      <c r="R155" s="320"/>
      <c r="S155" s="42"/>
      <c r="T155" s="521" t="str">
        <f>VLOOKUP(G155,PL!$B$9:$BH$1265,14,FALSE)</f>
        <v>No Item</v>
      </c>
      <c r="U155" s="521"/>
      <c r="V155" s="521"/>
      <c r="W155" s="521"/>
      <c r="X155" s="521"/>
      <c r="Y155" s="521"/>
      <c r="Z155" s="521"/>
      <c r="AA155" s="521"/>
      <c r="AB155" s="521"/>
      <c r="AC155" s="521"/>
      <c r="AD155" s="521"/>
      <c r="AE155" s="521"/>
      <c r="AF155" s="521"/>
      <c r="AG155" s="521"/>
      <c r="AH155" s="521"/>
      <c r="AI155" s="521"/>
      <c r="AJ155" s="522"/>
      <c r="AK155" s="42"/>
      <c r="AL155" s="311">
        <f>ROUND(SUM(BK155:DF155)*(1+$BF$80),0)</f>
        <v>0</v>
      </c>
      <c r="AM155" s="311"/>
      <c r="AN155" s="311"/>
      <c r="AO155" s="311"/>
      <c r="AP155" s="43"/>
      <c r="AQ155" s="111"/>
      <c r="AR155" s="308" t="str">
        <f>VLOOKUP(G155,PL!$B$9:$BH$818,52,FALSE)</f>
        <v>-</v>
      </c>
      <c r="AS155" s="309"/>
      <c r="AT155" s="309"/>
      <c r="AU155" s="309"/>
      <c r="AV155" s="309"/>
      <c r="AW155" s="309"/>
      <c r="AX155" s="309"/>
      <c r="AY155" s="309"/>
      <c r="AZ155" s="309"/>
      <c r="BA155" s="309"/>
      <c r="BB155" s="309"/>
      <c r="BC155" s="309"/>
      <c r="BD155" s="309"/>
      <c r="BE155" s="309"/>
      <c r="BF155" s="309"/>
      <c r="BG155" s="309"/>
      <c r="BH155" s="124"/>
      <c r="BI155" s="124"/>
      <c r="BK155" s="412">
        <f>IF($AI$86="Included",1,0)*M54</f>
        <v>0</v>
      </c>
      <c r="BL155" s="413"/>
      <c r="BM155" s="414"/>
      <c r="BN155" s="412">
        <f t="shared" ref="BN155" si="53">IF($AI$86="Included",1,0)*P54</f>
        <v>0</v>
      </c>
      <c r="BO155" s="413"/>
      <c r="BP155" s="414"/>
      <c r="BQ155" s="412">
        <f t="shared" ref="BQ155" si="54">IF($AI$86="Included",1,0)*S54</f>
        <v>0</v>
      </c>
      <c r="BR155" s="413"/>
      <c r="BS155" s="414"/>
      <c r="BT155" s="412">
        <f t="shared" ref="BT155" si="55">IF($AI$86="Included",1,0)*V54</f>
        <v>0</v>
      </c>
      <c r="BU155" s="413"/>
      <c r="BV155" s="414"/>
      <c r="BW155" s="412">
        <f t="shared" ref="BW155" si="56">IF($AI$86="Included",1,0)*Y54</f>
        <v>0</v>
      </c>
      <c r="BX155" s="413"/>
      <c r="BY155" s="414"/>
      <c r="BZ155" s="412">
        <f t="shared" ref="BZ155" si="57">IF($AI$86="Included",1,0)*AB54</f>
        <v>0</v>
      </c>
      <c r="CA155" s="413"/>
      <c r="CB155" s="414"/>
      <c r="CC155" s="412">
        <f t="shared" ref="CC155" si="58">IF($AI$86="Included",1,0)*AE54</f>
        <v>0</v>
      </c>
      <c r="CD155" s="413"/>
      <c r="CE155" s="414"/>
      <c r="CF155" s="412">
        <f t="shared" ref="CF155" si="59">IF($AI$86="Included",1,0)*AH54</f>
        <v>0</v>
      </c>
      <c r="CG155" s="413"/>
      <c r="CH155" s="414"/>
      <c r="CI155" s="412">
        <f t="shared" ref="CI155" si="60">IF($AI$86="Included",1,0)*AK54</f>
        <v>0</v>
      </c>
      <c r="CJ155" s="413"/>
      <c r="CK155" s="414"/>
      <c r="CL155" s="412">
        <f t="shared" ref="CL155" si="61">IF($AI$86="Included",1,0)*AN54</f>
        <v>0</v>
      </c>
      <c r="CM155" s="413"/>
      <c r="CN155" s="414"/>
      <c r="CO155" s="412">
        <f t="shared" ref="CO155" si="62">IF($AI$86="Included",1,0)*AQ54</f>
        <v>0</v>
      </c>
      <c r="CP155" s="413"/>
      <c r="CQ155" s="414"/>
      <c r="CR155" s="412">
        <f t="shared" ref="CR155" si="63">IF($AI$86="Included",1,0)*AT54</f>
        <v>0</v>
      </c>
      <c r="CS155" s="413"/>
      <c r="CT155" s="414"/>
      <c r="CU155" s="412">
        <f t="shared" ref="CU155" si="64">IF($AI$86="Included",1,0)*AW54</f>
        <v>0</v>
      </c>
      <c r="CV155" s="413"/>
      <c r="CW155" s="414"/>
      <c r="CX155" s="412">
        <f t="shared" ref="CX155" si="65">IF($AI$86="Included",1,0)*AZ54</f>
        <v>0</v>
      </c>
      <c r="CY155" s="413"/>
      <c r="CZ155" s="414"/>
      <c r="DA155" s="412">
        <f t="shared" ref="DA155" si="66">IF($AI$86="Included",1,0)*BC54</f>
        <v>0</v>
      </c>
      <c r="DB155" s="413"/>
      <c r="DC155" s="414"/>
      <c r="DD155" s="412">
        <f t="shared" ref="DD155" si="67">IF($AI$86="Included",1,0)*BF54</f>
        <v>0</v>
      </c>
      <c r="DE155" s="413"/>
      <c r="DF155" s="414"/>
      <c r="DH155" s="311"/>
      <c r="DI155" s="311"/>
      <c r="DJ155" s="311"/>
      <c r="DK155" s="311"/>
      <c r="DL155" s="321"/>
      <c r="DM155" s="321"/>
      <c r="DN155" s="321"/>
      <c r="DO155" s="321"/>
      <c r="DP155" s="321"/>
      <c r="DQ155" s="321"/>
      <c r="DR155" s="321"/>
      <c r="DS155" s="321"/>
    </row>
    <row r="156" spans="1:123" ht="7.4" customHeight="1" x14ac:dyDescent="0.5">
      <c r="A156" s="42"/>
      <c r="B156" s="42"/>
      <c r="C156" s="311"/>
      <c r="D156" s="311"/>
      <c r="E156" s="41"/>
      <c r="F156" s="42"/>
      <c r="G156" s="319"/>
      <c r="H156" s="319"/>
      <c r="I156" s="319"/>
      <c r="J156" s="319"/>
      <c r="K156" s="319"/>
      <c r="L156" s="319"/>
      <c r="M156" s="319"/>
      <c r="N156" s="319"/>
      <c r="O156" s="319"/>
      <c r="P156" s="319"/>
      <c r="Q156" s="319"/>
      <c r="R156" s="320"/>
      <c r="S156" s="42"/>
      <c r="T156" s="521"/>
      <c r="U156" s="521"/>
      <c r="V156" s="521"/>
      <c r="W156" s="521"/>
      <c r="X156" s="521"/>
      <c r="Y156" s="521"/>
      <c r="Z156" s="521"/>
      <c r="AA156" s="521"/>
      <c r="AB156" s="521"/>
      <c r="AC156" s="521"/>
      <c r="AD156" s="521"/>
      <c r="AE156" s="521"/>
      <c r="AF156" s="521"/>
      <c r="AG156" s="521"/>
      <c r="AH156" s="521"/>
      <c r="AI156" s="521"/>
      <c r="AJ156" s="522"/>
      <c r="AK156" s="42"/>
      <c r="AL156" s="311"/>
      <c r="AM156" s="311"/>
      <c r="AN156" s="311"/>
      <c r="AO156" s="311"/>
      <c r="AP156" s="43"/>
      <c r="AQ156" s="111"/>
      <c r="AR156" s="309"/>
      <c r="AS156" s="309"/>
      <c r="AT156" s="309"/>
      <c r="AU156" s="309"/>
      <c r="AV156" s="309"/>
      <c r="AW156" s="309"/>
      <c r="AX156" s="309"/>
      <c r="AY156" s="309"/>
      <c r="AZ156" s="309"/>
      <c r="BA156" s="309"/>
      <c r="BB156" s="309"/>
      <c r="BC156" s="309"/>
      <c r="BD156" s="309"/>
      <c r="BE156" s="309"/>
      <c r="BF156" s="309"/>
      <c r="BG156" s="309"/>
      <c r="BH156" s="124"/>
      <c r="BI156" s="124"/>
      <c r="BK156" s="412"/>
      <c r="BL156" s="413"/>
      <c r="BM156" s="414"/>
      <c r="BN156" s="412"/>
      <c r="BO156" s="413"/>
      <c r="BP156" s="414"/>
      <c r="BQ156" s="412"/>
      <c r="BR156" s="413"/>
      <c r="BS156" s="414"/>
      <c r="BT156" s="412"/>
      <c r="BU156" s="413"/>
      <c r="BV156" s="414"/>
      <c r="BW156" s="412"/>
      <c r="BX156" s="413"/>
      <c r="BY156" s="414"/>
      <c r="BZ156" s="412"/>
      <c r="CA156" s="413"/>
      <c r="CB156" s="414"/>
      <c r="CC156" s="412"/>
      <c r="CD156" s="413"/>
      <c r="CE156" s="414"/>
      <c r="CF156" s="412"/>
      <c r="CG156" s="413"/>
      <c r="CH156" s="414"/>
      <c r="CI156" s="412"/>
      <c r="CJ156" s="413"/>
      <c r="CK156" s="414"/>
      <c r="CL156" s="412"/>
      <c r="CM156" s="413"/>
      <c r="CN156" s="414"/>
      <c r="CO156" s="412"/>
      <c r="CP156" s="413"/>
      <c r="CQ156" s="414"/>
      <c r="CR156" s="412"/>
      <c r="CS156" s="413"/>
      <c r="CT156" s="414"/>
      <c r="CU156" s="412"/>
      <c r="CV156" s="413"/>
      <c r="CW156" s="414"/>
      <c r="CX156" s="412"/>
      <c r="CY156" s="413"/>
      <c r="CZ156" s="414"/>
      <c r="DA156" s="412"/>
      <c r="DB156" s="413"/>
      <c r="DC156" s="414"/>
      <c r="DD156" s="412"/>
      <c r="DE156" s="413"/>
      <c r="DF156" s="414"/>
      <c r="DH156" s="311"/>
      <c r="DI156" s="311"/>
      <c r="DJ156" s="311"/>
      <c r="DK156" s="311"/>
      <c r="DL156" s="321"/>
      <c r="DM156" s="321"/>
      <c r="DN156" s="321"/>
      <c r="DO156" s="321"/>
      <c r="DP156" s="321"/>
      <c r="DQ156" s="321"/>
      <c r="DR156" s="321"/>
      <c r="DS156" s="321"/>
    </row>
    <row r="157" spans="1:123" ht="7.4" customHeight="1" x14ac:dyDescent="0.5">
      <c r="A157" s="42"/>
      <c r="B157" s="42"/>
      <c r="C157" s="333"/>
      <c r="D157" s="333"/>
      <c r="E157" s="41"/>
      <c r="F157" s="42"/>
      <c r="G157" s="56"/>
      <c r="H157" s="56"/>
      <c r="I157" s="56"/>
      <c r="J157" s="56"/>
      <c r="K157" s="56"/>
      <c r="L157" s="56"/>
      <c r="M157" s="56"/>
      <c r="N157" s="56"/>
      <c r="O157" s="56"/>
      <c r="P157" s="56"/>
      <c r="Q157" s="56"/>
      <c r="R157" s="126"/>
      <c r="S157" s="42"/>
      <c r="T157" s="257" t="str">
        <f>VLOOKUP(G155,PL!$B$9:$BH$1265,33,FALSE)</f>
        <v>.</v>
      </c>
      <c r="U157" s="45"/>
      <c r="V157" s="45"/>
      <c r="W157" s="45"/>
      <c r="X157" s="45"/>
      <c r="Y157" s="45"/>
      <c r="Z157" s="45"/>
      <c r="AA157" s="45"/>
      <c r="AB157" s="45"/>
      <c r="AC157" s="45"/>
      <c r="AD157" s="45"/>
      <c r="AE157" s="45"/>
      <c r="AF157" s="45"/>
      <c r="AG157" s="45"/>
      <c r="AH157" s="45"/>
      <c r="AI157" s="45"/>
      <c r="AJ157" s="244"/>
      <c r="AK157" s="42"/>
      <c r="AL157" s="311"/>
      <c r="AM157" s="311"/>
      <c r="AN157" s="311"/>
      <c r="AO157" s="311"/>
      <c r="AP157" s="43"/>
      <c r="AQ157" s="42"/>
      <c r="AR157" s="46"/>
      <c r="AS157" s="46"/>
      <c r="AT157" s="46"/>
      <c r="AU157" s="46"/>
      <c r="AV157" s="46"/>
      <c r="AW157" s="46"/>
      <c r="AX157" s="105"/>
      <c r="AZ157" s="119"/>
      <c r="BA157" s="119"/>
      <c r="BB157" s="119"/>
      <c r="BC157" s="119"/>
      <c r="BD157" s="119"/>
      <c r="BE157" s="119"/>
      <c r="BF157" s="119"/>
      <c r="BG157" s="119"/>
      <c r="BH157" s="124"/>
      <c r="BI157" s="124"/>
      <c r="BK157" s="194"/>
      <c r="BL157" s="123"/>
      <c r="BM157" s="195"/>
      <c r="BN157" s="194"/>
      <c r="BO157" s="123"/>
      <c r="BP157" s="195"/>
      <c r="BQ157" s="194"/>
      <c r="BR157" s="123"/>
      <c r="BS157" s="195"/>
      <c r="BT157" s="194"/>
      <c r="BU157" s="123"/>
      <c r="BV157" s="195"/>
      <c r="BW157" s="194"/>
      <c r="BX157" s="123"/>
      <c r="BY157" s="195"/>
      <c r="BZ157" s="194"/>
      <c r="CA157" s="123"/>
      <c r="CB157" s="195"/>
      <c r="CC157" s="194"/>
      <c r="CD157" s="123"/>
      <c r="CE157" s="195"/>
      <c r="CF157" s="194"/>
      <c r="CG157" s="123"/>
      <c r="CH157" s="195"/>
      <c r="CI157" s="194"/>
      <c r="CJ157" s="123"/>
      <c r="CK157" s="195"/>
      <c r="CL157" s="194"/>
      <c r="CM157" s="123"/>
      <c r="CN157" s="195"/>
      <c r="CO157" s="194"/>
      <c r="CP157" s="123"/>
      <c r="CQ157" s="195"/>
      <c r="CR157" s="194"/>
      <c r="CS157" s="123"/>
      <c r="CT157" s="195"/>
      <c r="CU157" s="194"/>
      <c r="CV157" s="123"/>
      <c r="CW157" s="195"/>
      <c r="CX157" s="194"/>
      <c r="CY157" s="123"/>
      <c r="CZ157" s="195"/>
      <c r="DA157" s="194"/>
      <c r="DB157" s="123"/>
      <c r="DC157" s="195"/>
      <c r="DD157" s="194"/>
      <c r="DE157" s="123"/>
      <c r="DF157" s="195"/>
      <c r="DH157" s="311"/>
      <c r="DI157" s="311"/>
      <c r="DJ157" s="311"/>
      <c r="DK157" s="311"/>
      <c r="DL157" s="321"/>
      <c r="DM157" s="321"/>
      <c r="DN157" s="321"/>
      <c r="DO157" s="321"/>
      <c r="DP157" s="321"/>
      <c r="DQ157" s="321"/>
      <c r="DR157" s="321"/>
      <c r="DS157" s="321"/>
    </row>
    <row r="158" spans="1:123" ht="7.4" customHeight="1" x14ac:dyDescent="0.5">
      <c r="A158" s="42"/>
      <c r="B158" s="42"/>
      <c r="C158" s="55"/>
      <c r="D158" s="55"/>
      <c r="E158" s="41"/>
      <c r="F158" s="42"/>
      <c r="G158" s="56"/>
      <c r="H158" s="56"/>
      <c r="I158" s="56"/>
      <c r="J158" s="56"/>
      <c r="K158" s="56"/>
      <c r="L158" s="56"/>
      <c r="M158" s="56"/>
      <c r="N158" s="56"/>
      <c r="O158" s="56"/>
      <c r="P158" s="56"/>
      <c r="Q158" s="56"/>
      <c r="R158" s="126"/>
      <c r="S158" s="42"/>
      <c r="T158" s="45"/>
      <c r="U158" s="45"/>
      <c r="V158" s="45"/>
      <c r="W158" s="45"/>
      <c r="X158" s="45"/>
      <c r="Y158" s="45"/>
      <c r="Z158" s="45"/>
      <c r="AA158" s="45"/>
      <c r="AB158" s="45"/>
      <c r="AC158" s="45"/>
      <c r="AD158" s="45"/>
      <c r="AE158" s="45"/>
      <c r="AF158" s="45"/>
      <c r="AG158" s="45"/>
      <c r="AH158" s="45"/>
      <c r="AI158" s="45"/>
      <c r="AJ158" s="244"/>
      <c r="AK158" s="42"/>
      <c r="AL158" s="311"/>
      <c r="AM158" s="311"/>
      <c r="AN158" s="311"/>
      <c r="AO158" s="311"/>
      <c r="AP158" s="43"/>
      <c r="AQ158" s="42"/>
      <c r="AR158" s="46"/>
      <c r="AS158" s="46"/>
      <c r="AT158" s="46"/>
      <c r="AU158" s="46"/>
      <c r="AV158" s="46"/>
      <c r="AW158" s="46"/>
      <c r="AX158" s="105"/>
      <c r="AZ158" s="119"/>
      <c r="BA158" s="119"/>
      <c r="BB158" s="119"/>
      <c r="BC158" s="119"/>
      <c r="BD158" s="119"/>
      <c r="BE158" s="119"/>
      <c r="BF158" s="119"/>
      <c r="BG158" s="119"/>
      <c r="BH158" s="124"/>
      <c r="BI158" s="124"/>
      <c r="BK158" s="194"/>
      <c r="BL158" s="123"/>
      <c r="BM158" s="195"/>
      <c r="BN158" s="194"/>
      <c r="BO158" s="123"/>
      <c r="BP158" s="195"/>
      <c r="BQ158" s="194"/>
      <c r="BR158" s="123"/>
      <c r="BS158" s="195"/>
      <c r="BT158" s="194"/>
      <c r="BU158" s="123"/>
      <c r="BV158" s="195"/>
      <c r="BW158" s="194"/>
      <c r="BX158" s="123"/>
      <c r="BY158" s="195"/>
      <c r="BZ158" s="194"/>
      <c r="CA158" s="123"/>
      <c r="CB158" s="195"/>
      <c r="CC158" s="194"/>
      <c r="CD158" s="123"/>
      <c r="CE158" s="195"/>
      <c r="CF158" s="194"/>
      <c r="CG158" s="123"/>
      <c r="CH158" s="195"/>
      <c r="CI158" s="194"/>
      <c r="CJ158" s="123"/>
      <c r="CK158" s="195"/>
      <c r="CL158" s="194"/>
      <c r="CM158" s="123"/>
      <c r="CN158" s="195"/>
      <c r="CO158" s="194"/>
      <c r="CP158" s="123"/>
      <c r="CQ158" s="195"/>
      <c r="CR158" s="194"/>
      <c r="CS158" s="123"/>
      <c r="CT158" s="195"/>
      <c r="CU158" s="194"/>
      <c r="CV158" s="123"/>
      <c r="CW158" s="195"/>
      <c r="CX158" s="194"/>
      <c r="CY158" s="123"/>
      <c r="CZ158" s="195"/>
      <c r="DA158" s="194"/>
      <c r="DB158" s="123"/>
      <c r="DC158" s="195"/>
      <c r="DD158" s="194"/>
      <c r="DE158" s="123"/>
      <c r="DF158" s="195"/>
      <c r="DL158" s="105"/>
      <c r="DM158" s="105"/>
      <c r="DN158" s="105"/>
      <c r="DO158" s="105"/>
      <c r="DP158" s="105"/>
      <c r="DQ158" s="105"/>
      <c r="DR158" s="105"/>
      <c r="DS158" s="105"/>
    </row>
    <row r="159" spans="1:123" ht="7.4" customHeight="1" x14ac:dyDescent="0.5">
      <c r="A159" s="42"/>
      <c r="B159" s="42"/>
      <c r="C159" s="311">
        <f>C155+1</f>
        <v>11</v>
      </c>
      <c r="D159" s="311"/>
      <c r="E159" s="41"/>
      <c r="F159" s="42"/>
      <c r="G159" s="319" t="str">
        <f>IF(AL159=0,"N/A","AXE_BH_8_25"&amp;"_SS")</f>
        <v>N/A</v>
      </c>
      <c r="H159" s="319"/>
      <c r="I159" s="319"/>
      <c r="J159" s="319"/>
      <c r="K159" s="319"/>
      <c r="L159" s="319"/>
      <c r="M159" s="319"/>
      <c r="N159" s="319"/>
      <c r="O159" s="319"/>
      <c r="P159" s="319"/>
      <c r="Q159" s="319"/>
      <c r="R159" s="320"/>
      <c r="S159" s="42"/>
      <c r="T159" s="521" t="str">
        <f>VLOOKUP(G159,PL!$B$9:$BH$1265,14,FALSE)</f>
        <v>No Item</v>
      </c>
      <c r="U159" s="521"/>
      <c r="V159" s="521"/>
      <c r="W159" s="521"/>
      <c r="X159" s="521"/>
      <c r="Y159" s="521"/>
      <c r="Z159" s="521"/>
      <c r="AA159" s="521"/>
      <c r="AB159" s="521"/>
      <c r="AC159" s="521"/>
      <c r="AD159" s="521"/>
      <c r="AE159" s="521"/>
      <c r="AF159" s="521"/>
      <c r="AG159" s="521"/>
      <c r="AH159" s="521"/>
      <c r="AI159" s="521"/>
      <c r="AJ159" s="522"/>
      <c r="AK159" s="42"/>
      <c r="AL159" s="311">
        <f>ROUND(SUM(BK159:DF159)*(1+$BF$80),0)</f>
        <v>0</v>
      </c>
      <c r="AM159" s="311"/>
      <c r="AN159" s="311"/>
      <c r="AO159" s="311"/>
      <c r="AP159" s="43"/>
      <c r="AQ159" s="111"/>
      <c r="AR159" s="308" t="str">
        <f>VLOOKUP(G159,PL!$B$9:$BH$818,52,FALSE)</f>
        <v>-</v>
      </c>
      <c r="AS159" s="309"/>
      <c r="AT159" s="309"/>
      <c r="AU159" s="309"/>
      <c r="AV159" s="309"/>
      <c r="AW159" s="309"/>
      <c r="AX159" s="309"/>
      <c r="AY159" s="309"/>
      <c r="AZ159" s="309"/>
      <c r="BA159" s="309"/>
      <c r="BB159" s="309"/>
      <c r="BC159" s="309"/>
      <c r="BD159" s="309"/>
      <c r="BE159" s="309"/>
      <c r="BF159" s="309"/>
      <c r="BG159" s="309"/>
      <c r="BH159" s="124"/>
      <c r="BI159" s="124"/>
      <c r="BK159" s="412">
        <f>IF(OR(MID($G$139,8,1)="L",MID($G$139,11,1)="V"),BK139,0)</f>
        <v>0</v>
      </c>
      <c r="BL159" s="413"/>
      <c r="BM159" s="414"/>
      <c r="BN159" s="412">
        <f>IF(OR(MID($G$139,8,1)="L",MID($G$139,11,1)="V"),BN139,0)</f>
        <v>0</v>
      </c>
      <c r="BO159" s="413"/>
      <c r="BP159" s="414"/>
      <c r="BQ159" s="412">
        <f>IF(OR(MID($G$139,8,1)="L",MID($G$139,11,1)="V"),BQ139,0)</f>
        <v>0</v>
      </c>
      <c r="BR159" s="413"/>
      <c r="BS159" s="414"/>
      <c r="BT159" s="412">
        <f>IF(OR(MID($G$139,8,1)="L",MID($G$139,11,1)="V"),BT139,0)</f>
        <v>0</v>
      </c>
      <c r="BU159" s="413"/>
      <c r="BV159" s="414"/>
      <c r="BW159" s="412">
        <f>IF(OR(MID($G$139,8,1)="L",MID($G$139,11,1)="V"),BW139,0)</f>
        <v>0</v>
      </c>
      <c r="BX159" s="413"/>
      <c r="BY159" s="414"/>
      <c r="BZ159" s="412">
        <f>IF(OR(MID($G$139,8,1)="L",MID($G$139,11,1)="V"),BZ139,0)</f>
        <v>0</v>
      </c>
      <c r="CA159" s="413"/>
      <c r="CB159" s="414"/>
      <c r="CC159" s="412">
        <f>IF(OR(MID($G$139,8,1)="L",MID($G$139,11,1)="V"),CC139,0)</f>
        <v>0</v>
      </c>
      <c r="CD159" s="413"/>
      <c r="CE159" s="414"/>
      <c r="CF159" s="412">
        <f>IF(OR(MID($G$139,8,1)="L",MID($G$139,11,1)="V"),CF139,0)</f>
        <v>0</v>
      </c>
      <c r="CG159" s="413"/>
      <c r="CH159" s="414"/>
      <c r="CI159" s="412">
        <f>IF(OR(MID($G$139,8,1)="L",MID($G$139,11,1)="V"),CI139,0)</f>
        <v>0</v>
      </c>
      <c r="CJ159" s="413"/>
      <c r="CK159" s="414"/>
      <c r="CL159" s="412">
        <f>IF(OR(MID($G$139,8,1)="L",MID($G$139,11,1)="V"),CL139,0)</f>
        <v>0</v>
      </c>
      <c r="CM159" s="413"/>
      <c r="CN159" s="414"/>
      <c r="CO159" s="412">
        <f>IF(OR(MID($G$139,8,1)="L",MID($G$139,11,1)="V"),CO139,0)</f>
        <v>0</v>
      </c>
      <c r="CP159" s="413"/>
      <c r="CQ159" s="414"/>
      <c r="CR159" s="412">
        <f>IF(OR(MID($G$139,8,1)="L",MID($G$139,11,1)="V"),CR139,0)</f>
        <v>0</v>
      </c>
      <c r="CS159" s="413"/>
      <c r="CT159" s="414"/>
      <c r="CU159" s="412">
        <f>IF(OR(MID($G$139,8,1)="L",MID($G$139,11,1)="V"),CU139,0)</f>
        <v>0</v>
      </c>
      <c r="CV159" s="413"/>
      <c r="CW159" s="414"/>
      <c r="CX159" s="412">
        <f>IF(OR(MID($G$139,8,1)="L",MID($G$139,11,1)="V"),CX139,0)</f>
        <v>0</v>
      </c>
      <c r="CY159" s="413"/>
      <c r="CZ159" s="414"/>
      <c r="DA159" s="412">
        <f>IF(OR(MID($G$139,8,1)="L",MID($G$139,11,1)="V"),DA139,0)</f>
        <v>0</v>
      </c>
      <c r="DB159" s="413"/>
      <c r="DC159" s="414"/>
      <c r="DD159" s="412">
        <f>IF(OR(MID($G$139,8,1)="L",MID($G$139,11,1)="V"),DD139,0)</f>
        <v>0</v>
      </c>
      <c r="DE159" s="413"/>
      <c r="DF159" s="414"/>
      <c r="DH159" s="311"/>
      <c r="DI159" s="311"/>
      <c r="DJ159" s="311"/>
      <c r="DK159" s="311"/>
      <c r="DL159" s="321"/>
      <c r="DM159" s="321"/>
      <c r="DN159" s="321"/>
      <c r="DO159" s="321"/>
      <c r="DP159" s="321"/>
      <c r="DQ159" s="321"/>
      <c r="DR159" s="321"/>
      <c r="DS159" s="321"/>
    </row>
    <row r="160" spans="1:123" ht="7.4" customHeight="1" x14ac:dyDescent="0.5">
      <c r="A160" s="42"/>
      <c r="B160" s="42"/>
      <c r="C160" s="311"/>
      <c r="D160" s="311"/>
      <c r="E160" s="41"/>
      <c r="F160" s="42"/>
      <c r="G160" s="319"/>
      <c r="H160" s="319"/>
      <c r="I160" s="319"/>
      <c r="J160" s="319"/>
      <c r="K160" s="319"/>
      <c r="L160" s="319"/>
      <c r="M160" s="319"/>
      <c r="N160" s="319"/>
      <c r="O160" s="319"/>
      <c r="P160" s="319"/>
      <c r="Q160" s="319"/>
      <c r="R160" s="320"/>
      <c r="S160" s="42"/>
      <c r="T160" s="521"/>
      <c r="U160" s="521"/>
      <c r="V160" s="521"/>
      <c r="W160" s="521"/>
      <c r="X160" s="521"/>
      <c r="Y160" s="521"/>
      <c r="Z160" s="521"/>
      <c r="AA160" s="521"/>
      <c r="AB160" s="521"/>
      <c r="AC160" s="521"/>
      <c r="AD160" s="521"/>
      <c r="AE160" s="521"/>
      <c r="AF160" s="521"/>
      <c r="AG160" s="521"/>
      <c r="AH160" s="521"/>
      <c r="AI160" s="521"/>
      <c r="AJ160" s="522"/>
      <c r="AK160" s="42"/>
      <c r="AL160" s="311"/>
      <c r="AM160" s="311"/>
      <c r="AN160" s="311"/>
      <c r="AO160" s="311"/>
      <c r="AP160" s="43"/>
      <c r="AQ160" s="111"/>
      <c r="AR160" s="309"/>
      <c r="AS160" s="309"/>
      <c r="AT160" s="309"/>
      <c r="AU160" s="309"/>
      <c r="AV160" s="309"/>
      <c r="AW160" s="309"/>
      <c r="AX160" s="309"/>
      <c r="AY160" s="309"/>
      <c r="AZ160" s="309"/>
      <c r="BA160" s="309"/>
      <c r="BB160" s="309"/>
      <c r="BC160" s="309"/>
      <c r="BD160" s="309"/>
      <c r="BE160" s="309"/>
      <c r="BF160" s="309"/>
      <c r="BG160" s="309"/>
      <c r="BH160" s="124"/>
      <c r="BI160" s="124"/>
      <c r="BK160" s="412"/>
      <c r="BL160" s="413"/>
      <c r="BM160" s="414"/>
      <c r="BN160" s="412"/>
      <c r="BO160" s="413"/>
      <c r="BP160" s="414"/>
      <c r="BQ160" s="412"/>
      <c r="BR160" s="413"/>
      <c r="BS160" s="414"/>
      <c r="BT160" s="412"/>
      <c r="BU160" s="413"/>
      <c r="BV160" s="414"/>
      <c r="BW160" s="412"/>
      <c r="BX160" s="413"/>
      <c r="BY160" s="414"/>
      <c r="BZ160" s="412"/>
      <c r="CA160" s="413"/>
      <c r="CB160" s="414"/>
      <c r="CC160" s="412"/>
      <c r="CD160" s="413"/>
      <c r="CE160" s="414"/>
      <c r="CF160" s="412"/>
      <c r="CG160" s="413"/>
      <c r="CH160" s="414"/>
      <c r="CI160" s="412"/>
      <c r="CJ160" s="413"/>
      <c r="CK160" s="414"/>
      <c r="CL160" s="412"/>
      <c r="CM160" s="413"/>
      <c r="CN160" s="414"/>
      <c r="CO160" s="412"/>
      <c r="CP160" s="413"/>
      <c r="CQ160" s="414"/>
      <c r="CR160" s="412"/>
      <c r="CS160" s="413"/>
      <c r="CT160" s="414"/>
      <c r="CU160" s="412"/>
      <c r="CV160" s="413"/>
      <c r="CW160" s="414"/>
      <c r="CX160" s="412"/>
      <c r="CY160" s="413"/>
      <c r="CZ160" s="414"/>
      <c r="DA160" s="412"/>
      <c r="DB160" s="413"/>
      <c r="DC160" s="414"/>
      <c r="DD160" s="412"/>
      <c r="DE160" s="413"/>
      <c r="DF160" s="414"/>
      <c r="DH160" s="311"/>
      <c r="DI160" s="311"/>
      <c r="DJ160" s="311"/>
      <c r="DK160" s="311"/>
      <c r="DL160" s="321"/>
      <c r="DM160" s="321"/>
      <c r="DN160" s="321"/>
      <c r="DO160" s="321"/>
      <c r="DP160" s="321"/>
      <c r="DQ160" s="321"/>
      <c r="DR160" s="321"/>
      <c r="DS160" s="321"/>
    </row>
    <row r="161" spans="1:123" ht="7.4" customHeight="1" x14ac:dyDescent="0.5">
      <c r="A161" s="42"/>
      <c r="B161" s="42"/>
      <c r="C161" s="333"/>
      <c r="D161" s="333"/>
      <c r="E161" s="41"/>
      <c r="F161" s="42"/>
      <c r="G161" s="56"/>
      <c r="H161" s="56"/>
      <c r="I161" s="56"/>
      <c r="J161" s="56"/>
      <c r="K161" s="56"/>
      <c r="L161" s="56"/>
      <c r="M161" s="56"/>
      <c r="N161" s="56"/>
      <c r="O161" s="56"/>
      <c r="P161" s="56"/>
      <c r="Q161" s="56"/>
      <c r="R161" s="126"/>
      <c r="S161" s="42"/>
      <c r="T161" s="257" t="str">
        <f>VLOOKUP(G159,PL!$B$9:$BH$1265,33,FALSE)</f>
        <v>.</v>
      </c>
      <c r="U161" s="45"/>
      <c r="V161" s="45"/>
      <c r="W161" s="45"/>
      <c r="X161" s="45"/>
      <c r="Y161" s="45"/>
      <c r="Z161" s="45"/>
      <c r="AA161" s="45"/>
      <c r="AB161" s="45"/>
      <c r="AC161" s="45"/>
      <c r="AD161" s="45"/>
      <c r="AE161" s="45"/>
      <c r="AF161" s="45"/>
      <c r="AG161" s="45"/>
      <c r="AH161" s="45"/>
      <c r="AI161" s="45"/>
      <c r="AJ161" s="244"/>
      <c r="AK161" s="42"/>
      <c r="AL161" s="311"/>
      <c r="AM161" s="311"/>
      <c r="AN161" s="311"/>
      <c r="AO161" s="311"/>
      <c r="AP161" s="43"/>
      <c r="AQ161" s="42"/>
      <c r="AR161" s="46"/>
      <c r="AS161" s="46"/>
      <c r="AT161" s="46"/>
      <c r="AU161" s="46"/>
      <c r="AV161" s="46"/>
      <c r="AW161" s="46"/>
      <c r="AX161" s="105"/>
      <c r="AZ161" s="119"/>
      <c r="BA161" s="119"/>
      <c r="BB161" s="119"/>
      <c r="BC161" s="119"/>
      <c r="BD161" s="119"/>
      <c r="BE161" s="119"/>
      <c r="BF161" s="119"/>
      <c r="BG161" s="119"/>
      <c r="BH161" s="124"/>
      <c r="BI161" s="124"/>
      <c r="BK161" s="194"/>
      <c r="BL161" s="123"/>
      <c r="BM161" s="195"/>
      <c r="BN161" s="194"/>
      <c r="BO161" s="123"/>
      <c r="BP161" s="195"/>
      <c r="BQ161" s="194"/>
      <c r="BR161" s="123"/>
      <c r="BS161" s="195"/>
      <c r="BT161" s="194"/>
      <c r="BU161" s="123"/>
      <c r="BV161" s="195"/>
      <c r="BW161" s="194"/>
      <c r="BX161" s="123"/>
      <c r="BY161" s="195"/>
      <c r="BZ161" s="194"/>
      <c r="CA161" s="123"/>
      <c r="CB161" s="195"/>
      <c r="CC161" s="194"/>
      <c r="CD161" s="123"/>
      <c r="CE161" s="195"/>
      <c r="CF161" s="194"/>
      <c r="CG161" s="123"/>
      <c r="CH161" s="195"/>
      <c r="CI161" s="194"/>
      <c r="CJ161" s="123"/>
      <c r="CK161" s="195"/>
      <c r="CL161" s="194"/>
      <c r="CM161" s="123"/>
      <c r="CN161" s="195"/>
      <c r="CO161" s="194"/>
      <c r="CP161" s="123"/>
      <c r="CQ161" s="195"/>
      <c r="CR161" s="194"/>
      <c r="CS161" s="123"/>
      <c r="CT161" s="195"/>
      <c r="CU161" s="194"/>
      <c r="CV161" s="123"/>
      <c r="CW161" s="195"/>
      <c r="CX161" s="194"/>
      <c r="CY161" s="123"/>
      <c r="CZ161" s="195"/>
      <c r="DA161" s="194"/>
      <c r="DB161" s="123"/>
      <c r="DC161" s="195"/>
      <c r="DD161" s="194"/>
      <c r="DE161" s="123"/>
      <c r="DF161" s="195"/>
      <c r="DH161" s="311"/>
      <c r="DI161" s="311"/>
      <c r="DJ161" s="311"/>
      <c r="DK161" s="311"/>
      <c r="DL161" s="321"/>
      <c r="DM161" s="321"/>
      <c r="DN161" s="321"/>
      <c r="DO161" s="321"/>
      <c r="DP161" s="321"/>
      <c r="DQ161" s="321"/>
      <c r="DR161" s="321"/>
      <c r="DS161" s="321"/>
    </row>
    <row r="162" spans="1:123" ht="7.4" customHeight="1" x14ac:dyDescent="0.5">
      <c r="A162" s="42"/>
      <c r="B162" s="42"/>
      <c r="C162" s="333"/>
      <c r="D162" s="333"/>
      <c r="E162" s="41"/>
      <c r="F162" s="42"/>
      <c r="G162" s="56"/>
      <c r="H162" s="56"/>
      <c r="I162" s="56"/>
      <c r="J162" s="56"/>
      <c r="K162" s="56"/>
      <c r="L162" s="56"/>
      <c r="M162" s="56"/>
      <c r="N162" s="56"/>
      <c r="O162" s="56"/>
      <c r="P162" s="56"/>
      <c r="Q162" s="56"/>
      <c r="R162" s="126"/>
      <c r="S162" s="42"/>
      <c r="T162" s="45"/>
      <c r="U162" s="45"/>
      <c r="V162" s="45"/>
      <c r="W162" s="45"/>
      <c r="X162" s="45"/>
      <c r="Y162" s="45"/>
      <c r="Z162" s="45"/>
      <c r="AA162" s="45"/>
      <c r="AB162" s="45"/>
      <c r="AC162" s="45"/>
      <c r="AD162" s="45"/>
      <c r="AE162" s="45"/>
      <c r="AF162" s="45"/>
      <c r="AG162" s="45"/>
      <c r="AH162" s="45"/>
      <c r="AI162" s="45"/>
      <c r="AJ162" s="244"/>
      <c r="AK162" s="42"/>
      <c r="AL162" s="311"/>
      <c r="AM162" s="311"/>
      <c r="AN162" s="311"/>
      <c r="AO162" s="311"/>
      <c r="AP162" s="43"/>
      <c r="AQ162" s="42"/>
      <c r="AR162" s="46"/>
      <c r="AS162" s="46"/>
      <c r="AT162" s="46"/>
      <c r="AU162" s="46"/>
      <c r="AV162" s="46"/>
      <c r="AW162" s="46"/>
      <c r="AX162" s="105"/>
      <c r="AZ162" s="119"/>
      <c r="BA162" s="119"/>
      <c r="BB162" s="119"/>
      <c r="BC162" s="119"/>
      <c r="BD162" s="119"/>
      <c r="BE162" s="119"/>
      <c r="BF162" s="119"/>
      <c r="BG162" s="119"/>
      <c r="BH162" s="124"/>
      <c r="BI162" s="124"/>
      <c r="BK162" s="194"/>
      <c r="BL162" s="123"/>
      <c r="BM162" s="195"/>
      <c r="BN162" s="194"/>
      <c r="BO162" s="123"/>
      <c r="BP162" s="195"/>
      <c r="BQ162" s="194"/>
      <c r="BR162" s="123"/>
      <c r="BS162" s="195"/>
      <c r="BT162" s="194"/>
      <c r="BU162" s="123"/>
      <c r="BV162" s="195"/>
      <c r="BW162" s="194"/>
      <c r="BX162" s="123"/>
      <c r="BY162" s="195"/>
      <c r="BZ162" s="194"/>
      <c r="CA162" s="123"/>
      <c r="CB162" s="195"/>
      <c r="CC162" s="194"/>
      <c r="CD162" s="123"/>
      <c r="CE162" s="195"/>
      <c r="CF162" s="194"/>
      <c r="CG162" s="123"/>
      <c r="CH162" s="195"/>
      <c r="CI162" s="194"/>
      <c r="CJ162" s="123"/>
      <c r="CK162" s="195"/>
      <c r="CL162" s="194"/>
      <c r="CM162" s="123"/>
      <c r="CN162" s="195"/>
      <c r="CO162" s="194"/>
      <c r="CP162" s="123"/>
      <c r="CQ162" s="195"/>
      <c r="CR162" s="194"/>
      <c r="CS162" s="123"/>
      <c r="CT162" s="195"/>
      <c r="CU162" s="194"/>
      <c r="CV162" s="123"/>
      <c r="CW162" s="195"/>
      <c r="CX162" s="194"/>
      <c r="CY162" s="123"/>
      <c r="CZ162" s="195"/>
      <c r="DA162" s="194"/>
      <c r="DB162" s="123"/>
      <c r="DC162" s="195"/>
      <c r="DD162" s="194"/>
      <c r="DE162" s="123"/>
      <c r="DF162" s="195"/>
      <c r="DH162" s="311"/>
      <c r="DI162" s="311"/>
      <c r="DJ162" s="311"/>
      <c r="DK162" s="311"/>
      <c r="DL162" s="321"/>
      <c r="DM162" s="321"/>
      <c r="DN162" s="321"/>
      <c r="DO162" s="321"/>
      <c r="DP162" s="321"/>
      <c r="DQ162" s="321"/>
      <c r="DR162" s="321"/>
      <c r="DS162" s="321"/>
    </row>
    <row r="163" spans="1:123" ht="7.4" customHeight="1" x14ac:dyDescent="0.5">
      <c r="A163" s="42"/>
      <c r="B163" s="42"/>
      <c r="C163" s="311">
        <f>C159+1</f>
        <v>12</v>
      </c>
      <c r="D163" s="311"/>
      <c r="E163" s="41"/>
      <c r="F163" s="42"/>
      <c r="G163" s="319" t="str">
        <f>IF(AL163=0,"N/A","AXE_CS_8_20"&amp;"_SS")</f>
        <v>N/A</v>
      </c>
      <c r="H163" s="319"/>
      <c r="I163" s="319"/>
      <c r="J163" s="319"/>
      <c r="K163" s="319"/>
      <c r="L163" s="319"/>
      <c r="M163" s="319"/>
      <c r="N163" s="319"/>
      <c r="O163" s="319"/>
      <c r="P163" s="319"/>
      <c r="Q163" s="319"/>
      <c r="R163" s="320"/>
      <c r="S163" s="42"/>
      <c r="T163" s="521" t="str">
        <f>VLOOKUP(G163,PL!$B$9:$BH$1265,14,FALSE)</f>
        <v>No Item</v>
      </c>
      <c r="U163" s="521"/>
      <c r="V163" s="521"/>
      <c r="W163" s="521"/>
      <c r="X163" s="521"/>
      <c r="Y163" s="521"/>
      <c r="Z163" s="521"/>
      <c r="AA163" s="521"/>
      <c r="AB163" s="521"/>
      <c r="AC163" s="521"/>
      <c r="AD163" s="521"/>
      <c r="AE163" s="521"/>
      <c r="AF163" s="521"/>
      <c r="AG163" s="521"/>
      <c r="AH163" s="521"/>
      <c r="AI163" s="521"/>
      <c r="AJ163" s="522"/>
      <c r="AK163" s="42"/>
      <c r="AL163" s="311">
        <f>ROUND(SUM(BK163:DF163)*(1+$BF$80),0)</f>
        <v>0</v>
      </c>
      <c r="AM163" s="311"/>
      <c r="AN163" s="311"/>
      <c r="AO163" s="311"/>
      <c r="AP163" s="43"/>
      <c r="AQ163" s="111"/>
      <c r="AR163" s="308" t="str">
        <f>VLOOKUP(G163,PL!$B$9:$BH$818,52,FALSE)</f>
        <v>-</v>
      </c>
      <c r="AS163" s="309"/>
      <c r="AT163" s="309"/>
      <c r="AU163" s="309"/>
      <c r="AV163" s="309"/>
      <c r="AW163" s="309"/>
      <c r="AX163" s="309"/>
      <c r="AY163" s="309"/>
      <c r="AZ163" s="309"/>
      <c r="BA163" s="309"/>
      <c r="BB163" s="309"/>
      <c r="BC163" s="309"/>
      <c r="BD163" s="309"/>
      <c r="BE163" s="309"/>
      <c r="BF163" s="309"/>
      <c r="BG163" s="309"/>
      <c r="BH163" s="124"/>
      <c r="BI163" s="124"/>
      <c r="BK163" s="412">
        <f>IF($AI$82="Included",1,0)*M54*4</f>
        <v>0</v>
      </c>
      <c r="BL163" s="413"/>
      <c r="BM163" s="414"/>
      <c r="BN163" s="412">
        <f>IF($AI$82="Included",1,0)*P54*4</f>
        <v>0</v>
      </c>
      <c r="BO163" s="413"/>
      <c r="BP163" s="414"/>
      <c r="BQ163" s="412">
        <f>IF($AI$82="Included",1,0)*S54*4</f>
        <v>0</v>
      </c>
      <c r="BR163" s="413"/>
      <c r="BS163" s="414"/>
      <c r="BT163" s="412">
        <f>IF($AI$82="Included",1,0)*V54*4</f>
        <v>0</v>
      </c>
      <c r="BU163" s="413"/>
      <c r="BV163" s="414"/>
      <c r="BW163" s="412">
        <f>IF($AI$82="Included",1,0)*Y54*4</f>
        <v>0</v>
      </c>
      <c r="BX163" s="413"/>
      <c r="BY163" s="414"/>
      <c r="BZ163" s="412">
        <f>IF($AI$82="Included",1,0)*AB54*4</f>
        <v>0</v>
      </c>
      <c r="CA163" s="413"/>
      <c r="CB163" s="414"/>
      <c r="CC163" s="412">
        <f>IF($AI$82="Included",1,0)*AE54*4</f>
        <v>0</v>
      </c>
      <c r="CD163" s="413"/>
      <c r="CE163" s="414"/>
      <c r="CF163" s="412">
        <f>IF($AI$82="Included",1,0)*AH54*4</f>
        <v>0</v>
      </c>
      <c r="CG163" s="413"/>
      <c r="CH163" s="414"/>
      <c r="CI163" s="412">
        <f>IF($AI$82="Included",1,0)*AK54*4</f>
        <v>0</v>
      </c>
      <c r="CJ163" s="413"/>
      <c r="CK163" s="414"/>
      <c r="CL163" s="412">
        <f>IF($AI$82="Included",1,0)*AN54*4</f>
        <v>0</v>
      </c>
      <c r="CM163" s="413"/>
      <c r="CN163" s="414"/>
      <c r="CO163" s="412">
        <f>IF($AI$82="Included",1,0)*AQ54*4</f>
        <v>0</v>
      </c>
      <c r="CP163" s="413"/>
      <c r="CQ163" s="414"/>
      <c r="CR163" s="412">
        <f>IF($AI$82="Included",1,0)*AT54*4</f>
        <v>0</v>
      </c>
      <c r="CS163" s="413"/>
      <c r="CT163" s="414"/>
      <c r="CU163" s="412">
        <f>IF($AI$82="Included",1,0)*AW54*4</f>
        <v>0</v>
      </c>
      <c r="CV163" s="413"/>
      <c r="CW163" s="414"/>
      <c r="CX163" s="412">
        <f>IF($AI$82="Included",1,0)*AZ54*4</f>
        <v>0</v>
      </c>
      <c r="CY163" s="413"/>
      <c r="CZ163" s="414"/>
      <c r="DA163" s="412">
        <f>IF($AI$82="Included",1,0)*BC54*4</f>
        <v>0</v>
      </c>
      <c r="DB163" s="413"/>
      <c r="DC163" s="414"/>
      <c r="DD163" s="412">
        <f>IF($AI$82="Included",1,0)*BF54*4</f>
        <v>0</v>
      </c>
      <c r="DE163" s="413"/>
      <c r="DF163" s="414"/>
      <c r="DH163" s="311"/>
      <c r="DI163" s="311"/>
      <c r="DJ163" s="311"/>
      <c r="DK163" s="311"/>
      <c r="DL163" s="321"/>
      <c r="DM163" s="321"/>
      <c r="DN163" s="321"/>
      <c r="DO163" s="321"/>
      <c r="DP163" s="321"/>
      <c r="DQ163" s="321"/>
      <c r="DR163" s="321"/>
      <c r="DS163" s="321"/>
    </row>
    <row r="164" spans="1:123" ht="7.4" customHeight="1" x14ac:dyDescent="0.5">
      <c r="A164" s="42"/>
      <c r="B164" s="42"/>
      <c r="C164" s="311"/>
      <c r="D164" s="311"/>
      <c r="E164" s="41"/>
      <c r="F164" s="42"/>
      <c r="G164" s="319"/>
      <c r="H164" s="319"/>
      <c r="I164" s="319"/>
      <c r="J164" s="319"/>
      <c r="K164" s="319"/>
      <c r="L164" s="319"/>
      <c r="M164" s="319"/>
      <c r="N164" s="319"/>
      <c r="O164" s="319"/>
      <c r="P164" s="319"/>
      <c r="Q164" s="319"/>
      <c r="R164" s="320"/>
      <c r="S164" s="42"/>
      <c r="T164" s="521"/>
      <c r="U164" s="521"/>
      <c r="V164" s="521"/>
      <c r="W164" s="521"/>
      <c r="X164" s="521"/>
      <c r="Y164" s="521"/>
      <c r="Z164" s="521"/>
      <c r="AA164" s="521"/>
      <c r="AB164" s="521"/>
      <c r="AC164" s="521"/>
      <c r="AD164" s="521"/>
      <c r="AE164" s="521"/>
      <c r="AF164" s="521"/>
      <c r="AG164" s="521"/>
      <c r="AH164" s="521"/>
      <c r="AI164" s="521"/>
      <c r="AJ164" s="522"/>
      <c r="AK164" s="42"/>
      <c r="AL164" s="311"/>
      <c r="AM164" s="311"/>
      <c r="AN164" s="311"/>
      <c r="AO164" s="311"/>
      <c r="AP164" s="43"/>
      <c r="AQ164" s="111"/>
      <c r="AR164" s="309"/>
      <c r="AS164" s="309"/>
      <c r="AT164" s="309"/>
      <c r="AU164" s="309"/>
      <c r="AV164" s="309"/>
      <c r="AW164" s="309"/>
      <c r="AX164" s="309"/>
      <c r="AY164" s="309"/>
      <c r="AZ164" s="309"/>
      <c r="BA164" s="309"/>
      <c r="BB164" s="309"/>
      <c r="BC164" s="309"/>
      <c r="BD164" s="309"/>
      <c r="BE164" s="309"/>
      <c r="BF164" s="309"/>
      <c r="BG164" s="309"/>
      <c r="BH164" s="124"/>
      <c r="BI164" s="124"/>
      <c r="BK164" s="412"/>
      <c r="BL164" s="413"/>
      <c r="BM164" s="414"/>
      <c r="BN164" s="412"/>
      <c r="BO164" s="413"/>
      <c r="BP164" s="414"/>
      <c r="BQ164" s="412"/>
      <c r="BR164" s="413"/>
      <c r="BS164" s="414"/>
      <c r="BT164" s="412"/>
      <c r="BU164" s="413"/>
      <c r="BV164" s="414"/>
      <c r="BW164" s="412"/>
      <c r="BX164" s="413"/>
      <c r="BY164" s="414"/>
      <c r="BZ164" s="412"/>
      <c r="CA164" s="413"/>
      <c r="CB164" s="414"/>
      <c r="CC164" s="412"/>
      <c r="CD164" s="413"/>
      <c r="CE164" s="414"/>
      <c r="CF164" s="412"/>
      <c r="CG164" s="413"/>
      <c r="CH164" s="414"/>
      <c r="CI164" s="412"/>
      <c r="CJ164" s="413"/>
      <c r="CK164" s="414"/>
      <c r="CL164" s="412"/>
      <c r="CM164" s="413"/>
      <c r="CN164" s="414"/>
      <c r="CO164" s="412"/>
      <c r="CP164" s="413"/>
      <c r="CQ164" s="414"/>
      <c r="CR164" s="412"/>
      <c r="CS164" s="413"/>
      <c r="CT164" s="414"/>
      <c r="CU164" s="412"/>
      <c r="CV164" s="413"/>
      <c r="CW164" s="414"/>
      <c r="CX164" s="412"/>
      <c r="CY164" s="413"/>
      <c r="CZ164" s="414"/>
      <c r="DA164" s="412"/>
      <c r="DB164" s="413"/>
      <c r="DC164" s="414"/>
      <c r="DD164" s="412"/>
      <c r="DE164" s="413"/>
      <c r="DF164" s="414"/>
      <c r="DH164" s="311"/>
      <c r="DI164" s="311"/>
      <c r="DJ164" s="311"/>
      <c r="DK164" s="311"/>
      <c r="DL164" s="321"/>
      <c r="DM164" s="321"/>
      <c r="DN164" s="321"/>
      <c r="DO164" s="321"/>
      <c r="DP164" s="321"/>
      <c r="DQ164" s="321"/>
      <c r="DR164" s="321"/>
      <c r="DS164" s="321"/>
    </row>
    <row r="165" spans="1:123" ht="7.4" customHeight="1" x14ac:dyDescent="0.5">
      <c r="A165" s="42"/>
      <c r="B165" s="42"/>
      <c r="C165" s="333"/>
      <c r="D165" s="333"/>
      <c r="E165" s="41"/>
      <c r="F165" s="42"/>
      <c r="G165" s="56"/>
      <c r="H165" s="56"/>
      <c r="I165" s="56"/>
      <c r="J165" s="56"/>
      <c r="K165" s="56"/>
      <c r="L165" s="56"/>
      <c r="M165" s="56"/>
      <c r="N165" s="56"/>
      <c r="O165" s="56"/>
      <c r="P165" s="56"/>
      <c r="Q165" s="56"/>
      <c r="R165" s="126"/>
      <c r="S165" s="42"/>
      <c r="T165" s="116" t="str">
        <f>VLOOKUP(G163,PL!$B$9:$BH$1265,33,FALSE)</f>
        <v>.</v>
      </c>
      <c r="U165" s="45"/>
      <c r="V165" s="45"/>
      <c r="W165" s="45"/>
      <c r="X165" s="45"/>
      <c r="Y165" s="45"/>
      <c r="Z165" s="45"/>
      <c r="AA165" s="45"/>
      <c r="AB165" s="45"/>
      <c r="AC165" s="45"/>
      <c r="AD165" s="45"/>
      <c r="AE165" s="45"/>
      <c r="AF165" s="45"/>
      <c r="AG165" s="45"/>
      <c r="AH165" s="45"/>
      <c r="AI165" s="45"/>
      <c r="AJ165" s="244"/>
      <c r="AK165" s="42"/>
      <c r="AL165" s="311"/>
      <c r="AM165" s="311"/>
      <c r="AN165" s="311"/>
      <c r="AO165" s="311"/>
      <c r="AP165" s="43"/>
      <c r="AQ165" s="42"/>
      <c r="AR165" s="46"/>
      <c r="AS165" s="46"/>
      <c r="AT165" s="46"/>
      <c r="AU165" s="46"/>
      <c r="AV165" s="46"/>
      <c r="AW165" s="46"/>
      <c r="AX165" s="105"/>
      <c r="AZ165" s="119"/>
      <c r="BA165" s="119"/>
      <c r="BB165" s="119"/>
      <c r="BC165" s="119"/>
      <c r="BD165" s="119"/>
      <c r="BE165" s="119"/>
      <c r="BF165" s="119"/>
      <c r="BG165" s="119"/>
      <c r="BH165" s="124"/>
      <c r="BI165" s="124"/>
      <c r="BK165" s="194"/>
      <c r="BL165" s="123"/>
      <c r="BM165" s="195"/>
      <c r="BN165" s="194"/>
      <c r="BO165" s="123"/>
      <c r="BP165" s="195"/>
      <c r="BQ165" s="194"/>
      <c r="BR165" s="123"/>
      <c r="BS165" s="195"/>
      <c r="BT165" s="194"/>
      <c r="BU165" s="123"/>
      <c r="BV165" s="195"/>
      <c r="BW165" s="194"/>
      <c r="BX165" s="123"/>
      <c r="BY165" s="195"/>
      <c r="BZ165" s="194"/>
      <c r="CA165" s="123"/>
      <c r="CB165" s="195"/>
      <c r="CC165" s="194"/>
      <c r="CD165" s="123"/>
      <c r="CE165" s="195"/>
      <c r="CF165" s="194"/>
      <c r="CG165" s="123"/>
      <c r="CH165" s="195"/>
      <c r="CI165" s="194"/>
      <c r="CJ165" s="123"/>
      <c r="CK165" s="195"/>
      <c r="CL165" s="194"/>
      <c r="CM165" s="123"/>
      <c r="CN165" s="195"/>
      <c r="CO165" s="194"/>
      <c r="CP165" s="123"/>
      <c r="CQ165" s="195"/>
      <c r="CR165" s="194"/>
      <c r="CS165" s="123"/>
      <c r="CT165" s="195"/>
      <c r="CU165" s="194"/>
      <c r="CV165" s="123"/>
      <c r="CW165" s="195"/>
      <c r="CX165" s="194"/>
      <c r="CY165" s="123"/>
      <c r="CZ165" s="195"/>
      <c r="DA165" s="194"/>
      <c r="DB165" s="123"/>
      <c r="DC165" s="195"/>
      <c r="DD165" s="194"/>
      <c r="DE165" s="123"/>
      <c r="DF165" s="195"/>
      <c r="DH165" s="311"/>
      <c r="DI165" s="311"/>
      <c r="DJ165" s="311"/>
      <c r="DK165" s="311"/>
      <c r="DL165" s="321"/>
      <c r="DM165" s="321"/>
      <c r="DN165" s="321"/>
      <c r="DO165" s="321"/>
      <c r="DP165" s="321"/>
      <c r="DQ165" s="321"/>
      <c r="DR165" s="321"/>
      <c r="DS165" s="321"/>
    </row>
    <row r="166" spans="1:123" ht="7.4" customHeight="1" x14ac:dyDescent="0.5">
      <c r="A166" s="42"/>
      <c r="B166" s="42"/>
      <c r="C166" s="333"/>
      <c r="D166" s="333"/>
      <c r="E166" s="41"/>
      <c r="F166" s="42"/>
      <c r="G166" s="56"/>
      <c r="H166" s="56"/>
      <c r="I166" s="56"/>
      <c r="J166" s="56"/>
      <c r="K166" s="56"/>
      <c r="L166" s="56"/>
      <c r="M166" s="56"/>
      <c r="N166" s="56"/>
      <c r="O166" s="56"/>
      <c r="P166" s="56"/>
      <c r="Q166" s="56"/>
      <c r="R166" s="126"/>
      <c r="S166" s="42"/>
      <c r="T166" s="45"/>
      <c r="U166" s="45"/>
      <c r="V166" s="45"/>
      <c r="W166" s="45"/>
      <c r="X166" s="45"/>
      <c r="Y166" s="45"/>
      <c r="Z166" s="45"/>
      <c r="AA166" s="45"/>
      <c r="AB166" s="45"/>
      <c r="AC166" s="45"/>
      <c r="AD166" s="45"/>
      <c r="AE166" s="45"/>
      <c r="AF166" s="45"/>
      <c r="AG166" s="45"/>
      <c r="AH166" s="45"/>
      <c r="AI166" s="45"/>
      <c r="AJ166" s="244"/>
      <c r="AK166" s="42"/>
      <c r="AL166" s="311"/>
      <c r="AM166" s="311"/>
      <c r="AN166" s="311"/>
      <c r="AO166" s="311"/>
      <c r="AP166" s="43"/>
      <c r="AQ166" s="42"/>
      <c r="AR166" s="46"/>
      <c r="AS166" s="46"/>
      <c r="AT166" s="46"/>
      <c r="AU166" s="46"/>
      <c r="AV166" s="46"/>
      <c r="AW166" s="46"/>
      <c r="AX166" s="105"/>
      <c r="AZ166" s="119"/>
      <c r="BA166" s="119"/>
      <c r="BB166" s="119"/>
      <c r="BC166" s="119"/>
      <c r="BD166" s="119"/>
      <c r="BE166" s="119"/>
      <c r="BF166" s="119"/>
      <c r="BG166" s="119"/>
      <c r="BH166" s="124"/>
      <c r="BI166" s="124"/>
      <c r="BK166" s="194"/>
      <c r="BL166" s="123"/>
      <c r="BM166" s="195"/>
      <c r="BN166" s="194"/>
      <c r="BO166" s="123"/>
      <c r="BP166" s="195"/>
      <c r="BQ166" s="194"/>
      <c r="BR166" s="123"/>
      <c r="BS166" s="195"/>
      <c r="BT166" s="194"/>
      <c r="BU166" s="123"/>
      <c r="BV166" s="195"/>
      <c r="BW166" s="194"/>
      <c r="BX166" s="123"/>
      <c r="BY166" s="195"/>
      <c r="BZ166" s="194"/>
      <c r="CA166" s="123"/>
      <c r="CB166" s="195"/>
      <c r="CC166" s="194"/>
      <c r="CD166" s="123"/>
      <c r="CE166" s="195"/>
      <c r="CF166" s="194"/>
      <c r="CG166" s="123"/>
      <c r="CH166" s="195"/>
      <c r="CI166" s="194"/>
      <c r="CJ166" s="123"/>
      <c r="CK166" s="195"/>
      <c r="CL166" s="194"/>
      <c r="CM166" s="123"/>
      <c r="CN166" s="195"/>
      <c r="CO166" s="194"/>
      <c r="CP166" s="123"/>
      <c r="CQ166" s="195"/>
      <c r="CR166" s="194"/>
      <c r="CS166" s="123"/>
      <c r="CT166" s="195"/>
      <c r="CU166" s="194"/>
      <c r="CV166" s="123"/>
      <c r="CW166" s="195"/>
      <c r="CX166" s="194"/>
      <c r="CY166" s="123"/>
      <c r="CZ166" s="195"/>
      <c r="DA166" s="194"/>
      <c r="DB166" s="123"/>
      <c r="DC166" s="195"/>
      <c r="DD166" s="194"/>
      <c r="DE166" s="123"/>
      <c r="DF166" s="195"/>
      <c r="DH166" s="311"/>
      <c r="DI166" s="311"/>
      <c r="DJ166" s="311"/>
      <c r="DK166" s="311"/>
      <c r="DL166" s="321"/>
      <c r="DM166" s="321"/>
      <c r="DN166" s="321"/>
      <c r="DO166" s="321"/>
      <c r="DP166" s="321"/>
      <c r="DQ166" s="321"/>
      <c r="DR166" s="321"/>
      <c r="DS166" s="321"/>
    </row>
    <row r="167" spans="1:123" ht="7.4" customHeight="1" x14ac:dyDescent="0.5">
      <c r="A167" s="42"/>
      <c r="B167" s="42"/>
      <c r="C167" s="311">
        <f>C163+1</f>
        <v>13</v>
      </c>
      <c r="D167" s="311"/>
      <c r="E167" s="41"/>
      <c r="F167" s="42"/>
      <c r="G167" s="319" t="str">
        <f>IF(AL167=0,"N/A","AXE_CS_8_25"&amp;"_SS")</f>
        <v>N/A</v>
      </c>
      <c r="H167" s="319"/>
      <c r="I167" s="319"/>
      <c r="J167" s="319"/>
      <c r="K167" s="319"/>
      <c r="L167" s="319"/>
      <c r="M167" s="319"/>
      <c r="N167" s="319"/>
      <c r="O167" s="319"/>
      <c r="P167" s="319"/>
      <c r="Q167" s="319"/>
      <c r="R167" s="320"/>
      <c r="S167" s="42"/>
      <c r="T167" s="521" t="str">
        <f>VLOOKUP(G167,PL!$B$9:$BH$1265,14,FALSE)</f>
        <v>No Item</v>
      </c>
      <c r="U167" s="521"/>
      <c r="V167" s="521"/>
      <c r="W167" s="521"/>
      <c r="X167" s="521"/>
      <c r="Y167" s="521"/>
      <c r="Z167" s="521"/>
      <c r="AA167" s="521"/>
      <c r="AB167" s="521"/>
      <c r="AC167" s="521"/>
      <c r="AD167" s="521"/>
      <c r="AE167" s="521"/>
      <c r="AF167" s="521"/>
      <c r="AG167" s="521"/>
      <c r="AH167" s="521"/>
      <c r="AI167" s="521"/>
      <c r="AJ167" s="522"/>
      <c r="AK167" s="42"/>
      <c r="AL167" s="311">
        <f>ROUND(SUM(BK167:DF167)*(1+$BF$80),0)</f>
        <v>0</v>
      </c>
      <c r="AM167" s="311"/>
      <c r="AN167" s="311"/>
      <c r="AO167" s="311"/>
      <c r="AP167" s="43"/>
      <c r="AQ167" s="111"/>
      <c r="AR167" s="308" t="str">
        <f>VLOOKUP(G167,PL!$B$9:$BH$818,52,FALSE)</f>
        <v>-</v>
      </c>
      <c r="AS167" s="309"/>
      <c r="AT167" s="309"/>
      <c r="AU167" s="309"/>
      <c r="AV167" s="309"/>
      <c r="AW167" s="309"/>
      <c r="AX167" s="309"/>
      <c r="AY167" s="309"/>
      <c r="AZ167" s="309"/>
      <c r="BA167" s="309"/>
      <c r="BB167" s="309"/>
      <c r="BC167" s="309"/>
      <c r="BD167" s="309"/>
      <c r="BE167" s="309"/>
      <c r="BF167" s="309"/>
      <c r="BG167" s="309"/>
      <c r="BH167" s="124"/>
      <c r="BI167" s="124"/>
      <c r="BK167" s="412">
        <f>IF($AO$35="Novotexi (MacSteel)",0,BK143)
+IF(MID($G$139,8,2)="CP",BK139,0)</f>
        <v>0</v>
      </c>
      <c r="BL167" s="413"/>
      <c r="BM167" s="414"/>
      <c r="BN167" s="412">
        <f t="shared" ref="BN167" si="68">IF($AO$35="Novotexi (MacSteel)",0,BN143)
+IF(MID($G$139,8,2)="CP",BN139,0)</f>
        <v>0</v>
      </c>
      <c r="BO167" s="413"/>
      <c r="BP167" s="414"/>
      <c r="BQ167" s="412">
        <f t="shared" ref="BQ167" si="69">IF($AO$35="Novotexi (MacSteel)",0,BQ143)
+IF(MID($G$139,8,2)="CP",BQ139,0)</f>
        <v>0</v>
      </c>
      <c r="BR167" s="413"/>
      <c r="BS167" s="414"/>
      <c r="BT167" s="412">
        <f t="shared" ref="BT167" si="70">IF($AO$35="Novotexi (MacSteel)",0,BT143)
+IF(MID($G$139,8,2)="CP",BT139,0)</f>
        <v>0</v>
      </c>
      <c r="BU167" s="413"/>
      <c r="BV167" s="414"/>
      <c r="BW167" s="412">
        <f t="shared" ref="BW167" si="71">IF($AO$35="Novotexi (MacSteel)",0,BW143)
+IF(MID($G$139,8,2)="CP",BW139,0)</f>
        <v>0</v>
      </c>
      <c r="BX167" s="413"/>
      <c r="BY167" s="414"/>
      <c r="BZ167" s="412">
        <f t="shared" ref="BZ167" si="72">IF($AO$35="Novotexi (MacSteel)",0,BZ143)
+IF(MID($G$139,8,2)="CP",BZ139,0)</f>
        <v>0</v>
      </c>
      <c r="CA167" s="413"/>
      <c r="CB167" s="414"/>
      <c r="CC167" s="412">
        <f t="shared" ref="CC167" si="73">IF($AO$35="Novotexi (MacSteel)",0,CC143)
+IF(MID($G$139,8,2)="CP",CC139,0)</f>
        <v>0</v>
      </c>
      <c r="CD167" s="413"/>
      <c r="CE167" s="414"/>
      <c r="CF167" s="412">
        <f t="shared" ref="CF167" si="74">IF($AO$35="Novotexi (MacSteel)",0,CF143)
+IF(MID($G$139,8,2)="CP",CF139,0)</f>
        <v>0</v>
      </c>
      <c r="CG167" s="413"/>
      <c r="CH167" s="414"/>
      <c r="CI167" s="412">
        <f t="shared" ref="CI167" si="75">IF($AO$35="Novotexi (MacSteel)",0,CI143)
+IF(MID($G$139,8,2)="CP",CI139,0)</f>
        <v>0</v>
      </c>
      <c r="CJ167" s="413"/>
      <c r="CK167" s="414"/>
      <c r="CL167" s="412">
        <f t="shared" ref="CL167" si="76">IF($AO$35="Novotexi (MacSteel)",0,CL143)
+IF(MID($G$139,8,2)="CP",CL139,0)</f>
        <v>0</v>
      </c>
      <c r="CM167" s="413"/>
      <c r="CN167" s="414"/>
      <c r="CO167" s="412">
        <f t="shared" ref="CO167" si="77">IF($AO$35="Novotexi (MacSteel)",0,CO143)
+IF(MID($G$139,8,2)="CP",CO139,0)</f>
        <v>0</v>
      </c>
      <c r="CP167" s="413"/>
      <c r="CQ167" s="414"/>
      <c r="CR167" s="412">
        <f t="shared" ref="CR167" si="78">IF($AO$35="Novotexi (MacSteel)",0,CR143)
+IF(MID($G$139,8,2)="CP",CR139,0)</f>
        <v>0</v>
      </c>
      <c r="CS167" s="413"/>
      <c r="CT167" s="414"/>
      <c r="CU167" s="412">
        <f t="shared" ref="CU167" si="79">IF($AO$35="Novotexi (MacSteel)",0,CU143)
+IF(MID($G$139,8,2)="CP",CU139,0)</f>
        <v>0</v>
      </c>
      <c r="CV167" s="413"/>
      <c r="CW167" s="414"/>
      <c r="CX167" s="412">
        <f t="shared" ref="CX167" si="80">IF($AO$35="Novotexi (MacSteel)",0,CX143)
+IF(MID($G$139,8,2)="CP",CX139,0)</f>
        <v>0</v>
      </c>
      <c r="CY167" s="413"/>
      <c r="CZ167" s="414"/>
      <c r="DA167" s="412">
        <f t="shared" ref="DA167" si="81">IF($AO$35="Novotexi (MacSteel)",0,DA143)
+IF(MID($G$139,8,2)="CP",DA139,0)</f>
        <v>0</v>
      </c>
      <c r="DB167" s="413"/>
      <c r="DC167" s="414"/>
      <c r="DD167" s="412">
        <f t="shared" ref="DD167" si="82">IF($AO$35="Novotexi (MacSteel)",0,DD143)
+IF(MID($G$139,8,2)="CP",DD139,0)</f>
        <v>0</v>
      </c>
      <c r="DE167" s="413"/>
      <c r="DF167" s="414"/>
      <c r="DH167" s="311"/>
      <c r="DI167" s="311"/>
      <c r="DJ167" s="311"/>
      <c r="DK167" s="311"/>
      <c r="DL167" s="321"/>
      <c r="DM167" s="321"/>
      <c r="DN167" s="321"/>
      <c r="DO167" s="321"/>
      <c r="DP167" s="321"/>
      <c r="DQ167" s="321"/>
      <c r="DR167" s="321"/>
      <c r="DS167" s="321"/>
    </row>
    <row r="168" spans="1:123" ht="7.4" customHeight="1" x14ac:dyDescent="0.5">
      <c r="A168" s="42"/>
      <c r="B168" s="42"/>
      <c r="C168" s="311"/>
      <c r="D168" s="311"/>
      <c r="E168" s="41"/>
      <c r="F168" s="42"/>
      <c r="G168" s="319"/>
      <c r="H168" s="319"/>
      <c r="I168" s="319"/>
      <c r="J168" s="319"/>
      <c r="K168" s="319"/>
      <c r="L168" s="319"/>
      <c r="M168" s="319"/>
      <c r="N168" s="319"/>
      <c r="O168" s="319"/>
      <c r="P168" s="319"/>
      <c r="Q168" s="319"/>
      <c r="R168" s="320"/>
      <c r="S168" s="42"/>
      <c r="T168" s="521"/>
      <c r="U168" s="521"/>
      <c r="V168" s="521"/>
      <c r="W168" s="521"/>
      <c r="X168" s="521"/>
      <c r="Y168" s="521"/>
      <c r="Z168" s="521"/>
      <c r="AA168" s="521"/>
      <c r="AB168" s="521"/>
      <c r="AC168" s="521"/>
      <c r="AD168" s="521"/>
      <c r="AE168" s="521"/>
      <c r="AF168" s="521"/>
      <c r="AG168" s="521"/>
      <c r="AH168" s="521"/>
      <c r="AI168" s="521"/>
      <c r="AJ168" s="522"/>
      <c r="AK168" s="42"/>
      <c r="AL168" s="311"/>
      <c r="AM168" s="311"/>
      <c r="AN168" s="311"/>
      <c r="AO168" s="311"/>
      <c r="AP168" s="43"/>
      <c r="AQ168" s="111"/>
      <c r="AR168" s="309"/>
      <c r="AS168" s="309"/>
      <c r="AT168" s="309"/>
      <c r="AU168" s="309"/>
      <c r="AV168" s="309"/>
      <c r="AW168" s="309"/>
      <c r="AX168" s="309"/>
      <c r="AY168" s="309"/>
      <c r="AZ168" s="309"/>
      <c r="BA168" s="309"/>
      <c r="BB168" s="309"/>
      <c r="BC168" s="309"/>
      <c r="BD168" s="309"/>
      <c r="BE168" s="309"/>
      <c r="BF168" s="309"/>
      <c r="BG168" s="309"/>
      <c r="BH168" s="124"/>
      <c r="BI168" s="124"/>
      <c r="BK168" s="412"/>
      <c r="BL168" s="413"/>
      <c r="BM168" s="414"/>
      <c r="BN168" s="412"/>
      <c r="BO168" s="413"/>
      <c r="BP168" s="414"/>
      <c r="BQ168" s="412"/>
      <c r="BR168" s="413"/>
      <c r="BS168" s="414"/>
      <c r="BT168" s="412"/>
      <c r="BU168" s="413"/>
      <c r="BV168" s="414"/>
      <c r="BW168" s="412"/>
      <c r="BX168" s="413"/>
      <c r="BY168" s="414"/>
      <c r="BZ168" s="412"/>
      <c r="CA168" s="413"/>
      <c r="CB168" s="414"/>
      <c r="CC168" s="412"/>
      <c r="CD168" s="413"/>
      <c r="CE168" s="414"/>
      <c r="CF168" s="412"/>
      <c r="CG168" s="413"/>
      <c r="CH168" s="414"/>
      <c r="CI168" s="412"/>
      <c r="CJ168" s="413"/>
      <c r="CK168" s="414"/>
      <c r="CL168" s="412"/>
      <c r="CM168" s="413"/>
      <c r="CN168" s="414"/>
      <c r="CO168" s="412"/>
      <c r="CP168" s="413"/>
      <c r="CQ168" s="414"/>
      <c r="CR168" s="412"/>
      <c r="CS168" s="413"/>
      <c r="CT168" s="414"/>
      <c r="CU168" s="412"/>
      <c r="CV168" s="413"/>
      <c r="CW168" s="414"/>
      <c r="CX168" s="412"/>
      <c r="CY168" s="413"/>
      <c r="CZ168" s="414"/>
      <c r="DA168" s="412"/>
      <c r="DB168" s="413"/>
      <c r="DC168" s="414"/>
      <c r="DD168" s="412"/>
      <c r="DE168" s="413"/>
      <c r="DF168" s="414"/>
      <c r="DH168" s="311"/>
      <c r="DI168" s="311"/>
      <c r="DJ168" s="311"/>
      <c r="DK168" s="311"/>
      <c r="DL168" s="321"/>
      <c r="DM168" s="321"/>
      <c r="DN168" s="321"/>
      <c r="DO168" s="321"/>
      <c r="DP168" s="321"/>
      <c r="DQ168" s="321"/>
      <c r="DR168" s="321"/>
      <c r="DS168" s="321"/>
    </row>
    <row r="169" spans="1:123" ht="7.4" customHeight="1" x14ac:dyDescent="0.5">
      <c r="A169" s="42"/>
      <c r="B169" s="42"/>
      <c r="C169" s="333"/>
      <c r="D169" s="333"/>
      <c r="E169" s="41"/>
      <c r="F169" s="42"/>
      <c r="G169" s="56"/>
      <c r="H169" s="56"/>
      <c r="I169" s="56"/>
      <c r="J169" s="56"/>
      <c r="K169" s="56"/>
      <c r="L169" s="56"/>
      <c r="M169" s="56"/>
      <c r="N169" s="56"/>
      <c r="O169" s="56"/>
      <c r="P169" s="56"/>
      <c r="Q169" s="56"/>
      <c r="R169" s="126"/>
      <c r="S169" s="42"/>
      <c r="T169" s="116" t="str">
        <f>VLOOKUP(G167,PL!$B$9:$BH$1265,33,FALSE)</f>
        <v>.</v>
      </c>
      <c r="U169" s="45"/>
      <c r="V169" s="45"/>
      <c r="W169" s="45"/>
      <c r="X169" s="45"/>
      <c r="Y169" s="45"/>
      <c r="Z169" s="45"/>
      <c r="AA169" s="45"/>
      <c r="AB169" s="45"/>
      <c r="AC169" s="45"/>
      <c r="AD169" s="45"/>
      <c r="AE169" s="45"/>
      <c r="AF169" s="45"/>
      <c r="AG169" s="45"/>
      <c r="AH169" s="45"/>
      <c r="AI169" s="45"/>
      <c r="AJ169" s="244"/>
      <c r="AK169" s="42"/>
      <c r="AL169" s="311"/>
      <c r="AM169" s="311"/>
      <c r="AN169" s="311"/>
      <c r="AO169" s="311"/>
      <c r="AP169" s="43"/>
      <c r="AQ169" s="42"/>
      <c r="AR169" s="46"/>
      <c r="AS169" s="46"/>
      <c r="AT169" s="46"/>
      <c r="AU169" s="46"/>
      <c r="AV169" s="46"/>
      <c r="AW169" s="46"/>
      <c r="AX169" s="105"/>
      <c r="AZ169" s="119"/>
      <c r="BA169" s="119"/>
      <c r="BB169" s="119"/>
      <c r="BC169" s="119"/>
      <c r="BD169" s="119"/>
      <c r="BE169" s="119"/>
      <c r="BF169" s="119"/>
      <c r="BG169" s="119"/>
      <c r="BH169" s="124"/>
      <c r="BI169" s="124"/>
      <c r="BK169" s="194"/>
      <c r="BL169" s="123"/>
      <c r="BM169" s="195"/>
      <c r="BN169" s="194"/>
      <c r="BO169" s="123"/>
      <c r="BP169" s="195"/>
      <c r="BQ169" s="194"/>
      <c r="BR169" s="123"/>
      <c r="BS169" s="195"/>
      <c r="BT169" s="194"/>
      <c r="BU169" s="123"/>
      <c r="BV169" s="195"/>
      <c r="BW169" s="194"/>
      <c r="BX169" s="123"/>
      <c r="BY169" s="195"/>
      <c r="BZ169" s="194"/>
      <c r="CA169" s="123"/>
      <c r="CB169" s="195"/>
      <c r="CC169" s="194"/>
      <c r="CD169" s="123"/>
      <c r="CE169" s="195"/>
      <c r="CF169" s="194"/>
      <c r="CG169" s="123"/>
      <c r="CH169" s="195"/>
      <c r="CI169" s="194"/>
      <c r="CJ169" s="123"/>
      <c r="CK169" s="195"/>
      <c r="CL169" s="194"/>
      <c r="CM169" s="123"/>
      <c r="CN169" s="195"/>
      <c r="CO169" s="194"/>
      <c r="CP169" s="123"/>
      <c r="CQ169" s="195"/>
      <c r="CR169" s="194"/>
      <c r="CS169" s="123"/>
      <c r="CT169" s="195"/>
      <c r="CU169" s="194"/>
      <c r="CV169" s="123"/>
      <c r="CW169" s="195"/>
      <c r="CX169" s="194"/>
      <c r="CY169" s="123"/>
      <c r="CZ169" s="195"/>
      <c r="DA169" s="194"/>
      <c r="DB169" s="123"/>
      <c r="DC169" s="195"/>
      <c r="DD169" s="194"/>
      <c r="DE169" s="123"/>
      <c r="DF169" s="195"/>
      <c r="DH169" s="311"/>
      <c r="DI169" s="311"/>
      <c r="DJ169" s="311"/>
      <c r="DK169" s="311"/>
      <c r="DL169" s="321"/>
      <c r="DM169" s="321"/>
      <c r="DN169" s="321"/>
      <c r="DO169" s="321"/>
      <c r="DP169" s="321"/>
      <c r="DQ169" s="321"/>
      <c r="DR169" s="321"/>
      <c r="DS169" s="321"/>
    </row>
    <row r="170" spans="1:123" ht="7.4" customHeight="1" x14ac:dyDescent="0.5">
      <c r="A170" s="42"/>
      <c r="B170" s="42"/>
      <c r="C170" s="333"/>
      <c r="D170" s="333"/>
      <c r="E170" s="41"/>
      <c r="F170" s="42"/>
      <c r="G170" s="56"/>
      <c r="H170" s="56"/>
      <c r="I170" s="56"/>
      <c r="J170" s="56"/>
      <c r="K170" s="56"/>
      <c r="L170" s="56"/>
      <c r="M170" s="56"/>
      <c r="N170" s="56"/>
      <c r="O170" s="56"/>
      <c r="P170" s="56"/>
      <c r="Q170" s="56"/>
      <c r="R170" s="126"/>
      <c r="S170" s="42"/>
      <c r="T170" s="45"/>
      <c r="U170" s="45"/>
      <c r="V170" s="45"/>
      <c r="W170" s="45"/>
      <c r="X170" s="45"/>
      <c r="Y170" s="45"/>
      <c r="Z170" s="45"/>
      <c r="AA170" s="45"/>
      <c r="AB170" s="45"/>
      <c r="AC170" s="45"/>
      <c r="AD170" s="45"/>
      <c r="AE170" s="45"/>
      <c r="AF170" s="45"/>
      <c r="AG170" s="45"/>
      <c r="AH170" s="45"/>
      <c r="AI170" s="45"/>
      <c r="AJ170" s="244"/>
      <c r="AK170" s="42"/>
      <c r="AL170" s="311"/>
      <c r="AM170" s="311"/>
      <c r="AN170" s="311"/>
      <c r="AO170" s="311"/>
      <c r="AP170" s="43"/>
      <c r="AQ170" s="42"/>
      <c r="AR170" s="46"/>
      <c r="AS170" s="46"/>
      <c r="AT170" s="46"/>
      <c r="AU170" s="46"/>
      <c r="AV170" s="46"/>
      <c r="AW170" s="46"/>
      <c r="AX170" s="105"/>
      <c r="AZ170" s="119"/>
      <c r="BA170" s="119"/>
      <c r="BB170" s="119"/>
      <c r="BC170" s="119"/>
      <c r="BD170" s="119"/>
      <c r="BE170" s="119"/>
      <c r="BF170" s="119"/>
      <c r="BG170" s="119"/>
      <c r="BH170" s="124"/>
      <c r="BI170" s="124"/>
      <c r="BK170" s="194"/>
      <c r="BL170" s="123"/>
      <c r="BM170" s="195"/>
      <c r="BN170" s="194"/>
      <c r="BO170" s="123"/>
      <c r="BP170" s="195"/>
      <c r="BQ170" s="194"/>
      <c r="BR170" s="123"/>
      <c r="BS170" s="195"/>
      <c r="BT170" s="194"/>
      <c r="BU170" s="123"/>
      <c r="BV170" s="195"/>
      <c r="BW170" s="194"/>
      <c r="BX170" s="123"/>
      <c r="BY170" s="195"/>
      <c r="BZ170" s="194"/>
      <c r="CA170" s="123"/>
      <c r="CB170" s="195"/>
      <c r="CC170" s="194"/>
      <c r="CD170" s="123"/>
      <c r="CE170" s="195"/>
      <c r="CF170" s="194"/>
      <c r="CG170" s="123"/>
      <c r="CH170" s="195"/>
      <c r="CI170" s="194"/>
      <c r="CJ170" s="123"/>
      <c r="CK170" s="195"/>
      <c r="CL170" s="194"/>
      <c r="CM170" s="123"/>
      <c r="CN170" s="195"/>
      <c r="CO170" s="194"/>
      <c r="CP170" s="123"/>
      <c r="CQ170" s="195"/>
      <c r="CR170" s="194"/>
      <c r="CS170" s="123"/>
      <c r="CT170" s="195"/>
      <c r="CU170" s="194"/>
      <c r="CV170" s="123"/>
      <c r="CW170" s="195"/>
      <c r="CX170" s="194"/>
      <c r="CY170" s="123"/>
      <c r="CZ170" s="195"/>
      <c r="DA170" s="194"/>
      <c r="DB170" s="123"/>
      <c r="DC170" s="195"/>
      <c r="DD170" s="194"/>
      <c r="DE170" s="123"/>
      <c r="DF170" s="195"/>
      <c r="DH170" s="311"/>
      <c r="DI170" s="311"/>
      <c r="DJ170" s="311"/>
      <c r="DK170" s="311"/>
      <c r="DL170" s="321"/>
      <c r="DM170" s="321"/>
      <c r="DN170" s="321"/>
      <c r="DO170" s="321"/>
      <c r="DP170" s="321"/>
      <c r="DQ170" s="321"/>
      <c r="DR170" s="321"/>
      <c r="DS170" s="321"/>
    </row>
    <row r="171" spans="1:123" ht="7.4" customHeight="1" x14ac:dyDescent="0.5">
      <c r="A171" s="42"/>
      <c r="B171" s="42"/>
      <c r="C171" s="311">
        <f>C167+1</f>
        <v>14</v>
      </c>
      <c r="D171" s="311"/>
      <c r="E171" s="41"/>
      <c r="F171" s="42"/>
      <c r="G171" s="319" t="str">
        <f>IF(AL171=0,"N/A","AXE_CS_8_"&amp;$AM$45-5&amp;"_SS")</f>
        <v>N/A</v>
      </c>
      <c r="H171" s="319"/>
      <c r="I171" s="319"/>
      <c r="J171" s="319"/>
      <c r="K171" s="319"/>
      <c r="L171" s="319"/>
      <c r="M171" s="319"/>
      <c r="N171" s="319"/>
      <c r="O171" s="319"/>
      <c r="P171" s="319"/>
      <c r="Q171" s="319"/>
      <c r="R171" s="320"/>
      <c r="S171" s="42"/>
      <c r="T171" s="521" t="str">
        <f>VLOOKUP(G171,PL!$B$9:$BH$1265,14,FALSE)</f>
        <v>No Item</v>
      </c>
      <c r="U171" s="521"/>
      <c r="V171" s="521"/>
      <c r="W171" s="521"/>
      <c r="X171" s="521"/>
      <c r="Y171" s="521"/>
      <c r="Z171" s="521"/>
      <c r="AA171" s="521"/>
      <c r="AB171" s="521"/>
      <c r="AC171" s="521"/>
      <c r="AD171" s="521"/>
      <c r="AE171" s="521"/>
      <c r="AF171" s="521"/>
      <c r="AG171" s="521"/>
      <c r="AH171" s="521"/>
      <c r="AI171" s="521"/>
      <c r="AJ171" s="522"/>
      <c r="AK171" s="42"/>
      <c r="AL171" s="311">
        <f>ROUND(SUM(BK171:DF171)*(1+$BF$80),0)</f>
        <v>0</v>
      </c>
      <c r="AM171" s="311"/>
      <c r="AN171" s="311"/>
      <c r="AO171" s="311"/>
      <c r="AP171" s="43"/>
      <c r="AQ171" s="111"/>
      <c r="AR171" s="308" t="str">
        <f>VLOOKUP(G171,PL!$B$9:$BH$818,52,FALSE)</f>
        <v>-</v>
      </c>
      <c r="AS171" s="309"/>
      <c r="AT171" s="309"/>
      <c r="AU171" s="309"/>
      <c r="AV171" s="309"/>
      <c r="AW171" s="309"/>
      <c r="AX171" s="309"/>
      <c r="AY171" s="309"/>
      <c r="AZ171" s="309"/>
      <c r="BA171" s="309"/>
      <c r="BB171" s="309"/>
      <c r="BC171" s="309"/>
      <c r="BD171" s="309"/>
      <c r="BE171" s="309"/>
      <c r="BF171" s="309"/>
      <c r="BG171" s="309"/>
      <c r="BH171" s="124"/>
      <c r="BI171" s="124"/>
      <c r="BK171" s="412">
        <f>IF($AI$78="Included",0,BK131+BK135)</f>
        <v>0</v>
      </c>
      <c r="BL171" s="413"/>
      <c r="BM171" s="414"/>
      <c r="BN171" s="412">
        <f>IF($AI$78="Included",0,BN131+BN135)</f>
        <v>0</v>
      </c>
      <c r="BO171" s="413"/>
      <c r="BP171" s="414"/>
      <c r="BQ171" s="412">
        <f>IF($AI$78="Included",0,BQ131+BQ135)</f>
        <v>0</v>
      </c>
      <c r="BR171" s="413"/>
      <c r="BS171" s="414"/>
      <c r="BT171" s="412">
        <f>IF($AI$78="Included",0,BT131+BT135)</f>
        <v>0</v>
      </c>
      <c r="BU171" s="413"/>
      <c r="BV171" s="414"/>
      <c r="BW171" s="412">
        <f>IF($AI$78="Included",0,BW131+BW135)</f>
        <v>0</v>
      </c>
      <c r="BX171" s="413"/>
      <c r="BY171" s="414"/>
      <c r="BZ171" s="412">
        <f>IF($AI$78="Included",0,BZ131+BZ135)</f>
        <v>0</v>
      </c>
      <c r="CA171" s="413"/>
      <c r="CB171" s="414"/>
      <c r="CC171" s="412">
        <f>IF($AI$78="Included",0,CC131+CC135)</f>
        <v>0</v>
      </c>
      <c r="CD171" s="413"/>
      <c r="CE171" s="414"/>
      <c r="CF171" s="412">
        <f>IF($AI$78="Included",0,CF131+CF135)</f>
        <v>0</v>
      </c>
      <c r="CG171" s="413"/>
      <c r="CH171" s="414"/>
      <c r="CI171" s="412">
        <f>IF($AI$78="Included",0,CI131+CI135)</f>
        <v>0</v>
      </c>
      <c r="CJ171" s="413"/>
      <c r="CK171" s="414"/>
      <c r="CL171" s="412">
        <f>IF($AI$78="Included",0,CL131+CL135)</f>
        <v>0</v>
      </c>
      <c r="CM171" s="413"/>
      <c r="CN171" s="414"/>
      <c r="CO171" s="412">
        <f>IF($AI$78="Included",0,CO131+CO135)</f>
        <v>0</v>
      </c>
      <c r="CP171" s="413"/>
      <c r="CQ171" s="414"/>
      <c r="CR171" s="412">
        <f>IF($AI$78="Included",0,CR131+CR135)</f>
        <v>0</v>
      </c>
      <c r="CS171" s="413"/>
      <c r="CT171" s="414"/>
      <c r="CU171" s="412">
        <f>IF($AI$78="Included",0,CU131+CU135)</f>
        <v>0</v>
      </c>
      <c r="CV171" s="413"/>
      <c r="CW171" s="414"/>
      <c r="CX171" s="412">
        <f>IF($AI$78="Included",0,CX131+CX135)</f>
        <v>0</v>
      </c>
      <c r="CY171" s="413"/>
      <c r="CZ171" s="414"/>
      <c r="DA171" s="412">
        <f>IF($AI$78="Included",0,DA131+DA135)</f>
        <v>0</v>
      </c>
      <c r="DB171" s="413"/>
      <c r="DC171" s="414"/>
      <c r="DD171" s="412">
        <f>IF($AI$78="Included",0,DD131+DD135)</f>
        <v>0</v>
      </c>
      <c r="DE171" s="413"/>
      <c r="DF171" s="414"/>
      <c r="DH171" s="311"/>
      <c r="DI171" s="311"/>
      <c r="DJ171" s="311"/>
      <c r="DK171" s="311"/>
      <c r="DL171" s="321"/>
      <c r="DM171" s="321"/>
      <c r="DN171" s="321"/>
      <c r="DO171" s="321"/>
      <c r="DP171" s="321"/>
      <c r="DQ171" s="321"/>
      <c r="DR171" s="321"/>
      <c r="DS171" s="321"/>
    </row>
    <row r="172" spans="1:123" ht="7.4" customHeight="1" x14ac:dyDescent="0.5">
      <c r="A172" s="42"/>
      <c r="B172" s="42"/>
      <c r="C172" s="311"/>
      <c r="D172" s="311"/>
      <c r="E172" s="41"/>
      <c r="F172" s="42"/>
      <c r="G172" s="319"/>
      <c r="H172" s="319"/>
      <c r="I172" s="319"/>
      <c r="J172" s="319"/>
      <c r="K172" s="319"/>
      <c r="L172" s="319"/>
      <c r="M172" s="319"/>
      <c r="N172" s="319"/>
      <c r="O172" s="319"/>
      <c r="P172" s="319"/>
      <c r="Q172" s="319"/>
      <c r="R172" s="320"/>
      <c r="S172" s="42"/>
      <c r="T172" s="521"/>
      <c r="U172" s="521"/>
      <c r="V172" s="521"/>
      <c r="W172" s="521"/>
      <c r="X172" s="521"/>
      <c r="Y172" s="521"/>
      <c r="Z172" s="521"/>
      <c r="AA172" s="521"/>
      <c r="AB172" s="521"/>
      <c r="AC172" s="521"/>
      <c r="AD172" s="521"/>
      <c r="AE172" s="521"/>
      <c r="AF172" s="521"/>
      <c r="AG172" s="521"/>
      <c r="AH172" s="521"/>
      <c r="AI172" s="521"/>
      <c r="AJ172" s="522"/>
      <c r="AK172" s="42"/>
      <c r="AL172" s="311"/>
      <c r="AM172" s="311"/>
      <c r="AN172" s="311"/>
      <c r="AO172" s="311"/>
      <c r="AP172" s="43"/>
      <c r="AQ172" s="111"/>
      <c r="AR172" s="309"/>
      <c r="AS172" s="309"/>
      <c r="AT172" s="309"/>
      <c r="AU172" s="309"/>
      <c r="AV172" s="309"/>
      <c r="AW172" s="309"/>
      <c r="AX172" s="309"/>
      <c r="AY172" s="309"/>
      <c r="AZ172" s="309"/>
      <c r="BA172" s="309"/>
      <c r="BB172" s="309"/>
      <c r="BC172" s="309"/>
      <c r="BD172" s="309"/>
      <c r="BE172" s="309"/>
      <c r="BF172" s="309"/>
      <c r="BG172" s="309"/>
      <c r="BH172" s="124"/>
      <c r="BI172" s="124"/>
      <c r="BK172" s="412"/>
      <c r="BL172" s="413"/>
      <c r="BM172" s="414"/>
      <c r="BN172" s="412"/>
      <c r="BO172" s="413"/>
      <c r="BP172" s="414"/>
      <c r="BQ172" s="412"/>
      <c r="BR172" s="413"/>
      <c r="BS172" s="414"/>
      <c r="BT172" s="412"/>
      <c r="BU172" s="413"/>
      <c r="BV172" s="414"/>
      <c r="BW172" s="412"/>
      <c r="BX172" s="413"/>
      <c r="BY172" s="414"/>
      <c r="BZ172" s="412"/>
      <c r="CA172" s="413"/>
      <c r="CB172" s="414"/>
      <c r="CC172" s="412"/>
      <c r="CD172" s="413"/>
      <c r="CE172" s="414"/>
      <c r="CF172" s="412"/>
      <c r="CG172" s="413"/>
      <c r="CH172" s="414"/>
      <c r="CI172" s="412"/>
      <c r="CJ172" s="413"/>
      <c r="CK172" s="414"/>
      <c r="CL172" s="412"/>
      <c r="CM172" s="413"/>
      <c r="CN172" s="414"/>
      <c r="CO172" s="412"/>
      <c r="CP172" s="413"/>
      <c r="CQ172" s="414"/>
      <c r="CR172" s="412"/>
      <c r="CS172" s="413"/>
      <c r="CT172" s="414"/>
      <c r="CU172" s="412"/>
      <c r="CV172" s="413"/>
      <c r="CW172" s="414"/>
      <c r="CX172" s="412"/>
      <c r="CY172" s="413"/>
      <c r="CZ172" s="414"/>
      <c r="DA172" s="412"/>
      <c r="DB172" s="413"/>
      <c r="DC172" s="414"/>
      <c r="DD172" s="412"/>
      <c r="DE172" s="413"/>
      <c r="DF172" s="414"/>
      <c r="DH172" s="311"/>
      <c r="DI172" s="311"/>
      <c r="DJ172" s="311"/>
      <c r="DK172" s="311"/>
      <c r="DL172" s="321"/>
      <c r="DM172" s="321"/>
      <c r="DN172" s="321"/>
      <c r="DO172" s="321"/>
      <c r="DP172" s="321"/>
      <c r="DQ172" s="321"/>
      <c r="DR172" s="321"/>
      <c r="DS172" s="321"/>
    </row>
    <row r="173" spans="1:123" ht="7.4" customHeight="1" x14ac:dyDescent="0.5">
      <c r="A173" s="42"/>
      <c r="B173" s="42"/>
      <c r="C173" s="333"/>
      <c r="D173" s="333"/>
      <c r="E173" s="41"/>
      <c r="F173" s="42"/>
      <c r="G173" s="56"/>
      <c r="H173" s="56"/>
      <c r="I173" s="56"/>
      <c r="J173" s="56"/>
      <c r="K173" s="56"/>
      <c r="L173" s="56"/>
      <c r="M173" s="56"/>
      <c r="N173" s="56"/>
      <c r="O173" s="56"/>
      <c r="P173" s="56"/>
      <c r="Q173" s="56"/>
      <c r="R173" s="126"/>
      <c r="S173" s="42"/>
      <c r="T173" s="116" t="str">
        <f>VLOOKUP(G171,PL!$B$9:$BH$1265,33,FALSE)</f>
        <v>.</v>
      </c>
      <c r="U173" s="45"/>
      <c r="V173" s="45"/>
      <c r="W173" s="45"/>
      <c r="X173" s="45"/>
      <c r="Y173" s="45"/>
      <c r="Z173" s="45"/>
      <c r="AA173" s="45"/>
      <c r="AB173" s="45"/>
      <c r="AC173" s="45"/>
      <c r="AD173" s="45"/>
      <c r="AE173" s="45"/>
      <c r="AF173" s="45"/>
      <c r="AG173" s="45"/>
      <c r="AH173" s="45"/>
      <c r="AI173" s="45"/>
      <c r="AJ173" s="244"/>
      <c r="AK173" s="42"/>
      <c r="AL173" s="311"/>
      <c r="AM173" s="311"/>
      <c r="AN173" s="311"/>
      <c r="AO173" s="311"/>
      <c r="AP173" s="43"/>
      <c r="AQ173" s="42"/>
      <c r="AR173" s="46"/>
      <c r="AS173" s="46"/>
      <c r="AT173" s="46"/>
      <c r="AU173" s="46"/>
      <c r="AV173" s="46"/>
      <c r="AW173" s="46"/>
      <c r="AX173" s="105"/>
      <c r="AZ173" s="119"/>
      <c r="BA173" s="119"/>
      <c r="BB173" s="119"/>
      <c r="BC173" s="119"/>
      <c r="BD173" s="119"/>
      <c r="BE173" s="119"/>
      <c r="BF173" s="119"/>
      <c r="BG173" s="119"/>
      <c r="BH173" s="124"/>
      <c r="BI173" s="124"/>
      <c r="BK173" s="194"/>
      <c r="BL173" s="123"/>
      <c r="BM173" s="195"/>
      <c r="BN173" s="194"/>
      <c r="BO173" s="123"/>
      <c r="BP173" s="195"/>
      <c r="BQ173" s="194"/>
      <c r="BR173" s="123"/>
      <c r="BS173" s="195"/>
      <c r="BT173" s="194"/>
      <c r="BU173" s="123"/>
      <c r="BV173" s="195"/>
      <c r="BW173" s="194"/>
      <c r="BX173" s="123"/>
      <c r="BY173" s="195"/>
      <c r="BZ173" s="194"/>
      <c r="CA173" s="123"/>
      <c r="CB173" s="195"/>
      <c r="CC173" s="194"/>
      <c r="CD173" s="123"/>
      <c r="CE173" s="195"/>
      <c r="CF173" s="194"/>
      <c r="CG173" s="123"/>
      <c r="CH173" s="195"/>
      <c r="CI173" s="194"/>
      <c r="CJ173" s="123"/>
      <c r="CK173" s="195"/>
      <c r="CL173" s="194"/>
      <c r="CM173" s="123"/>
      <c r="CN173" s="195"/>
      <c r="CO173" s="194"/>
      <c r="CP173" s="123"/>
      <c r="CQ173" s="195"/>
      <c r="CR173" s="194"/>
      <c r="CS173" s="123"/>
      <c r="CT173" s="195"/>
      <c r="CU173" s="194"/>
      <c r="CV173" s="123"/>
      <c r="CW173" s="195"/>
      <c r="CX173" s="194"/>
      <c r="CY173" s="123"/>
      <c r="CZ173" s="195"/>
      <c r="DA173" s="194"/>
      <c r="DB173" s="123"/>
      <c r="DC173" s="195"/>
      <c r="DD173" s="194"/>
      <c r="DE173" s="123"/>
      <c r="DF173" s="195"/>
      <c r="DH173" s="311"/>
      <c r="DI173" s="311"/>
      <c r="DJ173" s="311"/>
      <c r="DK173" s="311"/>
      <c r="DL173" s="321"/>
      <c r="DM173" s="321"/>
      <c r="DN173" s="321"/>
      <c r="DO173" s="321"/>
      <c r="DP173" s="321"/>
      <c r="DQ173" s="321"/>
      <c r="DR173" s="321"/>
      <c r="DS173" s="321"/>
    </row>
    <row r="174" spans="1:123" ht="7.4" customHeight="1" x14ac:dyDescent="0.5">
      <c r="A174" s="42"/>
      <c r="B174" s="42"/>
      <c r="C174" s="333"/>
      <c r="D174" s="333"/>
      <c r="E174" s="41"/>
      <c r="F174" s="42"/>
      <c r="G174" s="56"/>
      <c r="H174" s="56"/>
      <c r="I174" s="56"/>
      <c r="J174" s="56"/>
      <c r="K174" s="56"/>
      <c r="L174" s="56"/>
      <c r="M174" s="56"/>
      <c r="N174" s="56"/>
      <c r="O174" s="56"/>
      <c r="P174" s="56"/>
      <c r="Q174" s="56"/>
      <c r="R174" s="126"/>
      <c r="S174" s="42"/>
      <c r="T174" s="45"/>
      <c r="U174" s="45"/>
      <c r="V174" s="45"/>
      <c r="W174" s="45"/>
      <c r="X174" s="45"/>
      <c r="Y174" s="45"/>
      <c r="Z174" s="45"/>
      <c r="AA174" s="45"/>
      <c r="AB174" s="45"/>
      <c r="AC174" s="45"/>
      <c r="AD174" s="45"/>
      <c r="AE174" s="45"/>
      <c r="AF174" s="45"/>
      <c r="AG174" s="45"/>
      <c r="AH174" s="45"/>
      <c r="AI174" s="45"/>
      <c r="AJ174" s="244"/>
      <c r="AK174" s="42"/>
      <c r="AL174" s="311"/>
      <c r="AM174" s="311"/>
      <c r="AN174" s="311"/>
      <c r="AO174" s="311"/>
      <c r="AP174" s="43"/>
      <c r="AQ174" s="42"/>
      <c r="AR174" s="46"/>
      <c r="AS174" s="46"/>
      <c r="AT174" s="46"/>
      <c r="AU174" s="46"/>
      <c r="AV174" s="46"/>
      <c r="AW174" s="46"/>
      <c r="AX174" s="105"/>
      <c r="AZ174" s="119"/>
      <c r="BA174" s="119"/>
      <c r="BB174" s="119"/>
      <c r="BC174" s="119"/>
      <c r="BD174" s="119"/>
      <c r="BE174" s="119"/>
      <c r="BF174" s="119"/>
      <c r="BG174" s="119"/>
      <c r="BH174" s="124"/>
      <c r="BI174" s="124"/>
      <c r="BK174" s="194"/>
      <c r="BL174" s="123"/>
      <c r="BM174" s="195"/>
      <c r="BN174" s="194"/>
      <c r="BO174" s="123"/>
      <c r="BP174" s="195"/>
      <c r="BQ174" s="194"/>
      <c r="BR174" s="123"/>
      <c r="BS174" s="195"/>
      <c r="BT174" s="194"/>
      <c r="BU174" s="123"/>
      <c r="BV174" s="195"/>
      <c r="BW174" s="194"/>
      <c r="BX174" s="123"/>
      <c r="BY174" s="195"/>
      <c r="BZ174" s="194"/>
      <c r="CA174" s="123"/>
      <c r="CB174" s="195"/>
      <c r="CC174" s="194"/>
      <c r="CD174" s="123"/>
      <c r="CE174" s="195"/>
      <c r="CF174" s="194"/>
      <c r="CG174" s="123"/>
      <c r="CH174" s="195"/>
      <c r="CI174" s="194"/>
      <c r="CJ174" s="123"/>
      <c r="CK174" s="195"/>
      <c r="CL174" s="194"/>
      <c r="CM174" s="123"/>
      <c r="CN174" s="195"/>
      <c r="CO174" s="194"/>
      <c r="CP174" s="123"/>
      <c r="CQ174" s="195"/>
      <c r="CR174" s="194"/>
      <c r="CS174" s="123"/>
      <c r="CT174" s="195"/>
      <c r="CU174" s="194"/>
      <c r="CV174" s="123"/>
      <c r="CW174" s="195"/>
      <c r="CX174" s="194"/>
      <c r="CY174" s="123"/>
      <c r="CZ174" s="195"/>
      <c r="DA174" s="194"/>
      <c r="DB174" s="123"/>
      <c r="DC174" s="195"/>
      <c r="DD174" s="194"/>
      <c r="DE174" s="123"/>
      <c r="DF174" s="195"/>
      <c r="DH174" s="311"/>
      <c r="DI174" s="311"/>
      <c r="DJ174" s="311"/>
      <c r="DK174" s="311"/>
      <c r="DL174" s="321"/>
      <c r="DM174" s="321"/>
      <c r="DN174" s="321"/>
      <c r="DO174" s="321"/>
      <c r="DP174" s="321"/>
      <c r="DQ174" s="321"/>
      <c r="DR174" s="321"/>
      <c r="DS174" s="321"/>
    </row>
    <row r="175" spans="1:123" ht="7.4" customHeight="1" x14ac:dyDescent="0.5">
      <c r="A175" s="42"/>
      <c r="B175" s="42"/>
      <c r="C175" s="311">
        <f>C171+1</f>
        <v>15</v>
      </c>
      <c r="D175" s="311"/>
      <c r="E175" s="41"/>
      <c r="F175" s="42"/>
      <c r="G175" s="319" t="str">
        <f>IF(AL175=0,"N/A","AXE_WS_8"&amp;"_SS")</f>
        <v>N/A</v>
      </c>
      <c r="H175" s="319"/>
      <c r="I175" s="319"/>
      <c r="J175" s="319"/>
      <c r="K175" s="319"/>
      <c r="L175" s="319"/>
      <c r="M175" s="319"/>
      <c r="N175" s="319"/>
      <c r="O175" s="319"/>
      <c r="P175" s="319"/>
      <c r="Q175" s="319"/>
      <c r="R175" s="320"/>
      <c r="S175" s="42"/>
      <c r="T175" s="521" t="str">
        <f>VLOOKUP(G175,PL!$B$9:$BH$1265,14,FALSE)</f>
        <v>No Item</v>
      </c>
      <c r="U175" s="521"/>
      <c r="V175" s="521"/>
      <c r="W175" s="521"/>
      <c r="X175" s="521"/>
      <c r="Y175" s="521"/>
      <c r="Z175" s="521"/>
      <c r="AA175" s="521"/>
      <c r="AB175" s="521"/>
      <c r="AC175" s="521"/>
      <c r="AD175" s="521"/>
      <c r="AE175" s="521"/>
      <c r="AF175" s="521"/>
      <c r="AG175" s="521"/>
      <c r="AH175" s="521"/>
      <c r="AI175" s="521"/>
      <c r="AJ175" s="522"/>
      <c r="AK175" s="42"/>
      <c r="AL175" s="311">
        <f>ROUND(SUM(BK175:DF175)*(1+$BF$80),0)</f>
        <v>0</v>
      </c>
      <c r="AM175" s="311"/>
      <c r="AN175" s="311"/>
      <c r="AO175" s="311"/>
      <c r="AP175" s="43"/>
      <c r="AQ175" s="111"/>
      <c r="AR175" s="308" t="str">
        <f>VLOOKUP(G175,PL!$B$9:$BH$818,52,FALSE)</f>
        <v>-</v>
      </c>
      <c r="AS175" s="309"/>
      <c r="AT175" s="309"/>
      <c r="AU175" s="309"/>
      <c r="AV175" s="309"/>
      <c r="AW175" s="309"/>
      <c r="AX175" s="309"/>
      <c r="AY175" s="309"/>
      <c r="AZ175" s="309"/>
      <c r="BA175" s="309"/>
      <c r="BB175" s="309"/>
      <c r="BC175" s="309"/>
      <c r="BD175" s="309"/>
      <c r="BE175" s="309"/>
      <c r="BF175" s="309"/>
      <c r="BG175" s="309"/>
      <c r="BH175" s="124"/>
      <c r="BI175" s="124"/>
      <c r="BK175" s="412">
        <f>BK171+BK167+BK163</f>
        <v>0</v>
      </c>
      <c r="BL175" s="413"/>
      <c r="BM175" s="414"/>
      <c r="BN175" s="412">
        <f>BN171+BN167+BN163</f>
        <v>0</v>
      </c>
      <c r="BO175" s="413"/>
      <c r="BP175" s="414"/>
      <c r="BQ175" s="412">
        <f>BQ171+BQ167+BQ163</f>
        <v>0</v>
      </c>
      <c r="BR175" s="413"/>
      <c r="BS175" s="414"/>
      <c r="BT175" s="412">
        <f>BT171+BT167+BT163</f>
        <v>0</v>
      </c>
      <c r="BU175" s="413"/>
      <c r="BV175" s="414"/>
      <c r="BW175" s="412">
        <f>BW171+BW167+BW163</f>
        <v>0</v>
      </c>
      <c r="BX175" s="413"/>
      <c r="BY175" s="414"/>
      <c r="BZ175" s="412">
        <f>BZ171+BZ167+BZ163</f>
        <v>0</v>
      </c>
      <c r="CA175" s="413"/>
      <c r="CB175" s="414"/>
      <c r="CC175" s="412">
        <f>CC171+CC167+CC163</f>
        <v>0</v>
      </c>
      <c r="CD175" s="413"/>
      <c r="CE175" s="414"/>
      <c r="CF175" s="412">
        <f>CF171+CF167+CF163</f>
        <v>0</v>
      </c>
      <c r="CG175" s="413"/>
      <c r="CH175" s="414"/>
      <c r="CI175" s="412">
        <f>CI171+CI167+CI163</f>
        <v>0</v>
      </c>
      <c r="CJ175" s="413"/>
      <c r="CK175" s="414"/>
      <c r="CL175" s="412">
        <f>CL171+CL167+CL163</f>
        <v>0</v>
      </c>
      <c r="CM175" s="413"/>
      <c r="CN175" s="414"/>
      <c r="CO175" s="412">
        <f>CO171+CO167+CO163</f>
        <v>0</v>
      </c>
      <c r="CP175" s="413"/>
      <c r="CQ175" s="414"/>
      <c r="CR175" s="412">
        <f>CR171+CR167+CR163</f>
        <v>0</v>
      </c>
      <c r="CS175" s="413"/>
      <c r="CT175" s="414"/>
      <c r="CU175" s="412">
        <f>CU171+CU167+CU163</f>
        <v>0</v>
      </c>
      <c r="CV175" s="413"/>
      <c r="CW175" s="414"/>
      <c r="CX175" s="412">
        <f>CX171+CX167+CX163</f>
        <v>0</v>
      </c>
      <c r="CY175" s="413"/>
      <c r="CZ175" s="414"/>
      <c r="DA175" s="412">
        <f>DA171+DA167+DA163</f>
        <v>0</v>
      </c>
      <c r="DB175" s="413"/>
      <c r="DC175" s="414"/>
      <c r="DD175" s="412">
        <f>DD171+DD167+DD163</f>
        <v>0</v>
      </c>
      <c r="DE175" s="413"/>
      <c r="DF175" s="414"/>
      <c r="DH175" s="311"/>
      <c r="DI175" s="311"/>
      <c r="DJ175" s="311"/>
      <c r="DK175" s="311"/>
      <c r="DL175" s="321"/>
      <c r="DM175" s="321"/>
      <c r="DN175" s="321"/>
      <c r="DO175" s="321"/>
      <c r="DP175" s="321"/>
      <c r="DQ175" s="321"/>
      <c r="DR175" s="321"/>
      <c r="DS175" s="321"/>
    </row>
    <row r="176" spans="1:123" ht="7.4" customHeight="1" x14ac:dyDescent="0.5">
      <c r="A176" s="42"/>
      <c r="B176" s="42"/>
      <c r="C176" s="311"/>
      <c r="D176" s="311"/>
      <c r="E176" s="41"/>
      <c r="F176" s="42"/>
      <c r="G176" s="319"/>
      <c r="H176" s="319"/>
      <c r="I176" s="319"/>
      <c r="J176" s="319"/>
      <c r="K176" s="319"/>
      <c r="L176" s="319"/>
      <c r="M176" s="319"/>
      <c r="N176" s="319"/>
      <c r="O176" s="319"/>
      <c r="P176" s="319"/>
      <c r="Q176" s="319"/>
      <c r="R176" s="320"/>
      <c r="S176" s="42"/>
      <c r="T176" s="521"/>
      <c r="U176" s="521"/>
      <c r="V176" s="521"/>
      <c r="W176" s="521"/>
      <c r="X176" s="521"/>
      <c r="Y176" s="521"/>
      <c r="Z176" s="521"/>
      <c r="AA176" s="521"/>
      <c r="AB176" s="521"/>
      <c r="AC176" s="521"/>
      <c r="AD176" s="521"/>
      <c r="AE176" s="521"/>
      <c r="AF176" s="521"/>
      <c r="AG176" s="521"/>
      <c r="AH176" s="521"/>
      <c r="AI176" s="521"/>
      <c r="AJ176" s="522"/>
      <c r="AK176" s="42"/>
      <c r="AL176" s="311"/>
      <c r="AM176" s="311"/>
      <c r="AN176" s="311"/>
      <c r="AO176" s="311"/>
      <c r="AP176" s="43"/>
      <c r="AQ176" s="111"/>
      <c r="AR176" s="309"/>
      <c r="AS176" s="309"/>
      <c r="AT176" s="309"/>
      <c r="AU176" s="309"/>
      <c r="AV176" s="309"/>
      <c r="AW176" s="309"/>
      <c r="AX176" s="309"/>
      <c r="AY176" s="309"/>
      <c r="AZ176" s="309"/>
      <c r="BA176" s="309"/>
      <c r="BB176" s="309"/>
      <c r="BC176" s="309"/>
      <c r="BD176" s="309"/>
      <c r="BE176" s="309"/>
      <c r="BF176" s="309"/>
      <c r="BG176" s="309"/>
      <c r="BH176" s="124"/>
      <c r="BI176" s="124"/>
      <c r="BK176" s="412"/>
      <c r="BL176" s="413"/>
      <c r="BM176" s="414"/>
      <c r="BN176" s="412"/>
      <c r="BO176" s="413"/>
      <c r="BP176" s="414"/>
      <c r="BQ176" s="412"/>
      <c r="BR176" s="413"/>
      <c r="BS176" s="414"/>
      <c r="BT176" s="412"/>
      <c r="BU176" s="413"/>
      <c r="BV176" s="414"/>
      <c r="BW176" s="412"/>
      <c r="BX176" s="413"/>
      <c r="BY176" s="414"/>
      <c r="BZ176" s="412"/>
      <c r="CA176" s="413"/>
      <c r="CB176" s="414"/>
      <c r="CC176" s="412"/>
      <c r="CD176" s="413"/>
      <c r="CE176" s="414"/>
      <c r="CF176" s="412"/>
      <c r="CG176" s="413"/>
      <c r="CH176" s="414"/>
      <c r="CI176" s="412"/>
      <c r="CJ176" s="413"/>
      <c r="CK176" s="414"/>
      <c r="CL176" s="412"/>
      <c r="CM176" s="413"/>
      <c r="CN176" s="414"/>
      <c r="CO176" s="412"/>
      <c r="CP176" s="413"/>
      <c r="CQ176" s="414"/>
      <c r="CR176" s="412"/>
      <c r="CS176" s="413"/>
      <c r="CT176" s="414"/>
      <c r="CU176" s="412"/>
      <c r="CV176" s="413"/>
      <c r="CW176" s="414"/>
      <c r="CX176" s="412"/>
      <c r="CY176" s="413"/>
      <c r="CZ176" s="414"/>
      <c r="DA176" s="412"/>
      <c r="DB176" s="413"/>
      <c r="DC176" s="414"/>
      <c r="DD176" s="412"/>
      <c r="DE176" s="413"/>
      <c r="DF176" s="414"/>
      <c r="DH176" s="311"/>
      <c r="DI176" s="311"/>
      <c r="DJ176" s="311"/>
      <c r="DK176" s="311"/>
      <c r="DL176" s="321"/>
      <c r="DM176" s="321"/>
      <c r="DN176" s="321"/>
      <c r="DO176" s="321"/>
      <c r="DP176" s="321"/>
      <c r="DQ176" s="321"/>
      <c r="DR176" s="321"/>
      <c r="DS176" s="321"/>
    </row>
    <row r="177" spans="1:123" ht="7.4" customHeight="1" x14ac:dyDescent="0.5">
      <c r="A177" s="42"/>
      <c r="B177" s="42"/>
      <c r="C177" s="333"/>
      <c r="D177" s="333"/>
      <c r="E177" s="41"/>
      <c r="F177" s="42"/>
      <c r="G177" s="56"/>
      <c r="H177" s="56"/>
      <c r="I177" s="56"/>
      <c r="J177" s="56"/>
      <c r="K177" s="56"/>
      <c r="L177" s="56"/>
      <c r="M177" s="56"/>
      <c r="N177" s="56"/>
      <c r="O177" s="56"/>
      <c r="P177" s="56"/>
      <c r="Q177" s="56"/>
      <c r="R177" s="126"/>
      <c r="S177" s="42"/>
      <c r="T177" s="116" t="str">
        <f>VLOOKUP(G175,PL!$B$9:$BH$1265,33,FALSE)</f>
        <v>.</v>
      </c>
      <c r="U177" s="45"/>
      <c r="V177" s="45"/>
      <c r="W177" s="45"/>
      <c r="X177" s="45"/>
      <c r="Y177" s="45"/>
      <c r="Z177" s="45"/>
      <c r="AA177" s="45"/>
      <c r="AB177" s="45"/>
      <c r="AC177" s="45"/>
      <c r="AD177" s="45"/>
      <c r="AE177" s="45"/>
      <c r="AF177" s="45"/>
      <c r="AG177" s="45"/>
      <c r="AH177" s="45"/>
      <c r="AI177" s="45"/>
      <c r="AJ177" s="244"/>
      <c r="AK177" s="42"/>
      <c r="AL177" s="311"/>
      <c r="AM177" s="311"/>
      <c r="AN177" s="311"/>
      <c r="AO177" s="311"/>
      <c r="AP177" s="43"/>
      <c r="AQ177" s="42"/>
      <c r="AR177" s="46"/>
      <c r="AS177" s="46"/>
      <c r="AT177" s="46"/>
      <c r="AU177" s="46"/>
      <c r="AV177" s="46"/>
      <c r="AW177" s="46"/>
      <c r="AX177" s="105"/>
      <c r="AZ177" s="119"/>
      <c r="BA177" s="119"/>
      <c r="BB177" s="119"/>
      <c r="BC177" s="119"/>
      <c r="BD177" s="119"/>
      <c r="BE177" s="119"/>
      <c r="BF177" s="119"/>
      <c r="BG177" s="119"/>
      <c r="BH177" s="124"/>
      <c r="BI177" s="124"/>
      <c r="BK177" s="194"/>
      <c r="BL177" s="123"/>
      <c r="BM177" s="195"/>
      <c r="BN177" s="194"/>
      <c r="BO177" s="123"/>
      <c r="BP177" s="195"/>
      <c r="BQ177" s="194"/>
      <c r="BR177" s="123"/>
      <c r="BS177" s="195"/>
      <c r="BT177" s="194"/>
      <c r="BU177" s="123"/>
      <c r="BV177" s="195"/>
      <c r="BW177" s="194"/>
      <c r="BX177" s="123"/>
      <c r="BY177" s="195"/>
      <c r="BZ177" s="194"/>
      <c r="CA177" s="123"/>
      <c r="CB177" s="195"/>
      <c r="CC177" s="194"/>
      <c r="CD177" s="123"/>
      <c r="CE177" s="195"/>
      <c r="CF177" s="194"/>
      <c r="CG177" s="123"/>
      <c r="CH177" s="195"/>
      <c r="CI177" s="194"/>
      <c r="CJ177" s="123"/>
      <c r="CK177" s="195"/>
      <c r="CL177" s="194"/>
      <c r="CM177" s="123"/>
      <c r="CN177" s="195"/>
      <c r="CO177" s="194"/>
      <c r="CP177" s="123"/>
      <c r="CQ177" s="195"/>
      <c r="CR177" s="194"/>
      <c r="CS177" s="123"/>
      <c r="CT177" s="195"/>
      <c r="CU177" s="194"/>
      <c r="CV177" s="123"/>
      <c r="CW177" s="195"/>
      <c r="CX177" s="194"/>
      <c r="CY177" s="123"/>
      <c r="CZ177" s="195"/>
      <c r="DA177" s="194"/>
      <c r="DB177" s="123"/>
      <c r="DC177" s="195"/>
      <c r="DD177" s="194"/>
      <c r="DE177" s="123"/>
      <c r="DF177" s="195"/>
      <c r="DH177" s="311"/>
      <c r="DI177" s="311"/>
      <c r="DJ177" s="311"/>
      <c r="DK177" s="311"/>
      <c r="DL177" s="321"/>
      <c r="DM177" s="321"/>
      <c r="DN177" s="321"/>
      <c r="DO177" s="321"/>
      <c r="DP177" s="321"/>
      <c r="DQ177" s="321"/>
      <c r="DR177" s="321"/>
      <c r="DS177" s="321"/>
    </row>
    <row r="178" spans="1:123" ht="7.4" customHeight="1" x14ac:dyDescent="0.5">
      <c r="A178" s="42"/>
      <c r="B178" s="42"/>
      <c r="C178" s="333"/>
      <c r="D178" s="333"/>
      <c r="E178" s="41"/>
      <c r="F178" s="42"/>
      <c r="G178" s="56"/>
      <c r="H178" s="56"/>
      <c r="I178" s="56"/>
      <c r="J178" s="56"/>
      <c r="K178" s="56"/>
      <c r="L178" s="56"/>
      <c r="M178" s="56"/>
      <c r="N178" s="56"/>
      <c r="O178" s="56"/>
      <c r="P178" s="56"/>
      <c r="Q178" s="56"/>
      <c r="R178" s="126"/>
      <c r="S178" s="42"/>
      <c r="T178" s="45"/>
      <c r="U178" s="45"/>
      <c r="V178" s="45"/>
      <c r="W178" s="45"/>
      <c r="X178" s="45"/>
      <c r="Y178" s="45"/>
      <c r="Z178" s="45"/>
      <c r="AA178" s="45"/>
      <c r="AB178" s="45"/>
      <c r="AC178" s="45"/>
      <c r="AD178" s="45"/>
      <c r="AE178" s="45"/>
      <c r="AF178" s="45"/>
      <c r="AG178" s="45"/>
      <c r="AH178" s="45"/>
      <c r="AI178" s="45"/>
      <c r="AJ178" s="244"/>
      <c r="AK178" s="42"/>
      <c r="AL178" s="311"/>
      <c r="AM178" s="311"/>
      <c r="AN178" s="311"/>
      <c r="AO178" s="311"/>
      <c r="AP178" s="43"/>
      <c r="AQ178" s="42"/>
      <c r="AR178" s="46"/>
      <c r="AS178" s="46"/>
      <c r="AT178" s="46"/>
      <c r="AU178" s="46"/>
      <c r="AV178" s="46"/>
      <c r="AW178" s="46"/>
      <c r="AX178" s="105"/>
      <c r="AZ178" s="119"/>
      <c r="BA178" s="119"/>
      <c r="BB178" s="119"/>
      <c r="BC178" s="119"/>
      <c r="BD178" s="119"/>
      <c r="BE178" s="119"/>
      <c r="BF178" s="119"/>
      <c r="BG178" s="119"/>
      <c r="BH178" s="124"/>
      <c r="BI178" s="124"/>
      <c r="BK178" s="194"/>
      <c r="BL178" s="123"/>
      <c r="BM178" s="195"/>
      <c r="BN178" s="194"/>
      <c r="BO178" s="123"/>
      <c r="BP178" s="195"/>
      <c r="BQ178" s="194"/>
      <c r="BR178" s="123"/>
      <c r="BS178" s="195"/>
      <c r="BT178" s="194"/>
      <c r="BU178" s="123"/>
      <c r="BV178" s="195"/>
      <c r="BW178" s="194"/>
      <c r="BX178" s="123"/>
      <c r="BY178" s="195"/>
      <c r="BZ178" s="194"/>
      <c r="CA178" s="123"/>
      <c r="CB178" s="195"/>
      <c r="CC178" s="194"/>
      <c r="CD178" s="123"/>
      <c r="CE178" s="195"/>
      <c r="CF178" s="194"/>
      <c r="CG178" s="123"/>
      <c r="CH178" s="195"/>
      <c r="CI178" s="194"/>
      <c r="CJ178" s="123"/>
      <c r="CK178" s="195"/>
      <c r="CL178" s="194"/>
      <c r="CM178" s="123"/>
      <c r="CN178" s="195"/>
      <c r="CO178" s="194"/>
      <c r="CP178" s="123"/>
      <c r="CQ178" s="195"/>
      <c r="CR178" s="194"/>
      <c r="CS178" s="123"/>
      <c r="CT178" s="195"/>
      <c r="CU178" s="194"/>
      <c r="CV178" s="123"/>
      <c r="CW178" s="195"/>
      <c r="CX178" s="194"/>
      <c r="CY178" s="123"/>
      <c r="CZ178" s="195"/>
      <c r="DA178" s="194"/>
      <c r="DB178" s="123"/>
      <c r="DC178" s="195"/>
      <c r="DD178" s="194"/>
      <c r="DE178" s="123"/>
      <c r="DF178" s="195"/>
      <c r="DH178" s="311"/>
      <c r="DI178" s="311"/>
      <c r="DJ178" s="311"/>
      <c r="DK178" s="311"/>
      <c r="DL178" s="321"/>
      <c r="DM178" s="321"/>
      <c r="DN178" s="321"/>
      <c r="DO178" s="321"/>
      <c r="DP178" s="321"/>
      <c r="DQ178" s="321"/>
      <c r="DR178" s="321"/>
      <c r="DS178" s="321"/>
    </row>
    <row r="179" spans="1:123" ht="7.4" customHeight="1" x14ac:dyDescent="0.5">
      <c r="A179" s="42"/>
      <c r="B179" s="42"/>
      <c r="C179" s="311">
        <f>C175+1</f>
        <v>16</v>
      </c>
      <c r="D179" s="311"/>
      <c r="E179" s="41"/>
      <c r="F179" s="42"/>
      <c r="G179" s="319" t="str">
        <f>IF(AL179=0,"N/A","AXE_NHF_8_SS")</f>
        <v>N/A</v>
      </c>
      <c r="H179" s="319"/>
      <c r="I179" s="319"/>
      <c r="J179" s="319"/>
      <c r="K179" s="319"/>
      <c r="L179" s="319"/>
      <c r="M179" s="319"/>
      <c r="N179" s="319"/>
      <c r="O179" s="319"/>
      <c r="P179" s="319"/>
      <c r="Q179" s="319"/>
      <c r="R179" s="320"/>
      <c r="S179" s="42"/>
      <c r="T179" s="521" t="str">
        <f>VLOOKUP(G179,PL!$B$9:$BH$1265,14,FALSE)</f>
        <v>No Item</v>
      </c>
      <c r="U179" s="521"/>
      <c r="V179" s="521"/>
      <c r="W179" s="521"/>
      <c r="X179" s="521"/>
      <c r="Y179" s="521"/>
      <c r="Z179" s="521"/>
      <c r="AA179" s="521"/>
      <c r="AB179" s="521"/>
      <c r="AC179" s="521"/>
      <c r="AD179" s="521"/>
      <c r="AE179" s="521"/>
      <c r="AF179" s="521"/>
      <c r="AG179" s="521"/>
      <c r="AH179" s="521"/>
      <c r="AI179" s="521"/>
      <c r="AJ179" s="522"/>
      <c r="AK179" s="42"/>
      <c r="AL179" s="311">
        <f>ROUND(SUM(BK179:DF179)*(1+$BF$80),0)</f>
        <v>0</v>
      </c>
      <c r="AM179" s="311"/>
      <c r="AN179" s="311"/>
      <c r="AO179" s="311"/>
      <c r="AP179" s="43"/>
      <c r="AQ179" s="111"/>
      <c r="AR179" s="308" t="str">
        <f>VLOOKUP(G179,PL!$B$9:$BH$818,52,FALSE)</f>
        <v>-</v>
      </c>
      <c r="AS179" s="309"/>
      <c r="AT179" s="309"/>
      <c r="AU179" s="309"/>
      <c r="AV179" s="309"/>
      <c r="AW179" s="309"/>
      <c r="AX179" s="309"/>
      <c r="AY179" s="309"/>
      <c r="AZ179" s="309"/>
      <c r="BA179" s="309"/>
      <c r="BB179" s="309"/>
      <c r="BC179" s="309"/>
      <c r="BD179" s="309"/>
      <c r="BE179" s="309"/>
      <c r="BF179" s="309"/>
      <c r="BG179" s="309"/>
      <c r="BH179" s="124"/>
      <c r="BI179" s="124"/>
      <c r="BK179" s="412">
        <f>BK159+BK167+IF($AO$35="Novotexi (MacSteel)",BK143,0)</f>
        <v>0</v>
      </c>
      <c r="BL179" s="413"/>
      <c r="BM179" s="414"/>
      <c r="BN179" s="412">
        <f t="shared" ref="BN179" si="83">BN159+BN167+IF($AO$35="Novotexi (MacSteel)",BN143,0)</f>
        <v>0</v>
      </c>
      <c r="BO179" s="413"/>
      <c r="BP179" s="414"/>
      <c r="BQ179" s="412">
        <f t="shared" ref="BQ179" si="84">BQ159+BQ167+IF($AO$35="Novotexi (MacSteel)",BQ143,0)</f>
        <v>0</v>
      </c>
      <c r="BR179" s="413"/>
      <c r="BS179" s="414"/>
      <c r="BT179" s="412">
        <f t="shared" ref="BT179" si="85">BT159+BT167+IF($AO$35="Novotexi (MacSteel)",BT143,0)</f>
        <v>0</v>
      </c>
      <c r="BU179" s="413"/>
      <c r="BV179" s="414"/>
      <c r="BW179" s="412">
        <f t="shared" ref="BW179" si="86">BW159+BW167+IF($AO$35="Novotexi (MacSteel)",BW143,0)</f>
        <v>0</v>
      </c>
      <c r="BX179" s="413"/>
      <c r="BY179" s="414"/>
      <c r="BZ179" s="412">
        <f t="shared" ref="BZ179" si="87">BZ159+BZ167+IF($AO$35="Novotexi (MacSteel)",BZ143,0)</f>
        <v>0</v>
      </c>
      <c r="CA179" s="413"/>
      <c r="CB179" s="414"/>
      <c r="CC179" s="412">
        <f t="shared" ref="CC179" si="88">CC159+CC167+IF($AO$35="Novotexi (MacSteel)",CC143,0)</f>
        <v>0</v>
      </c>
      <c r="CD179" s="413"/>
      <c r="CE179" s="414"/>
      <c r="CF179" s="412">
        <f t="shared" ref="CF179" si="89">CF159+CF167+IF($AO$35="Novotexi (MacSteel)",CF143,0)</f>
        <v>0</v>
      </c>
      <c r="CG179" s="413"/>
      <c r="CH179" s="414"/>
      <c r="CI179" s="412">
        <f t="shared" ref="CI179" si="90">CI159+CI167+IF($AO$35="Novotexi (MacSteel)",CI143,0)</f>
        <v>0</v>
      </c>
      <c r="CJ179" s="413"/>
      <c r="CK179" s="414"/>
      <c r="CL179" s="412">
        <f t="shared" ref="CL179" si="91">CL159+CL167+IF($AO$35="Novotexi (MacSteel)",CL143,0)</f>
        <v>0</v>
      </c>
      <c r="CM179" s="413"/>
      <c r="CN179" s="414"/>
      <c r="CO179" s="412">
        <f t="shared" ref="CO179" si="92">CO159+CO167+IF($AO$35="Novotexi (MacSteel)",CO143,0)</f>
        <v>0</v>
      </c>
      <c r="CP179" s="413"/>
      <c r="CQ179" s="414"/>
      <c r="CR179" s="412">
        <f t="shared" ref="CR179" si="93">CR159+CR167+IF($AO$35="Novotexi (MacSteel)",CR143,0)</f>
        <v>0</v>
      </c>
      <c r="CS179" s="413"/>
      <c r="CT179" s="414"/>
      <c r="CU179" s="412">
        <f t="shared" ref="CU179" si="94">CU159+CU167+IF($AO$35="Novotexi (MacSteel)",CU143,0)</f>
        <v>0</v>
      </c>
      <c r="CV179" s="413"/>
      <c r="CW179" s="414"/>
      <c r="CX179" s="412">
        <f t="shared" ref="CX179" si="95">CX159+CX167+IF($AO$35="Novotexi (MacSteel)",CX143,0)</f>
        <v>0</v>
      </c>
      <c r="CY179" s="413"/>
      <c r="CZ179" s="414"/>
      <c r="DA179" s="412">
        <f t="shared" ref="DA179" si="96">DA159+DA167+IF($AO$35="Novotexi (MacSteel)",DA143,0)</f>
        <v>0</v>
      </c>
      <c r="DB179" s="413"/>
      <c r="DC179" s="414"/>
      <c r="DD179" s="412">
        <f t="shared" ref="DD179" si="97">DD159+DD167+IF($AO$35="Novotexi (MacSteel)",DD143,0)</f>
        <v>0</v>
      </c>
      <c r="DE179" s="413"/>
      <c r="DF179" s="414"/>
      <c r="DH179" s="311"/>
      <c r="DI179" s="311"/>
      <c r="DJ179" s="311"/>
      <c r="DK179" s="311"/>
      <c r="DL179" s="321"/>
      <c r="DM179" s="321"/>
      <c r="DN179" s="321"/>
      <c r="DO179" s="321"/>
      <c r="DP179" s="321"/>
      <c r="DQ179" s="321"/>
      <c r="DR179" s="321"/>
      <c r="DS179" s="321"/>
    </row>
    <row r="180" spans="1:123" ht="7.4" customHeight="1" x14ac:dyDescent="0.5">
      <c r="A180" s="42"/>
      <c r="B180" s="42"/>
      <c r="C180" s="311"/>
      <c r="D180" s="311"/>
      <c r="E180" s="41"/>
      <c r="F180" s="42"/>
      <c r="G180" s="319"/>
      <c r="H180" s="319"/>
      <c r="I180" s="319"/>
      <c r="J180" s="319"/>
      <c r="K180" s="319"/>
      <c r="L180" s="319"/>
      <c r="M180" s="319"/>
      <c r="N180" s="319"/>
      <c r="O180" s="319"/>
      <c r="P180" s="319"/>
      <c r="Q180" s="319"/>
      <c r="R180" s="320"/>
      <c r="S180" s="42"/>
      <c r="T180" s="521"/>
      <c r="U180" s="521"/>
      <c r="V180" s="521"/>
      <c r="W180" s="521"/>
      <c r="X180" s="521"/>
      <c r="Y180" s="521"/>
      <c r="Z180" s="521"/>
      <c r="AA180" s="521"/>
      <c r="AB180" s="521"/>
      <c r="AC180" s="521"/>
      <c r="AD180" s="521"/>
      <c r="AE180" s="521"/>
      <c r="AF180" s="521"/>
      <c r="AG180" s="521"/>
      <c r="AH180" s="521"/>
      <c r="AI180" s="521"/>
      <c r="AJ180" s="522"/>
      <c r="AK180" s="42"/>
      <c r="AL180" s="311"/>
      <c r="AM180" s="311"/>
      <c r="AN180" s="311"/>
      <c r="AO180" s="311"/>
      <c r="AP180" s="43"/>
      <c r="AQ180" s="111"/>
      <c r="AR180" s="309"/>
      <c r="AS180" s="309"/>
      <c r="AT180" s="309"/>
      <c r="AU180" s="309"/>
      <c r="AV180" s="309"/>
      <c r="AW180" s="309"/>
      <c r="AX180" s="309"/>
      <c r="AY180" s="309"/>
      <c r="AZ180" s="309"/>
      <c r="BA180" s="309"/>
      <c r="BB180" s="309"/>
      <c r="BC180" s="309"/>
      <c r="BD180" s="309"/>
      <c r="BE180" s="309"/>
      <c r="BF180" s="309"/>
      <c r="BG180" s="309"/>
      <c r="BH180" s="124"/>
      <c r="BI180" s="124"/>
      <c r="BK180" s="412"/>
      <c r="BL180" s="413"/>
      <c r="BM180" s="414"/>
      <c r="BN180" s="412"/>
      <c r="BO180" s="413"/>
      <c r="BP180" s="414"/>
      <c r="BQ180" s="412"/>
      <c r="BR180" s="413"/>
      <c r="BS180" s="414"/>
      <c r="BT180" s="412"/>
      <c r="BU180" s="413"/>
      <c r="BV180" s="414"/>
      <c r="BW180" s="412"/>
      <c r="BX180" s="413"/>
      <c r="BY180" s="414"/>
      <c r="BZ180" s="412"/>
      <c r="CA180" s="413"/>
      <c r="CB180" s="414"/>
      <c r="CC180" s="412"/>
      <c r="CD180" s="413"/>
      <c r="CE180" s="414"/>
      <c r="CF180" s="412"/>
      <c r="CG180" s="413"/>
      <c r="CH180" s="414"/>
      <c r="CI180" s="412"/>
      <c r="CJ180" s="413"/>
      <c r="CK180" s="414"/>
      <c r="CL180" s="412"/>
      <c r="CM180" s="413"/>
      <c r="CN180" s="414"/>
      <c r="CO180" s="412"/>
      <c r="CP180" s="413"/>
      <c r="CQ180" s="414"/>
      <c r="CR180" s="412"/>
      <c r="CS180" s="413"/>
      <c r="CT180" s="414"/>
      <c r="CU180" s="412"/>
      <c r="CV180" s="413"/>
      <c r="CW180" s="414"/>
      <c r="CX180" s="412"/>
      <c r="CY180" s="413"/>
      <c r="CZ180" s="414"/>
      <c r="DA180" s="412"/>
      <c r="DB180" s="413"/>
      <c r="DC180" s="414"/>
      <c r="DD180" s="412"/>
      <c r="DE180" s="413"/>
      <c r="DF180" s="414"/>
      <c r="DH180" s="311"/>
      <c r="DI180" s="311"/>
      <c r="DJ180" s="311"/>
      <c r="DK180" s="311"/>
      <c r="DL180" s="321"/>
      <c r="DM180" s="321"/>
      <c r="DN180" s="321"/>
      <c r="DO180" s="321"/>
      <c r="DP180" s="321"/>
      <c r="DQ180" s="321"/>
      <c r="DR180" s="321"/>
      <c r="DS180" s="321"/>
    </row>
    <row r="181" spans="1:123" ht="7.4" customHeight="1" x14ac:dyDescent="0.5">
      <c r="A181" s="42"/>
      <c r="B181" s="42"/>
      <c r="C181" s="75"/>
      <c r="D181" s="75"/>
      <c r="E181" s="41"/>
      <c r="F181" s="42"/>
      <c r="G181" s="120"/>
      <c r="H181" s="120"/>
      <c r="I181" s="120"/>
      <c r="J181" s="120"/>
      <c r="K181" s="120"/>
      <c r="L181" s="120"/>
      <c r="M181" s="120"/>
      <c r="N181" s="120"/>
      <c r="O181" s="120"/>
      <c r="P181" s="120"/>
      <c r="Q181" s="120"/>
      <c r="R181" s="121"/>
      <c r="S181" s="42"/>
      <c r="T181" s="257" t="str">
        <f>VLOOKUP(G179,PL!$B$9:$BH$1265,33,FALSE)</f>
        <v>.</v>
      </c>
      <c r="U181" s="45"/>
      <c r="V181" s="45"/>
      <c r="W181" s="45"/>
      <c r="X181" s="45"/>
      <c r="Y181" s="45"/>
      <c r="Z181" s="45"/>
      <c r="AA181" s="45"/>
      <c r="AB181" s="45"/>
      <c r="AC181" s="45"/>
      <c r="AD181" s="45"/>
      <c r="AE181" s="45"/>
      <c r="AF181" s="45"/>
      <c r="AG181" s="45"/>
      <c r="AH181" s="45"/>
      <c r="AI181" s="45"/>
      <c r="AJ181" s="244"/>
      <c r="AK181" s="42"/>
      <c r="AL181" s="75"/>
      <c r="AM181" s="75"/>
      <c r="AN181" s="75"/>
      <c r="AO181" s="75"/>
      <c r="AP181" s="43"/>
      <c r="AQ181" s="42"/>
      <c r="AR181" s="272"/>
      <c r="AS181" s="272"/>
      <c r="AT181" s="272"/>
      <c r="AU181" s="272"/>
      <c r="AV181" s="272"/>
      <c r="AW181" s="272"/>
      <c r="AX181" s="105"/>
      <c r="AZ181" s="119"/>
      <c r="BA181" s="119"/>
      <c r="BB181" s="119"/>
      <c r="BC181" s="119"/>
      <c r="BD181" s="119"/>
      <c r="BE181" s="119"/>
      <c r="BF181" s="119"/>
      <c r="BG181" s="119"/>
      <c r="BH181" s="124"/>
      <c r="BI181" s="124"/>
      <c r="BK181" s="194"/>
      <c r="BL181" s="123"/>
      <c r="BM181" s="195"/>
      <c r="BN181" s="194"/>
      <c r="BO181" s="123"/>
      <c r="BP181" s="195"/>
      <c r="BQ181" s="194"/>
      <c r="BR181" s="123"/>
      <c r="BS181" s="195"/>
      <c r="BT181" s="194"/>
      <c r="BU181" s="123"/>
      <c r="BV181" s="195"/>
      <c r="BW181" s="194"/>
      <c r="BX181" s="123"/>
      <c r="BY181" s="195"/>
      <c r="BZ181" s="194"/>
      <c r="CA181" s="123"/>
      <c r="CB181" s="195"/>
      <c r="CC181" s="194"/>
      <c r="CD181" s="123"/>
      <c r="CE181" s="195"/>
      <c r="CF181" s="194"/>
      <c r="CG181" s="123"/>
      <c r="CH181" s="195"/>
      <c r="CI181" s="194"/>
      <c r="CJ181" s="123"/>
      <c r="CK181" s="195"/>
      <c r="CL181" s="194"/>
      <c r="CM181" s="123"/>
      <c r="CN181" s="195"/>
      <c r="CO181" s="194"/>
      <c r="CP181" s="123"/>
      <c r="CQ181" s="195"/>
      <c r="CR181" s="194"/>
      <c r="CS181" s="123"/>
      <c r="CT181" s="195"/>
      <c r="CU181" s="194"/>
      <c r="CV181" s="123"/>
      <c r="CW181" s="195"/>
      <c r="CX181" s="194"/>
      <c r="CY181" s="123"/>
      <c r="CZ181" s="195"/>
      <c r="DA181" s="194"/>
      <c r="DB181" s="123"/>
      <c r="DC181" s="195"/>
      <c r="DD181" s="194"/>
      <c r="DE181" s="123"/>
      <c r="DF181" s="195"/>
      <c r="DL181" s="105"/>
      <c r="DM181" s="105"/>
      <c r="DN181" s="105"/>
      <c r="DO181" s="105"/>
      <c r="DP181" s="105"/>
      <c r="DQ181" s="105"/>
      <c r="DR181" s="105"/>
      <c r="DS181" s="105"/>
    </row>
    <row r="182" spans="1:123" ht="7.4" customHeight="1" x14ac:dyDescent="0.5">
      <c r="A182" s="42"/>
      <c r="B182" s="42"/>
      <c r="C182" s="333"/>
      <c r="D182" s="333"/>
      <c r="E182" s="41"/>
      <c r="F182" s="42"/>
      <c r="G182" s="56"/>
      <c r="H182" s="56"/>
      <c r="I182" s="56"/>
      <c r="J182" s="56"/>
      <c r="K182" s="56"/>
      <c r="L182" s="56"/>
      <c r="M182" s="56"/>
      <c r="N182" s="56"/>
      <c r="O182" s="56"/>
      <c r="P182" s="56"/>
      <c r="Q182" s="56"/>
      <c r="R182" s="126"/>
      <c r="S182" s="42"/>
      <c r="T182" s="45"/>
      <c r="U182" s="45"/>
      <c r="V182" s="45"/>
      <c r="W182" s="45"/>
      <c r="X182" s="45"/>
      <c r="Y182" s="45"/>
      <c r="Z182" s="45"/>
      <c r="AA182" s="45"/>
      <c r="AB182" s="45"/>
      <c r="AC182" s="45"/>
      <c r="AD182" s="45"/>
      <c r="AE182" s="45"/>
      <c r="AF182" s="45"/>
      <c r="AG182" s="45"/>
      <c r="AH182" s="45"/>
      <c r="AI182" s="45"/>
      <c r="AJ182" s="244"/>
      <c r="AK182" s="42"/>
      <c r="AL182" s="311"/>
      <c r="AM182" s="311"/>
      <c r="AN182" s="311"/>
      <c r="AO182" s="311"/>
      <c r="AP182" s="43"/>
      <c r="AQ182" s="42"/>
      <c r="AR182" s="46"/>
      <c r="AS182" s="46"/>
      <c r="AT182" s="46"/>
      <c r="AU182" s="46"/>
      <c r="AV182" s="46"/>
      <c r="AW182" s="46"/>
      <c r="AX182" s="105"/>
      <c r="AZ182" s="119"/>
      <c r="BA182" s="119"/>
      <c r="BB182" s="119"/>
      <c r="BC182" s="119"/>
      <c r="BD182" s="119"/>
      <c r="BE182" s="119"/>
      <c r="BF182" s="119"/>
      <c r="BG182" s="119"/>
      <c r="BH182" s="124"/>
      <c r="BI182" s="124"/>
      <c r="BK182" s="194"/>
      <c r="BL182" s="123"/>
      <c r="BM182" s="195"/>
      <c r="BN182" s="194"/>
      <c r="BO182" s="123"/>
      <c r="BP182" s="195"/>
      <c r="BQ182" s="194"/>
      <c r="BR182" s="123"/>
      <c r="BS182" s="195"/>
      <c r="BT182" s="194"/>
      <c r="BU182" s="123"/>
      <c r="BV182" s="195"/>
      <c r="BW182" s="194"/>
      <c r="BX182" s="123"/>
      <c r="BY182" s="195"/>
      <c r="BZ182" s="194"/>
      <c r="CA182" s="123"/>
      <c r="CB182" s="195"/>
      <c r="CC182" s="194"/>
      <c r="CD182" s="123"/>
      <c r="CE182" s="195"/>
      <c r="CF182" s="194"/>
      <c r="CG182" s="123"/>
      <c r="CH182" s="195"/>
      <c r="CI182" s="194"/>
      <c r="CJ182" s="123"/>
      <c r="CK182" s="195"/>
      <c r="CL182" s="194"/>
      <c r="CM182" s="123"/>
      <c r="CN182" s="195"/>
      <c r="CO182" s="194"/>
      <c r="CP182" s="123"/>
      <c r="CQ182" s="195"/>
      <c r="CR182" s="194"/>
      <c r="CS182" s="123"/>
      <c r="CT182" s="195"/>
      <c r="CU182" s="194"/>
      <c r="CV182" s="123"/>
      <c r="CW182" s="195"/>
      <c r="CX182" s="194"/>
      <c r="CY182" s="123"/>
      <c r="CZ182" s="195"/>
      <c r="DA182" s="194"/>
      <c r="DB182" s="123"/>
      <c r="DC182" s="195"/>
      <c r="DD182" s="194"/>
      <c r="DE182" s="123"/>
      <c r="DF182" s="195"/>
      <c r="DH182" s="311"/>
      <c r="DI182" s="311"/>
      <c r="DJ182" s="311"/>
      <c r="DK182" s="311"/>
      <c r="DL182" s="321"/>
      <c r="DM182" s="321"/>
      <c r="DN182" s="321"/>
      <c r="DO182" s="321"/>
      <c r="DP182" s="321"/>
      <c r="DQ182" s="321"/>
      <c r="DR182" s="321"/>
      <c r="DS182" s="321"/>
    </row>
    <row r="183" spans="1:123" ht="7.4" customHeight="1" x14ac:dyDescent="0.5">
      <c r="A183" s="42"/>
      <c r="B183" s="42"/>
      <c r="C183" s="311">
        <f>C179+1</f>
        <v>17</v>
      </c>
      <c r="D183" s="311"/>
      <c r="E183" s="41"/>
      <c r="F183" s="42"/>
      <c r="G183" s="319" t="str">
        <f>IF(AL183=0,"N/A","AXE_NSQ_8_SS")</f>
        <v>N/A</v>
      </c>
      <c r="H183" s="319"/>
      <c r="I183" s="319"/>
      <c r="J183" s="319"/>
      <c r="K183" s="319"/>
      <c r="L183" s="319"/>
      <c r="M183" s="319"/>
      <c r="N183" s="319"/>
      <c r="O183" s="319"/>
      <c r="P183" s="319"/>
      <c r="Q183" s="319"/>
      <c r="R183" s="320"/>
      <c r="S183" s="42"/>
      <c r="T183" s="521" t="str">
        <f>VLOOKUP(G183,PL!$B$9:$BH$1265,14,FALSE)</f>
        <v>No Item</v>
      </c>
      <c r="U183" s="521"/>
      <c r="V183" s="521"/>
      <c r="W183" s="521"/>
      <c r="X183" s="521"/>
      <c r="Y183" s="521"/>
      <c r="Z183" s="521"/>
      <c r="AA183" s="521"/>
      <c r="AB183" s="521"/>
      <c r="AC183" s="521"/>
      <c r="AD183" s="521"/>
      <c r="AE183" s="521"/>
      <c r="AF183" s="521"/>
      <c r="AG183" s="521"/>
      <c r="AH183" s="521"/>
      <c r="AI183" s="521"/>
      <c r="AJ183" s="522"/>
      <c r="AK183" s="42"/>
      <c r="AL183" s="311">
        <f>ROUND(SUM(BK183:DF183)*(1+$BF$80),0)</f>
        <v>0</v>
      </c>
      <c r="AM183" s="311"/>
      <c r="AN183" s="311"/>
      <c r="AO183" s="311"/>
      <c r="AP183" s="43"/>
      <c r="AQ183" s="111"/>
      <c r="AR183" s="308" t="str">
        <f>VLOOKUP(G183,PL!$B$9:$BH$818,52,FALSE)</f>
        <v>-</v>
      </c>
      <c r="AS183" s="309"/>
      <c r="AT183" s="309"/>
      <c r="AU183" s="309"/>
      <c r="AV183" s="309"/>
      <c r="AW183" s="309"/>
      <c r="AX183" s="309"/>
      <c r="AY183" s="309"/>
      <c r="AZ183" s="309"/>
      <c r="BA183" s="309"/>
      <c r="BB183" s="309"/>
      <c r="BC183" s="309"/>
      <c r="BD183" s="309"/>
      <c r="BE183" s="309"/>
      <c r="BF183" s="309"/>
      <c r="BG183" s="309"/>
      <c r="BH183" s="124"/>
      <c r="BI183" s="124"/>
      <c r="BK183" s="412">
        <f>BK171+BK163</f>
        <v>0</v>
      </c>
      <c r="BL183" s="413"/>
      <c r="BM183" s="414"/>
      <c r="BN183" s="412">
        <f>BN171+BN163</f>
        <v>0</v>
      </c>
      <c r="BO183" s="413"/>
      <c r="BP183" s="414"/>
      <c r="BQ183" s="412">
        <f>BQ171+BQ163</f>
        <v>0</v>
      </c>
      <c r="BR183" s="413"/>
      <c r="BS183" s="414"/>
      <c r="BT183" s="412">
        <f>BT171+BT163</f>
        <v>0</v>
      </c>
      <c r="BU183" s="413"/>
      <c r="BV183" s="414"/>
      <c r="BW183" s="412">
        <f>BW171+BW163</f>
        <v>0</v>
      </c>
      <c r="BX183" s="413"/>
      <c r="BY183" s="414"/>
      <c r="BZ183" s="412">
        <f>BZ171+BZ163</f>
        <v>0</v>
      </c>
      <c r="CA183" s="413"/>
      <c r="CB183" s="414"/>
      <c r="CC183" s="412">
        <f>CC171+CC163</f>
        <v>0</v>
      </c>
      <c r="CD183" s="413"/>
      <c r="CE183" s="414"/>
      <c r="CF183" s="412">
        <f>CF171+CF163</f>
        <v>0</v>
      </c>
      <c r="CG183" s="413"/>
      <c r="CH183" s="414"/>
      <c r="CI183" s="412">
        <f>CI171+CI163</f>
        <v>0</v>
      </c>
      <c r="CJ183" s="413"/>
      <c r="CK183" s="414"/>
      <c r="CL183" s="412">
        <f>CL171+CL163</f>
        <v>0</v>
      </c>
      <c r="CM183" s="413"/>
      <c r="CN183" s="414"/>
      <c r="CO183" s="412">
        <f>CO171+CO163</f>
        <v>0</v>
      </c>
      <c r="CP183" s="413"/>
      <c r="CQ183" s="414"/>
      <c r="CR183" s="412">
        <f>CR171+CR163</f>
        <v>0</v>
      </c>
      <c r="CS183" s="413"/>
      <c r="CT183" s="414"/>
      <c r="CU183" s="412">
        <f>CU171+CU163</f>
        <v>0</v>
      </c>
      <c r="CV183" s="413"/>
      <c r="CW183" s="414"/>
      <c r="CX183" s="412">
        <f>CX171+CX163</f>
        <v>0</v>
      </c>
      <c r="CY183" s="413"/>
      <c r="CZ183" s="414"/>
      <c r="DA183" s="412">
        <f>DA171+DA163</f>
        <v>0</v>
      </c>
      <c r="DB183" s="413"/>
      <c r="DC183" s="414"/>
      <c r="DD183" s="412">
        <f>DD171+DD163</f>
        <v>0</v>
      </c>
      <c r="DE183" s="413"/>
      <c r="DF183" s="414"/>
      <c r="DH183" s="311"/>
      <c r="DI183" s="311"/>
      <c r="DJ183" s="311"/>
      <c r="DK183" s="311"/>
      <c r="DL183" s="321"/>
      <c r="DM183" s="321"/>
      <c r="DN183" s="321"/>
      <c r="DO183" s="321"/>
      <c r="DP183" s="321"/>
      <c r="DQ183" s="321"/>
      <c r="DR183" s="321"/>
      <c r="DS183" s="321"/>
    </row>
    <row r="184" spans="1:123" ht="7.4" customHeight="1" x14ac:dyDescent="0.5">
      <c r="A184" s="42"/>
      <c r="B184" s="42"/>
      <c r="C184" s="311"/>
      <c r="D184" s="311"/>
      <c r="E184" s="41"/>
      <c r="F184" s="42"/>
      <c r="G184" s="319"/>
      <c r="H184" s="319"/>
      <c r="I184" s="319"/>
      <c r="J184" s="319"/>
      <c r="K184" s="319"/>
      <c r="L184" s="319"/>
      <c r="M184" s="319"/>
      <c r="N184" s="319"/>
      <c r="O184" s="319"/>
      <c r="P184" s="319"/>
      <c r="Q184" s="319"/>
      <c r="R184" s="320"/>
      <c r="S184" s="42"/>
      <c r="T184" s="521"/>
      <c r="U184" s="521"/>
      <c r="V184" s="521"/>
      <c r="W184" s="521"/>
      <c r="X184" s="521"/>
      <c r="Y184" s="521"/>
      <c r="Z184" s="521"/>
      <c r="AA184" s="521"/>
      <c r="AB184" s="521"/>
      <c r="AC184" s="521"/>
      <c r="AD184" s="521"/>
      <c r="AE184" s="521"/>
      <c r="AF184" s="521"/>
      <c r="AG184" s="521"/>
      <c r="AH184" s="521"/>
      <c r="AI184" s="521"/>
      <c r="AJ184" s="522"/>
      <c r="AK184" s="42"/>
      <c r="AL184" s="311"/>
      <c r="AM184" s="311"/>
      <c r="AN184" s="311"/>
      <c r="AO184" s="311"/>
      <c r="AP184" s="43"/>
      <c r="AQ184" s="111"/>
      <c r="AR184" s="309"/>
      <c r="AS184" s="309"/>
      <c r="AT184" s="309"/>
      <c r="AU184" s="309"/>
      <c r="AV184" s="309"/>
      <c r="AW184" s="309"/>
      <c r="AX184" s="309"/>
      <c r="AY184" s="309"/>
      <c r="AZ184" s="309"/>
      <c r="BA184" s="309"/>
      <c r="BB184" s="309"/>
      <c r="BC184" s="309"/>
      <c r="BD184" s="309"/>
      <c r="BE184" s="309"/>
      <c r="BF184" s="309"/>
      <c r="BG184" s="309"/>
      <c r="BH184" s="124"/>
      <c r="BI184" s="124"/>
      <c r="BK184" s="412"/>
      <c r="BL184" s="413"/>
      <c r="BM184" s="414"/>
      <c r="BN184" s="412"/>
      <c r="BO184" s="413"/>
      <c r="BP184" s="414"/>
      <c r="BQ184" s="412"/>
      <c r="BR184" s="413"/>
      <c r="BS184" s="414"/>
      <c r="BT184" s="412"/>
      <c r="BU184" s="413"/>
      <c r="BV184" s="414"/>
      <c r="BW184" s="412"/>
      <c r="BX184" s="413"/>
      <c r="BY184" s="414"/>
      <c r="BZ184" s="412"/>
      <c r="CA184" s="413"/>
      <c r="CB184" s="414"/>
      <c r="CC184" s="412"/>
      <c r="CD184" s="413"/>
      <c r="CE184" s="414"/>
      <c r="CF184" s="412"/>
      <c r="CG184" s="413"/>
      <c r="CH184" s="414"/>
      <c r="CI184" s="412"/>
      <c r="CJ184" s="413"/>
      <c r="CK184" s="414"/>
      <c r="CL184" s="412"/>
      <c r="CM184" s="413"/>
      <c r="CN184" s="414"/>
      <c r="CO184" s="412"/>
      <c r="CP184" s="413"/>
      <c r="CQ184" s="414"/>
      <c r="CR184" s="412"/>
      <c r="CS184" s="413"/>
      <c r="CT184" s="414"/>
      <c r="CU184" s="412"/>
      <c r="CV184" s="413"/>
      <c r="CW184" s="414"/>
      <c r="CX184" s="412"/>
      <c r="CY184" s="413"/>
      <c r="CZ184" s="414"/>
      <c r="DA184" s="412"/>
      <c r="DB184" s="413"/>
      <c r="DC184" s="414"/>
      <c r="DD184" s="412"/>
      <c r="DE184" s="413"/>
      <c r="DF184" s="414"/>
      <c r="DH184" s="311"/>
      <c r="DI184" s="311"/>
      <c r="DJ184" s="311"/>
      <c r="DK184" s="311"/>
      <c r="DL184" s="321"/>
      <c r="DM184" s="321"/>
      <c r="DN184" s="321"/>
      <c r="DO184" s="321"/>
      <c r="DP184" s="321"/>
      <c r="DQ184" s="321"/>
      <c r="DR184" s="321"/>
      <c r="DS184" s="321"/>
    </row>
    <row r="185" spans="1:123" ht="7.4" customHeight="1" x14ac:dyDescent="0.5">
      <c r="A185" s="42"/>
      <c r="B185" s="42"/>
      <c r="C185" s="333"/>
      <c r="D185" s="333"/>
      <c r="E185" s="41"/>
      <c r="F185" s="42"/>
      <c r="G185" s="56"/>
      <c r="H185" s="56"/>
      <c r="I185" s="56"/>
      <c r="J185" s="56"/>
      <c r="K185" s="56"/>
      <c r="L185" s="56"/>
      <c r="M185" s="56"/>
      <c r="N185" s="56"/>
      <c r="O185" s="56"/>
      <c r="P185" s="56"/>
      <c r="Q185" s="56"/>
      <c r="R185" s="126"/>
      <c r="S185" s="42"/>
      <c r="T185" s="116" t="str">
        <f>VLOOKUP(G183,PL!$B$9:$BH$1265,33,FALSE)</f>
        <v>.</v>
      </c>
      <c r="U185" s="45"/>
      <c r="V185" s="45"/>
      <c r="W185" s="45"/>
      <c r="X185" s="45"/>
      <c r="Y185" s="45"/>
      <c r="Z185" s="45"/>
      <c r="AA185" s="45"/>
      <c r="AB185" s="45"/>
      <c r="AC185" s="45"/>
      <c r="AD185" s="45"/>
      <c r="AE185" s="45"/>
      <c r="AF185" s="45"/>
      <c r="AG185" s="45"/>
      <c r="AH185" s="45"/>
      <c r="AI185" s="45"/>
      <c r="AJ185" s="244"/>
      <c r="AK185" s="42"/>
      <c r="AL185" s="311"/>
      <c r="AM185" s="311"/>
      <c r="AN185" s="311"/>
      <c r="AO185" s="311"/>
      <c r="AP185" s="43"/>
      <c r="AQ185" s="42"/>
      <c r="AR185" s="46"/>
      <c r="AS185" s="46"/>
      <c r="AT185" s="46"/>
      <c r="AU185" s="46"/>
      <c r="AV185" s="46"/>
      <c r="AW185" s="46"/>
      <c r="AX185" s="105"/>
      <c r="AZ185" s="119"/>
      <c r="BA185" s="119"/>
      <c r="BB185" s="119"/>
      <c r="BC185" s="119"/>
      <c r="BD185" s="119"/>
      <c r="BE185" s="119"/>
      <c r="BF185" s="119"/>
      <c r="BG185" s="119"/>
      <c r="BH185" s="124"/>
      <c r="BI185" s="124"/>
      <c r="BK185" s="194"/>
      <c r="BL185" s="123"/>
      <c r="BM185" s="195"/>
      <c r="BN185" s="194"/>
      <c r="BO185" s="123"/>
      <c r="BP185" s="195"/>
      <c r="BQ185" s="194"/>
      <c r="BR185" s="123"/>
      <c r="BS185" s="195"/>
      <c r="BT185" s="194"/>
      <c r="BU185" s="123"/>
      <c r="BV185" s="195"/>
      <c r="BW185" s="194"/>
      <c r="BX185" s="123"/>
      <c r="BY185" s="195"/>
      <c r="BZ185" s="194"/>
      <c r="CA185" s="123"/>
      <c r="CB185" s="195"/>
      <c r="CC185" s="194"/>
      <c r="CD185" s="123"/>
      <c r="CE185" s="195"/>
      <c r="CF185" s="194"/>
      <c r="CG185" s="123"/>
      <c r="CH185" s="195"/>
      <c r="CI185" s="194"/>
      <c r="CJ185" s="123"/>
      <c r="CK185" s="195"/>
      <c r="CL185" s="194"/>
      <c r="CM185" s="123"/>
      <c r="CN185" s="195"/>
      <c r="CO185" s="194"/>
      <c r="CP185" s="123"/>
      <c r="CQ185" s="195"/>
      <c r="CR185" s="194"/>
      <c r="CS185" s="123"/>
      <c r="CT185" s="195"/>
      <c r="CU185" s="194"/>
      <c r="CV185" s="123"/>
      <c r="CW185" s="195"/>
      <c r="CX185" s="194"/>
      <c r="CY185" s="123"/>
      <c r="CZ185" s="195"/>
      <c r="DA185" s="194"/>
      <c r="DB185" s="123"/>
      <c r="DC185" s="195"/>
      <c r="DD185" s="194"/>
      <c r="DE185" s="123"/>
      <c r="DF185" s="195"/>
      <c r="DH185" s="311"/>
      <c r="DI185" s="311"/>
      <c r="DJ185" s="311"/>
      <c r="DK185" s="311"/>
      <c r="DL185" s="321"/>
      <c r="DM185" s="321"/>
      <c r="DN185" s="321"/>
      <c r="DO185" s="321"/>
      <c r="DP185" s="321"/>
      <c r="DQ185" s="321"/>
      <c r="DR185" s="321"/>
      <c r="DS185" s="321"/>
    </row>
    <row r="186" spans="1:123" ht="7.4" customHeight="1" x14ac:dyDescent="0.5">
      <c r="A186" s="42"/>
      <c r="B186" s="42"/>
      <c r="C186" s="333"/>
      <c r="D186" s="333"/>
      <c r="E186" s="41"/>
      <c r="F186" s="42"/>
      <c r="G186" s="56"/>
      <c r="H186" s="56"/>
      <c r="I186" s="56"/>
      <c r="J186" s="56"/>
      <c r="K186" s="56"/>
      <c r="L186" s="56"/>
      <c r="M186" s="56"/>
      <c r="N186" s="56"/>
      <c r="O186" s="56"/>
      <c r="P186" s="56"/>
      <c r="Q186" s="56"/>
      <c r="R186" s="126"/>
      <c r="S186" s="42"/>
      <c r="T186" s="45"/>
      <c r="U186" s="45"/>
      <c r="V186" s="45"/>
      <c r="W186" s="45"/>
      <c r="X186" s="45"/>
      <c r="Y186" s="45"/>
      <c r="Z186" s="45"/>
      <c r="AA186" s="45"/>
      <c r="AB186" s="45"/>
      <c r="AC186" s="45"/>
      <c r="AD186" s="45"/>
      <c r="AE186" s="45"/>
      <c r="AF186" s="45"/>
      <c r="AG186" s="45"/>
      <c r="AH186" s="45"/>
      <c r="AI186" s="45"/>
      <c r="AJ186" s="244"/>
      <c r="AK186" s="42"/>
      <c r="AL186" s="311"/>
      <c r="AM186" s="311"/>
      <c r="AN186" s="311"/>
      <c r="AO186" s="311"/>
      <c r="AP186" s="43"/>
      <c r="AQ186" s="42"/>
      <c r="AR186" s="46"/>
      <c r="AS186" s="46"/>
      <c r="AT186" s="46"/>
      <c r="AU186" s="46"/>
      <c r="AV186" s="46"/>
      <c r="AW186" s="46"/>
      <c r="AX186" s="105"/>
      <c r="AZ186" s="119"/>
      <c r="BA186" s="119"/>
      <c r="BB186" s="119"/>
      <c r="BC186" s="119"/>
      <c r="BD186" s="119"/>
      <c r="BE186" s="119"/>
      <c r="BF186" s="119"/>
      <c r="BG186" s="119"/>
      <c r="BH186" s="124"/>
      <c r="BI186" s="124"/>
      <c r="BK186" s="194"/>
      <c r="BL186" s="123"/>
      <c r="BM186" s="195"/>
      <c r="BN186" s="194"/>
      <c r="BO186" s="123"/>
      <c r="BP186" s="195"/>
      <c r="BQ186" s="194"/>
      <c r="BR186" s="123"/>
      <c r="BS186" s="195"/>
      <c r="BT186" s="194"/>
      <c r="BU186" s="123"/>
      <c r="BV186" s="195"/>
      <c r="BW186" s="194"/>
      <c r="BX186" s="123"/>
      <c r="BY186" s="195"/>
      <c r="BZ186" s="194"/>
      <c r="CA186" s="123"/>
      <c r="CB186" s="195"/>
      <c r="CC186" s="194"/>
      <c r="CD186" s="123"/>
      <c r="CE186" s="195"/>
      <c r="CF186" s="194"/>
      <c r="CG186" s="123"/>
      <c r="CH186" s="195"/>
      <c r="CI186" s="194"/>
      <c r="CJ186" s="123"/>
      <c r="CK186" s="195"/>
      <c r="CL186" s="194"/>
      <c r="CM186" s="123"/>
      <c r="CN186" s="195"/>
      <c r="CO186" s="194"/>
      <c r="CP186" s="123"/>
      <c r="CQ186" s="195"/>
      <c r="CR186" s="194"/>
      <c r="CS186" s="123"/>
      <c r="CT186" s="195"/>
      <c r="CU186" s="194"/>
      <c r="CV186" s="123"/>
      <c r="CW186" s="195"/>
      <c r="CX186" s="194"/>
      <c r="CY186" s="123"/>
      <c r="CZ186" s="195"/>
      <c r="DA186" s="194"/>
      <c r="DB186" s="123"/>
      <c r="DC186" s="195"/>
      <c r="DD186" s="194"/>
      <c r="DE186" s="123"/>
      <c r="DF186" s="195"/>
      <c r="DH186" s="311"/>
      <c r="DI186" s="311"/>
      <c r="DJ186" s="311"/>
      <c r="DK186" s="311"/>
      <c r="DL186" s="321"/>
      <c r="DM186" s="321"/>
      <c r="DN186" s="321"/>
      <c r="DO186" s="321"/>
      <c r="DP186" s="321"/>
      <c r="DQ186" s="321"/>
      <c r="DR186" s="321"/>
      <c r="DS186" s="321"/>
    </row>
    <row r="187" spans="1:123" ht="7.4" customHeight="1" x14ac:dyDescent="0.5">
      <c r="A187" s="42"/>
      <c r="B187" s="42"/>
      <c r="C187" s="311">
        <f>C183+1</f>
        <v>18</v>
      </c>
      <c r="D187" s="311"/>
      <c r="E187" s="41"/>
      <c r="F187" s="42"/>
      <c r="G187" s="319" t="str">
        <f>IF(AL187=0,"N/A","AXE_NST_8_PP")</f>
        <v>N/A</v>
      </c>
      <c r="H187" s="319"/>
      <c r="I187" s="319"/>
      <c r="J187" s="319"/>
      <c r="K187" s="319"/>
      <c r="L187" s="319"/>
      <c r="M187" s="319"/>
      <c r="N187" s="319"/>
      <c r="O187" s="319"/>
      <c r="P187" s="319"/>
      <c r="Q187" s="319"/>
      <c r="R187" s="320"/>
      <c r="S187" s="42"/>
      <c r="T187" s="521" t="str">
        <f>VLOOKUP(G187,PL!$B$9:$BH$1265,14,FALSE)</f>
        <v>No Item</v>
      </c>
      <c r="U187" s="521"/>
      <c r="V187" s="521"/>
      <c r="W187" s="521"/>
      <c r="X187" s="521"/>
      <c r="Y187" s="521"/>
      <c r="Z187" s="521"/>
      <c r="AA187" s="521"/>
      <c r="AB187" s="521"/>
      <c r="AC187" s="521"/>
      <c r="AD187" s="521"/>
      <c r="AE187" s="521"/>
      <c r="AF187" s="521"/>
      <c r="AG187" s="521"/>
      <c r="AH187" s="521"/>
      <c r="AI187" s="521"/>
      <c r="AJ187" s="522"/>
      <c r="AK187" s="42"/>
      <c r="AL187" s="311">
        <f>ROUND(SUM(BK187:DF187)*(1+$BF$80),0)</f>
        <v>0</v>
      </c>
      <c r="AM187" s="311"/>
      <c r="AN187" s="311"/>
      <c r="AO187" s="311"/>
      <c r="AP187" s="43"/>
      <c r="AQ187" s="111"/>
      <c r="AR187" s="308" t="str">
        <f>VLOOKUP(G187,PL!$B$9:$BH$818,52,FALSE)</f>
        <v>-</v>
      </c>
      <c r="AS187" s="309"/>
      <c r="AT187" s="309"/>
      <c r="AU187" s="309"/>
      <c r="AV187" s="309"/>
      <c r="AW187" s="309"/>
      <c r="AX187" s="309"/>
      <c r="AY187" s="309"/>
      <c r="AZ187" s="309"/>
      <c r="BA187" s="309"/>
      <c r="BB187" s="309"/>
      <c r="BC187" s="309"/>
      <c r="BD187" s="309"/>
      <c r="BE187" s="309"/>
      <c r="BF187" s="309"/>
      <c r="BG187" s="309"/>
      <c r="BH187" s="124"/>
      <c r="BI187" s="124"/>
      <c r="BK187" s="412">
        <f>BK183</f>
        <v>0</v>
      </c>
      <c r="BL187" s="413"/>
      <c r="BM187" s="414"/>
      <c r="BN187" s="412">
        <f>BN183</f>
        <v>0</v>
      </c>
      <c r="BO187" s="413"/>
      <c r="BP187" s="414"/>
      <c r="BQ187" s="412">
        <f>BQ183</f>
        <v>0</v>
      </c>
      <c r="BR187" s="413"/>
      <c r="BS187" s="414"/>
      <c r="BT187" s="412">
        <f>BT183</f>
        <v>0</v>
      </c>
      <c r="BU187" s="413"/>
      <c r="BV187" s="414"/>
      <c r="BW187" s="412">
        <f>BW183</f>
        <v>0</v>
      </c>
      <c r="BX187" s="413"/>
      <c r="BY187" s="414"/>
      <c r="BZ187" s="412">
        <f>BZ183</f>
        <v>0</v>
      </c>
      <c r="CA187" s="413"/>
      <c r="CB187" s="414"/>
      <c r="CC187" s="412">
        <f>CC183</f>
        <v>0</v>
      </c>
      <c r="CD187" s="413"/>
      <c r="CE187" s="414"/>
      <c r="CF187" s="412">
        <f>CF183</f>
        <v>0</v>
      </c>
      <c r="CG187" s="413"/>
      <c r="CH187" s="414"/>
      <c r="CI187" s="412">
        <f>CI183</f>
        <v>0</v>
      </c>
      <c r="CJ187" s="413"/>
      <c r="CK187" s="414"/>
      <c r="CL187" s="412">
        <f>CL183</f>
        <v>0</v>
      </c>
      <c r="CM187" s="413"/>
      <c r="CN187" s="414"/>
      <c r="CO187" s="412">
        <f>CO183</f>
        <v>0</v>
      </c>
      <c r="CP187" s="413"/>
      <c r="CQ187" s="414"/>
      <c r="CR187" s="412">
        <f>CR183</f>
        <v>0</v>
      </c>
      <c r="CS187" s="413"/>
      <c r="CT187" s="414"/>
      <c r="CU187" s="412">
        <f>CU183</f>
        <v>0</v>
      </c>
      <c r="CV187" s="413"/>
      <c r="CW187" s="414"/>
      <c r="CX187" s="412">
        <f>CX183</f>
        <v>0</v>
      </c>
      <c r="CY187" s="413"/>
      <c r="CZ187" s="414"/>
      <c r="DA187" s="412">
        <f>DA183</f>
        <v>0</v>
      </c>
      <c r="DB187" s="413"/>
      <c r="DC187" s="414"/>
      <c r="DD187" s="412">
        <f>DD183</f>
        <v>0</v>
      </c>
      <c r="DE187" s="413"/>
      <c r="DF187" s="414"/>
      <c r="DH187" s="311"/>
      <c r="DI187" s="311"/>
      <c r="DJ187" s="311"/>
      <c r="DK187" s="311"/>
      <c r="DL187" s="321"/>
      <c r="DM187" s="321"/>
      <c r="DN187" s="321"/>
      <c r="DO187" s="321"/>
      <c r="DP187" s="321"/>
      <c r="DQ187" s="321"/>
      <c r="DR187" s="321"/>
      <c r="DS187" s="321"/>
    </row>
    <row r="188" spans="1:123" ht="7.4" customHeight="1" x14ac:dyDescent="0.5">
      <c r="A188" s="42"/>
      <c r="B188" s="42"/>
      <c r="C188" s="311"/>
      <c r="D188" s="311"/>
      <c r="E188" s="41"/>
      <c r="F188" s="42"/>
      <c r="G188" s="319"/>
      <c r="H188" s="319"/>
      <c r="I188" s="319"/>
      <c r="J188" s="319"/>
      <c r="K188" s="319"/>
      <c r="L188" s="319"/>
      <c r="M188" s="319"/>
      <c r="N188" s="319"/>
      <c r="O188" s="319"/>
      <c r="P188" s="319"/>
      <c r="Q188" s="319"/>
      <c r="R188" s="320"/>
      <c r="S188" s="42"/>
      <c r="T188" s="521"/>
      <c r="U188" s="521"/>
      <c r="V188" s="521"/>
      <c r="W188" s="521"/>
      <c r="X188" s="521"/>
      <c r="Y188" s="521"/>
      <c r="Z188" s="521"/>
      <c r="AA188" s="521"/>
      <c r="AB188" s="521"/>
      <c r="AC188" s="521"/>
      <c r="AD188" s="521"/>
      <c r="AE188" s="521"/>
      <c r="AF188" s="521"/>
      <c r="AG188" s="521"/>
      <c r="AH188" s="521"/>
      <c r="AI188" s="521"/>
      <c r="AJ188" s="522"/>
      <c r="AK188" s="42"/>
      <c r="AL188" s="311"/>
      <c r="AM188" s="311"/>
      <c r="AN188" s="311"/>
      <c r="AO188" s="311"/>
      <c r="AP188" s="43"/>
      <c r="AQ188" s="111"/>
      <c r="AR188" s="309"/>
      <c r="AS188" s="309"/>
      <c r="AT188" s="309"/>
      <c r="AU188" s="309"/>
      <c r="AV188" s="309"/>
      <c r="AW188" s="309"/>
      <c r="AX188" s="309"/>
      <c r="AY188" s="309"/>
      <c r="AZ188" s="309"/>
      <c r="BA188" s="309"/>
      <c r="BB188" s="309"/>
      <c r="BC188" s="309"/>
      <c r="BD188" s="309"/>
      <c r="BE188" s="309"/>
      <c r="BF188" s="309"/>
      <c r="BG188" s="309"/>
      <c r="BH188" s="124"/>
      <c r="BI188" s="124"/>
      <c r="BK188" s="412"/>
      <c r="BL188" s="413"/>
      <c r="BM188" s="414"/>
      <c r="BN188" s="412"/>
      <c r="BO188" s="413"/>
      <c r="BP188" s="414"/>
      <c r="BQ188" s="412"/>
      <c r="BR188" s="413"/>
      <c r="BS188" s="414"/>
      <c r="BT188" s="412"/>
      <c r="BU188" s="413"/>
      <c r="BV188" s="414"/>
      <c r="BW188" s="412"/>
      <c r="BX188" s="413"/>
      <c r="BY188" s="414"/>
      <c r="BZ188" s="412"/>
      <c r="CA188" s="413"/>
      <c r="CB188" s="414"/>
      <c r="CC188" s="412"/>
      <c r="CD188" s="413"/>
      <c r="CE188" s="414"/>
      <c r="CF188" s="412"/>
      <c r="CG188" s="413"/>
      <c r="CH188" s="414"/>
      <c r="CI188" s="412"/>
      <c r="CJ188" s="413"/>
      <c r="CK188" s="414"/>
      <c r="CL188" s="412"/>
      <c r="CM188" s="413"/>
      <c r="CN188" s="414"/>
      <c r="CO188" s="412"/>
      <c r="CP188" s="413"/>
      <c r="CQ188" s="414"/>
      <c r="CR188" s="412"/>
      <c r="CS188" s="413"/>
      <c r="CT188" s="414"/>
      <c r="CU188" s="412"/>
      <c r="CV188" s="413"/>
      <c r="CW188" s="414"/>
      <c r="CX188" s="412"/>
      <c r="CY188" s="413"/>
      <c r="CZ188" s="414"/>
      <c r="DA188" s="412"/>
      <c r="DB188" s="413"/>
      <c r="DC188" s="414"/>
      <c r="DD188" s="412"/>
      <c r="DE188" s="413"/>
      <c r="DF188" s="414"/>
      <c r="DH188" s="311"/>
      <c r="DI188" s="311"/>
      <c r="DJ188" s="311"/>
      <c r="DK188" s="311"/>
      <c r="DL188" s="321"/>
      <c r="DM188" s="321"/>
      <c r="DN188" s="321"/>
      <c r="DO188" s="321"/>
      <c r="DP188" s="321"/>
      <c r="DQ188" s="321"/>
      <c r="DR188" s="321"/>
      <c r="DS188" s="321"/>
    </row>
    <row r="189" spans="1:123" ht="7.4" customHeight="1" x14ac:dyDescent="0.5">
      <c r="A189" s="42"/>
      <c r="B189" s="42"/>
      <c r="C189" s="333"/>
      <c r="D189" s="333"/>
      <c r="E189" s="41"/>
      <c r="F189" s="42"/>
      <c r="G189" s="56"/>
      <c r="H189" s="56"/>
      <c r="I189" s="56"/>
      <c r="J189" s="56"/>
      <c r="K189" s="56"/>
      <c r="L189" s="56"/>
      <c r="M189" s="56"/>
      <c r="N189" s="56"/>
      <c r="O189" s="56"/>
      <c r="P189" s="56"/>
      <c r="Q189" s="56"/>
      <c r="R189" s="126"/>
      <c r="S189" s="42"/>
      <c r="T189" s="116" t="str">
        <f>VLOOKUP(G187,PL!$B$9:$BH$1265,33,FALSE)</f>
        <v>.</v>
      </c>
      <c r="U189" s="45"/>
      <c r="V189" s="45"/>
      <c r="W189" s="45"/>
      <c r="X189" s="45"/>
      <c r="Y189" s="45"/>
      <c r="Z189" s="45"/>
      <c r="AA189" s="45"/>
      <c r="AB189" s="45"/>
      <c r="AC189" s="45"/>
      <c r="AD189" s="45"/>
      <c r="AE189" s="45"/>
      <c r="AF189" s="45"/>
      <c r="AG189" s="45"/>
      <c r="AH189" s="45"/>
      <c r="AI189" s="45"/>
      <c r="AJ189" s="244"/>
      <c r="AK189" s="42"/>
      <c r="AL189" s="311"/>
      <c r="AM189" s="311"/>
      <c r="AN189" s="311"/>
      <c r="AO189" s="311"/>
      <c r="AP189" s="43"/>
      <c r="AQ189" s="42"/>
      <c r="AR189" s="46"/>
      <c r="AS189" s="46"/>
      <c r="AT189" s="46"/>
      <c r="AU189" s="46"/>
      <c r="AV189" s="46"/>
      <c r="AW189" s="46"/>
      <c r="AX189" s="105"/>
      <c r="AZ189" s="119"/>
      <c r="BA189" s="119"/>
      <c r="BB189" s="119"/>
      <c r="BC189" s="119"/>
      <c r="BD189" s="119"/>
      <c r="BE189" s="119"/>
      <c r="BF189" s="119"/>
      <c r="BG189" s="119"/>
      <c r="BH189" s="124"/>
      <c r="BI189" s="124"/>
      <c r="BK189" s="194"/>
      <c r="BL189" s="123"/>
      <c r="BM189" s="195"/>
      <c r="BN189" s="194"/>
      <c r="BO189" s="123"/>
      <c r="BP189" s="195"/>
      <c r="BQ189" s="194"/>
      <c r="BR189" s="123"/>
      <c r="BS189" s="195"/>
      <c r="BT189" s="194"/>
      <c r="BU189" s="123"/>
      <c r="BV189" s="195"/>
      <c r="BW189" s="194"/>
      <c r="BX189" s="123"/>
      <c r="BY189" s="195"/>
      <c r="BZ189" s="194"/>
      <c r="CA189" s="123"/>
      <c r="CB189" s="195"/>
      <c r="CC189" s="194"/>
      <c r="CD189" s="123"/>
      <c r="CE189" s="195"/>
      <c r="CF189" s="194"/>
      <c r="CG189" s="123"/>
      <c r="CH189" s="195"/>
      <c r="CI189" s="194"/>
      <c r="CJ189" s="123"/>
      <c r="CK189" s="195"/>
      <c r="CL189" s="194"/>
      <c r="CM189" s="123"/>
      <c r="CN189" s="195"/>
      <c r="CO189" s="194"/>
      <c r="CP189" s="123"/>
      <c r="CQ189" s="195"/>
      <c r="CR189" s="194"/>
      <c r="CS189" s="123"/>
      <c r="CT189" s="195"/>
      <c r="CU189" s="194"/>
      <c r="CV189" s="123"/>
      <c r="CW189" s="195"/>
      <c r="CX189" s="194"/>
      <c r="CY189" s="123"/>
      <c r="CZ189" s="195"/>
      <c r="DA189" s="194"/>
      <c r="DB189" s="123"/>
      <c r="DC189" s="195"/>
      <c r="DD189" s="194"/>
      <c r="DE189" s="123"/>
      <c r="DF189" s="195"/>
      <c r="DH189" s="311"/>
      <c r="DI189" s="311"/>
      <c r="DJ189" s="311"/>
      <c r="DK189" s="311"/>
      <c r="DL189" s="321"/>
      <c r="DM189" s="321"/>
      <c r="DN189" s="321"/>
      <c r="DO189" s="321"/>
      <c r="DP189" s="321"/>
      <c r="DQ189" s="321"/>
      <c r="DR189" s="321"/>
      <c r="DS189" s="321"/>
    </row>
    <row r="190" spans="1:123" ht="7.5" customHeight="1" x14ac:dyDescent="0.5">
      <c r="A190" s="42"/>
      <c r="B190" s="42"/>
      <c r="C190" s="311"/>
      <c r="D190" s="311"/>
      <c r="E190" s="41"/>
      <c r="F190" s="42"/>
      <c r="G190" s="56"/>
      <c r="H190" s="56"/>
      <c r="I190" s="56"/>
      <c r="J190" s="56"/>
      <c r="K190" s="56"/>
      <c r="L190" s="56"/>
      <c r="M190" s="56"/>
      <c r="N190" s="56"/>
      <c r="O190" s="56"/>
      <c r="P190" s="56"/>
      <c r="Q190" s="56"/>
      <c r="R190" s="126"/>
      <c r="S190" s="42"/>
      <c r="T190" s="45"/>
      <c r="U190" s="45"/>
      <c r="V190" s="45"/>
      <c r="W190" s="45"/>
      <c r="X190" s="45"/>
      <c r="Y190" s="45"/>
      <c r="Z190" s="45"/>
      <c r="AA190" s="45"/>
      <c r="AB190" s="45"/>
      <c r="AC190" s="45"/>
      <c r="AD190" s="45"/>
      <c r="AE190" s="45"/>
      <c r="AF190" s="45"/>
      <c r="AG190" s="45"/>
      <c r="AH190" s="45"/>
      <c r="AI190" s="45"/>
      <c r="AJ190" s="45"/>
      <c r="AK190" s="42"/>
      <c r="AQ190" s="42"/>
      <c r="AR190" s="46"/>
      <c r="AS190" s="46"/>
      <c r="AT190" s="46"/>
      <c r="AU190" s="46"/>
      <c r="AV190" s="46"/>
      <c r="AW190" s="46"/>
      <c r="AX190" s="105"/>
      <c r="AZ190" s="119"/>
      <c r="BA190" s="119"/>
      <c r="BB190" s="119"/>
      <c r="BC190" s="119"/>
      <c r="BD190" s="119"/>
      <c r="BE190" s="119"/>
      <c r="BF190" s="119"/>
      <c r="BG190" s="119"/>
      <c r="BH190" s="41"/>
      <c r="BI190" s="41"/>
      <c r="BK190" s="194"/>
      <c r="BL190" s="123"/>
      <c r="BM190" s="195"/>
      <c r="BN190" s="194"/>
      <c r="BO190" s="123"/>
      <c r="BP190" s="195"/>
      <c r="BQ190" s="194"/>
      <c r="BR190" s="123"/>
      <c r="BS190" s="195"/>
      <c r="BT190" s="194"/>
      <c r="BU190" s="123"/>
      <c r="BV190" s="195"/>
      <c r="BW190" s="194"/>
      <c r="BX190" s="123"/>
      <c r="BY190" s="195"/>
      <c r="BZ190" s="194"/>
      <c r="CA190" s="123"/>
      <c r="CB190" s="195"/>
      <c r="CC190" s="194"/>
      <c r="CD190" s="123"/>
      <c r="CE190" s="195"/>
      <c r="CF190" s="194"/>
      <c r="CG190" s="123"/>
      <c r="CH190" s="195"/>
      <c r="CI190" s="194"/>
      <c r="CJ190" s="123"/>
      <c r="CK190" s="195"/>
      <c r="CL190" s="194"/>
      <c r="CM190" s="123"/>
      <c r="CN190" s="195"/>
      <c r="CO190" s="194"/>
      <c r="CP190" s="123"/>
      <c r="CQ190" s="195"/>
      <c r="CR190" s="194"/>
      <c r="CS190" s="123"/>
      <c r="CT190" s="195"/>
      <c r="CU190" s="194"/>
      <c r="CV190" s="123"/>
      <c r="CW190" s="195"/>
      <c r="CX190" s="194"/>
      <c r="CY190" s="123"/>
      <c r="CZ190" s="195"/>
      <c r="DA190" s="194"/>
      <c r="DB190" s="123"/>
      <c r="DC190" s="195"/>
      <c r="DD190" s="194"/>
      <c r="DE190" s="123"/>
      <c r="DF190" s="195"/>
      <c r="DH190" s="311"/>
      <c r="DI190" s="311"/>
      <c r="DJ190" s="311"/>
      <c r="DK190" s="311"/>
      <c r="DL190" s="24"/>
    </row>
    <row r="191" spans="1:123" ht="7.4" customHeight="1" x14ac:dyDescent="0.5">
      <c r="A191" s="42"/>
      <c r="B191" s="42"/>
      <c r="C191" s="311">
        <f>C187+1</f>
        <v>19</v>
      </c>
      <c r="D191" s="311"/>
      <c r="E191" s="41"/>
      <c r="F191" s="42"/>
      <c r="G191" s="319" t="str">
        <f>IF(AL191=0,"N/A","AXE_ST_6.3_22_SC")</f>
        <v>AXE_ST_6.3_22_SC</v>
      </c>
      <c r="H191" s="319"/>
      <c r="I191" s="319"/>
      <c r="J191" s="319"/>
      <c r="K191" s="319"/>
      <c r="L191" s="319"/>
      <c r="M191" s="319"/>
      <c r="N191" s="319"/>
      <c r="O191" s="319"/>
      <c r="P191" s="319"/>
      <c r="Q191" s="319"/>
      <c r="R191" s="320"/>
      <c r="S191" s="42"/>
      <c r="T191" s="521" t="str">
        <f>VLOOKUP(G191,PL!$B$9:$BH$1265,14,FALSE)</f>
        <v>Self Drilling Tek Screw</v>
      </c>
      <c r="U191" s="521"/>
      <c r="V191" s="521"/>
      <c r="W191" s="521"/>
      <c r="X191" s="521"/>
      <c r="Y191" s="521"/>
      <c r="Z191" s="521"/>
      <c r="AA191" s="521"/>
      <c r="AB191" s="521"/>
      <c r="AC191" s="521"/>
      <c r="AD191" s="521"/>
      <c r="AE191" s="521"/>
      <c r="AF191" s="521"/>
      <c r="AG191" s="521"/>
      <c r="AH191" s="521"/>
      <c r="AI191" s="521"/>
      <c r="AJ191" s="522"/>
      <c r="AK191" s="42"/>
      <c r="AL191" s="311">
        <f>ROUND(SUM(BK191:DF191)*(1+$BF$80),0)</f>
        <v>1830</v>
      </c>
      <c r="AM191" s="311"/>
      <c r="AN191" s="311"/>
      <c r="AO191" s="311"/>
      <c r="AP191" s="43"/>
      <c r="AQ191" s="111"/>
      <c r="AR191" s="308" t="str">
        <f>VLOOKUP(G191,PL!$B$9:$BH$818,52,FALSE)</f>
        <v>SOL-5952</v>
      </c>
      <c r="AS191" s="309"/>
      <c r="AT191" s="309"/>
      <c r="AU191" s="309"/>
      <c r="AV191" s="309"/>
      <c r="AW191" s="309"/>
      <c r="AX191" s="309"/>
      <c r="AY191" s="309"/>
      <c r="AZ191" s="309"/>
      <c r="BA191" s="309"/>
      <c r="BB191" s="309"/>
      <c r="BC191" s="309"/>
      <c r="BD191" s="309"/>
      <c r="BE191" s="309"/>
      <c r="BF191" s="309"/>
      <c r="BG191" s="309"/>
      <c r="BH191" s="124"/>
      <c r="BI191" s="124"/>
      <c r="BK191" s="412">
        <f>IF(OR(MID($G$139,8,2)="IB",MID($G$139,8,2)="RS",MID($G$139,8,2)="CO"),BK139*4,
IF(MID($G$139,8,2)="RF",BK139*2,0))+BK127*2</f>
        <v>1760</v>
      </c>
      <c r="BL191" s="413"/>
      <c r="BM191" s="414"/>
      <c r="BN191" s="412">
        <f>IF(OR(MID($G$139,8,2)="IB",MID($G$139,8,2)="RS",MID($G$139,8,2)="CO"),BN139*4,
IF(MID($G$139,8,2)="RF",BN139*2,0))+BN127*2</f>
        <v>0</v>
      </c>
      <c r="BO191" s="413"/>
      <c r="BP191" s="414"/>
      <c r="BQ191" s="412">
        <f>IF(OR(MID($G$139,8,2)="IB",MID($G$139,8,2)="RS",MID($G$139,8,2)="CO"),BQ139*4,
IF(MID($G$139,8,2)="RF",BQ139*2,0))+BQ127*2</f>
        <v>0</v>
      </c>
      <c r="BR191" s="413"/>
      <c r="BS191" s="414"/>
      <c r="BT191" s="412">
        <f>IF(OR(MID($G$139,8,2)="IB",MID($G$139,8,2)="RS",MID($G$139,8,2)="CO"),BT139*4,
IF(MID($G$139,8,2)="RF",BT139*2,0))+BT127*2</f>
        <v>0</v>
      </c>
      <c r="BU191" s="413"/>
      <c r="BV191" s="414"/>
      <c r="BW191" s="412">
        <f>IF(OR(MID($G$139,8,2)="IB",MID($G$139,8,2)="RS",MID($G$139,8,2)="CO"),BW139*4,
IF(MID($G$139,8,2)="RF",BW139*2,0))+BW127*2</f>
        <v>0</v>
      </c>
      <c r="BX191" s="413"/>
      <c r="BY191" s="414"/>
      <c r="BZ191" s="412">
        <f>IF(OR(MID($G$139,8,2)="IB",MID($G$139,8,2)="RS",MID($G$139,8,2)="CO"),BZ139*4,
IF(MID($G$139,8,2)="RF",BZ139*2,0))+BZ127*2</f>
        <v>0</v>
      </c>
      <c r="CA191" s="413"/>
      <c r="CB191" s="414"/>
      <c r="CC191" s="412">
        <f>IF(OR(MID($G$139,8,2)="IB",MID($G$139,8,2)="RS",MID($G$139,8,2)="CO"),CC139*4,
IF(MID($G$139,8,2)="RF",CC139*2,0))+CC127*2</f>
        <v>0</v>
      </c>
      <c r="CD191" s="413"/>
      <c r="CE191" s="414"/>
      <c r="CF191" s="412">
        <f>IF(OR(MID($G$139,8,2)="IB",MID($G$139,8,2)="RS",MID($G$139,8,2)="CO"),CF139*4,
IF(MID($G$139,8,2)="RF",CF139*2,0))+CF127*2</f>
        <v>0</v>
      </c>
      <c r="CG191" s="413"/>
      <c r="CH191" s="414"/>
      <c r="CI191" s="412">
        <f>IF(OR(MID($G$139,8,2)="IB",MID($G$139,8,2)="RS",MID($G$139,8,2)="CO"),CI139*4,
IF(MID($G$139,8,2)="RF",CI139*2,0))+CI127*2</f>
        <v>0</v>
      </c>
      <c r="CJ191" s="413"/>
      <c r="CK191" s="414"/>
      <c r="CL191" s="412">
        <f>IF(OR(MID($G$139,8,2)="IB",MID($G$139,8,2)="RS",MID($G$139,8,2)="CO"),CL139*4,
IF(MID($G$139,8,2)="RF",CL139*2,0))+CL127*2</f>
        <v>0</v>
      </c>
      <c r="CM191" s="413"/>
      <c r="CN191" s="414"/>
      <c r="CO191" s="412">
        <f>IF(OR(MID($G$139,8,2)="IB",MID($G$139,8,2)="RS",MID($G$139,8,2)="CO"),CO139*4,
IF(MID($G$139,8,2)="RF",CO139*2,0))+CO127*2</f>
        <v>0</v>
      </c>
      <c r="CP191" s="413"/>
      <c r="CQ191" s="414"/>
      <c r="CR191" s="412">
        <f>IF(OR(MID($G$139,8,2)="IB",MID($G$139,8,2)="RS",MID($G$139,8,2)="CO"),CR139*4,
IF(MID($G$139,8,2)="RF",CR139*2,0))+CR127*2</f>
        <v>0</v>
      </c>
      <c r="CS191" s="413"/>
      <c r="CT191" s="414"/>
      <c r="CU191" s="412">
        <f>IF(OR(MID($G$139,8,2)="IB",MID($G$139,8,2)="RS",MID($G$139,8,2)="CO"),CU139*4,
IF(MID($G$139,8,2)="RF",CU139*2,0))+CU127*2</f>
        <v>0</v>
      </c>
      <c r="CV191" s="413"/>
      <c r="CW191" s="414"/>
      <c r="CX191" s="412">
        <f>IF(OR(MID($G$139,8,2)="IB",MID($G$139,8,2)="RS",MID($G$139,8,2)="CO"),CX139*4,
IF(MID($G$139,8,2)="RF",CX139*2,0))+CX127*2</f>
        <v>0</v>
      </c>
      <c r="CY191" s="413"/>
      <c r="CZ191" s="414"/>
      <c r="DA191" s="412">
        <f>IF(OR(MID($G$139,8,2)="IB",MID($G$139,8,2)="RS",MID($G$139,8,2)="CO"),DA139*4,
IF(MID($G$139,8,2)="RF",DA139*2,0))+DA127*2</f>
        <v>0</v>
      </c>
      <c r="DB191" s="413"/>
      <c r="DC191" s="414"/>
      <c r="DD191" s="412">
        <f>IF(OR(MID($G$139,8,2)="IB",MID($G$139,8,2)="RS",MID($G$139,8,2)="CO"),DD139*4,
IF(MID($G$139,8,2)="RF",DD139*2,0))+DD127*2</f>
        <v>0</v>
      </c>
      <c r="DE191" s="413"/>
      <c r="DF191" s="414"/>
      <c r="DH191" s="311"/>
      <c r="DI191" s="311"/>
      <c r="DJ191" s="311"/>
      <c r="DK191" s="311"/>
      <c r="DL191" s="321"/>
      <c r="DM191" s="321"/>
      <c r="DN191" s="321"/>
      <c r="DO191" s="321"/>
      <c r="DP191" s="321"/>
      <c r="DQ191" s="321"/>
      <c r="DR191" s="321"/>
      <c r="DS191" s="321"/>
    </row>
    <row r="192" spans="1:123" ht="7.4" customHeight="1" x14ac:dyDescent="0.5">
      <c r="A192" s="42"/>
      <c r="B192" s="42"/>
      <c r="C192" s="311"/>
      <c r="D192" s="311"/>
      <c r="E192" s="41"/>
      <c r="F192" s="42"/>
      <c r="G192" s="319"/>
      <c r="H192" s="319"/>
      <c r="I192" s="319"/>
      <c r="J192" s="319"/>
      <c r="K192" s="319"/>
      <c r="L192" s="319"/>
      <c r="M192" s="319"/>
      <c r="N192" s="319"/>
      <c r="O192" s="319"/>
      <c r="P192" s="319"/>
      <c r="Q192" s="319"/>
      <c r="R192" s="320"/>
      <c r="S192" s="42"/>
      <c r="T192" s="521"/>
      <c r="U192" s="521"/>
      <c r="V192" s="521"/>
      <c r="W192" s="521"/>
      <c r="X192" s="521"/>
      <c r="Y192" s="521"/>
      <c r="Z192" s="521"/>
      <c r="AA192" s="521"/>
      <c r="AB192" s="521"/>
      <c r="AC192" s="521"/>
      <c r="AD192" s="521"/>
      <c r="AE192" s="521"/>
      <c r="AF192" s="521"/>
      <c r="AG192" s="521"/>
      <c r="AH192" s="521"/>
      <c r="AI192" s="521"/>
      <c r="AJ192" s="522"/>
      <c r="AK192" s="42"/>
      <c r="AL192" s="311"/>
      <c r="AM192" s="311"/>
      <c r="AN192" s="311"/>
      <c r="AO192" s="311"/>
      <c r="AP192" s="43"/>
      <c r="AQ192" s="111"/>
      <c r="AR192" s="309"/>
      <c r="AS192" s="309"/>
      <c r="AT192" s="309"/>
      <c r="AU192" s="309"/>
      <c r="AV192" s="309"/>
      <c r="AW192" s="309"/>
      <c r="AX192" s="309"/>
      <c r="AY192" s="309"/>
      <c r="AZ192" s="309"/>
      <c r="BA192" s="309"/>
      <c r="BB192" s="309"/>
      <c r="BC192" s="309"/>
      <c r="BD192" s="309"/>
      <c r="BE192" s="309"/>
      <c r="BF192" s="309"/>
      <c r="BG192" s="309"/>
      <c r="BH192" s="124"/>
      <c r="BI192" s="124"/>
      <c r="BK192" s="412"/>
      <c r="BL192" s="413"/>
      <c r="BM192" s="414"/>
      <c r="BN192" s="412"/>
      <c r="BO192" s="413"/>
      <c r="BP192" s="414"/>
      <c r="BQ192" s="412"/>
      <c r="BR192" s="413"/>
      <c r="BS192" s="414"/>
      <c r="BT192" s="412"/>
      <c r="BU192" s="413"/>
      <c r="BV192" s="414"/>
      <c r="BW192" s="412"/>
      <c r="BX192" s="413"/>
      <c r="BY192" s="414"/>
      <c r="BZ192" s="412"/>
      <c r="CA192" s="413"/>
      <c r="CB192" s="414"/>
      <c r="CC192" s="412"/>
      <c r="CD192" s="413"/>
      <c r="CE192" s="414"/>
      <c r="CF192" s="412"/>
      <c r="CG192" s="413"/>
      <c r="CH192" s="414"/>
      <c r="CI192" s="412"/>
      <c r="CJ192" s="413"/>
      <c r="CK192" s="414"/>
      <c r="CL192" s="412"/>
      <c r="CM192" s="413"/>
      <c r="CN192" s="414"/>
      <c r="CO192" s="412"/>
      <c r="CP192" s="413"/>
      <c r="CQ192" s="414"/>
      <c r="CR192" s="412"/>
      <c r="CS192" s="413"/>
      <c r="CT192" s="414"/>
      <c r="CU192" s="412"/>
      <c r="CV192" s="413"/>
      <c r="CW192" s="414"/>
      <c r="CX192" s="412"/>
      <c r="CY192" s="413"/>
      <c r="CZ192" s="414"/>
      <c r="DA192" s="412"/>
      <c r="DB192" s="413"/>
      <c r="DC192" s="414"/>
      <c r="DD192" s="412"/>
      <c r="DE192" s="413"/>
      <c r="DF192" s="414"/>
      <c r="DH192" s="311"/>
      <c r="DI192" s="311"/>
      <c r="DJ192" s="311"/>
      <c r="DK192" s="311"/>
      <c r="DL192" s="321"/>
      <c r="DM192" s="321"/>
      <c r="DN192" s="321"/>
      <c r="DO192" s="321"/>
      <c r="DP192" s="321"/>
      <c r="DQ192" s="321"/>
      <c r="DR192" s="321"/>
      <c r="DS192" s="321"/>
    </row>
    <row r="193" spans="1:123" ht="7.4" customHeight="1" x14ac:dyDescent="0.5">
      <c r="A193" s="42"/>
      <c r="B193" s="42"/>
      <c r="C193" s="55"/>
      <c r="D193" s="55"/>
      <c r="E193" s="41"/>
      <c r="F193" s="42"/>
      <c r="G193" s="56"/>
      <c r="H193" s="56"/>
      <c r="I193" s="56"/>
      <c r="J193" s="56"/>
      <c r="K193" s="56"/>
      <c r="L193" s="56"/>
      <c r="M193" s="56"/>
      <c r="N193" s="56"/>
      <c r="O193" s="56"/>
      <c r="P193" s="56"/>
      <c r="Q193" s="56"/>
      <c r="R193" s="126"/>
      <c r="S193" s="42"/>
      <c r="T193" s="257" t="str">
        <f>VLOOKUP(G191,PL!$B$9:$BH$1265,33,FALSE)</f>
        <v>Class4 Coated Steel, M6.3x22</v>
      </c>
      <c r="U193" s="45"/>
      <c r="V193" s="45"/>
      <c r="W193" s="45"/>
      <c r="X193" s="45"/>
      <c r="Y193" s="45"/>
      <c r="Z193" s="45"/>
      <c r="AA193" s="45"/>
      <c r="AB193" s="45"/>
      <c r="AC193" s="45"/>
      <c r="AD193" s="45"/>
      <c r="AE193" s="45"/>
      <c r="AF193" s="45"/>
      <c r="AG193" s="45"/>
      <c r="AH193" s="45"/>
      <c r="AI193" s="45"/>
      <c r="AJ193" s="244"/>
      <c r="AK193" s="42"/>
      <c r="AL193" s="311"/>
      <c r="AM193" s="311"/>
      <c r="AN193" s="311"/>
      <c r="AO193" s="311"/>
      <c r="AP193" s="43"/>
      <c r="AQ193" s="42"/>
      <c r="AR193" s="46"/>
      <c r="AS193" s="46"/>
      <c r="AT193" s="46"/>
      <c r="AU193" s="46"/>
      <c r="AV193" s="46"/>
      <c r="AW193" s="46"/>
      <c r="AX193" s="105"/>
      <c r="AZ193" s="119"/>
      <c r="BA193" s="119"/>
      <c r="BB193" s="119"/>
      <c r="BC193" s="119"/>
      <c r="BD193" s="119"/>
      <c r="BE193" s="119"/>
      <c r="BF193" s="119"/>
      <c r="BG193" s="119"/>
      <c r="BH193" s="124"/>
      <c r="BI193" s="124"/>
      <c r="BK193" s="194"/>
      <c r="BL193" s="123"/>
      <c r="BM193" s="195"/>
      <c r="BN193" s="194"/>
      <c r="BO193" s="123"/>
      <c r="BP193" s="195"/>
      <c r="BQ193" s="194"/>
      <c r="BR193" s="123"/>
      <c r="BS193" s="195"/>
      <c r="BT193" s="194"/>
      <c r="BU193" s="123"/>
      <c r="BV193" s="195"/>
      <c r="BW193" s="194"/>
      <c r="BX193" s="123"/>
      <c r="BY193" s="195"/>
      <c r="BZ193" s="194"/>
      <c r="CA193" s="123"/>
      <c r="CB193" s="195"/>
      <c r="CC193" s="194"/>
      <c r="CD193" s="123"/>
      <c r="CE193" s="195"/>
      <c r="CF193" s="194"/>
      <c r="CG193" s="123"/>
      <c r="CH193" s="195"/>
      <c r="CI193" s="194"/>
      <c r="CJ193" s="123"/>
      <c r="CK193" s="195"/>
      <c r="CL193" s="194"/>
      <c r="CM193" s="123"/>
      <c r="CN193" s="195"/>
      <c r="CO193" s="194"/>
      <c r="CP193" s="123"/>
      <c r="CQ193" s="195"/>
      <c r="CR193" s="194"/>
      <c r="CS193" s="123"/>
      <c r="CT193" s="195"/>
      <c r="CU193" s="194"/>
      <c r="CV193" s="123"/>
      <c r="CW193" s="195"/>
      <c r="CX193" s="194"/>
      <c r="CY193" s="123"/>
      <c r="CZ193" s="195"/>
      <c r="DA193" s="194"/>
      <c r="DB193" s="123"/>
      <c r="DC193" s="195"/>
      <c r="DD193" s="194"/>
      <c r="DE193" s="123"/>
      <c r="DF193" s="195"/>
      <c r="DH193" s="311"/>
      <c r="DI193" s="311"/>
      <c r="DJ193" s="311"/>
      <c r="DK193" s="311"/>
      <c r="DL193" s="321"/>
      <c r="DM193" s="321"/>
      <c r="DN193" s="321"/>
      <c r="DO193" s="321"/>
      <c r="DP193" s="321"/>
      <c r="DQ193" s="321"/>
      <c r="DR193" s="321"/>
      <c r="DS193" s="321"/>
    </row>
    <row r="194" spans="1:123" ht="7.4" customHeight="1" x14ac:dyDescent="0.5">
      <c r="A194" s="42"/>
      <c r="B194" s="42"/>
      <c r="C194" s="55"/>
      <c r="D194" s="55"/>
      <c r="E194" s="41"/>
      <c r="F194" s="42"/>
      <c r="G194" s="56"/>
      <c r="H194" s="56"/>
      <c r="I194" s="56"/>
      <c r="J194" s="56"/>
      <c r="K194" s="56"/>
      <c r="L194" s="56"/>
      <c r="M194" s="56"/>
      <c r="N194" s="56"/>
      <c r="O194" s="56"/>
      <c r="P194" s="56"/>
      <c r="Q194" s="56"/>
      <c r="R194" s="126"/>
      <c r="S194" s="42"/>
      <c r="T194" s="45"/>
      <c r="U194" s="45"/>
      <c r="V194" s="45"/>
      <c r="W194" s="45"/>
      <c r="X194" s="45"/>
      <c r="Y194" s="45"/>
      <c r="Z194" s="45"/>
      <c r="AA194" s="45"/>
      <c r="AB194" s="45"/>
      <c r="AC194" s="45"/>
      <c r="AD194" s="45"/>
      <c r="AE194" s="45"/>
      <c r="AF194" s="45"/>
      <c r="AG194" s="45"/>
      <c r="AH194" s="45"/>
      <c r="AI194" s="45"/>
      <c r="AJ194" s="244"/>
      <c r="AK194" s="42"/>
      <c r="AL194" s="311"/>
      <c r="AM194" s="311"/>
      <c r="AN194" s="311"/>
      <c r="AO194" s="311"/>
      <c r="AP194" s="43"/>
      <c r="AQ194" s="42"/>
      <c r="AR194" s="46"/>
      <c r="AS194" s="46"/>
      <c r="AT194" s="46"/>
      <c r="AU194" s="46"/>
      <c r="AV194" s="46"/>
      <c r="AW194" s="46"/>
      <c r="AX194" s="105"/>
      <c r="AZ194" s="119"/>
      <c r="BA194" s="119"/>
      <c r="BB194" s="119"/>
      <c r="BC194" s="119"/>
      <c r="BD194" s="119"/>
      <c r="BE194" s="119"/>
      <c r="BF194" s="119"/>
      <c r="BG194" s="119"/>
      <c r="BH194" s="124"/>
      <c r="BI194" s="124"/>
      <c r="BK194" s="194"/>
      <c r="BL194" s="123"/>
      <c r="BM194" s="195"/>
      <c r="BN194" s="194"/>
      <c r="BO194" s="123"/>
      <c r="BP194" s="195"/>
      <c r="BQ194" s="194"/>
      <c r="BR194" s="123"/>
      <c r="BS194" s="195"/>
      <c r="BT194" s="194"/>
      <c r="BU194" s="123"/>
      <c r="BV194" s="195"/>
      <c r="BW194" s="194"/>
      <c r="BX194" s="123"/>
      <c r="BY194" s="195"/>
      <c r="BZ194" s="194"/>
      <c r="CA194" s="123"/>
      <c r="CB194" s="195"/>
      <c r="CC194" s="194"/>
      <c r="CD194" s="123"/>
      <c r="CE194" s="195"/>
      <c r="CF194" s="194"/>
      <c r="CG194" s="123"/>
      <c r="CH194" s="195"/>
      <c r="CI194" s="194"/>
      <c r="CJ194" s="123"/>
      <c r="CK194" s="195"/>
      <c r="CL194" s="194"/>
      <c r="CM194" s="123"/>
      <c r="CN194" s="195"/>
      <c r="CO194" s="194"/>
      <c r="CP194" s="123"/>
      <c r="CQ194" s="195"/>
      <c r="CR194" s="194"/>
      <c r="CS194" s="123"/>
      <c r="CT194" s="195"/>
      <c r="CU194" s="194"/>
      <c r="CV194" s="123"/>
      <c r="CW194" s="195"/>
      <c r="CX194" s="194"/>
      <c r="CY194" s="123"/>
      <c r="CZ194" s="195"/>
      <c r="DA194" s="194"/>
      <c r="DB194" s="123"/>
      <c r="DC194" s="195"/>
      <c r="DD194" s="194"/>
      <c r="DE194" s="123"/>
      <c r="DF194" s="195"/>
      <c r="DH194" s="311"/>
      <c r="DI194" s="311"/>
      <c r="DJ194" s="311"/>
      <c r="DK194" s="311"/>
      <c r="DL194" s="321"/>
      <c r="DM194" s="321"/>
      <c r="DN194" s="321"/>
      <c r="DO194" s="321"/>
      <c r="DP194" s="321"/>
      <c r="DQ194" s="321"/>
      <c r="DR194" s="321"/>
      <c r="DS194" s="321"/>
    </row>
    <row r="195" spans="1:123" ht="7.4" customHeight="1" x14ac:dyDescent="0.5">
      <c r="A195" s="42"/>
      <c r="B195" s="42"/>
      <c r="C195" s="311">
        <f>C191+1</f>
        <v>20</v>
      </c>
      <c r="D195" s="311"/>
      <c r="E195" s="41"/>
      <c r="F195" s="42"/>
      <c r="G195" s="319" t="str">
        <f>IF(AL195=0,"N/A",IF(MID($G$139,8,2)="TH","AXE_SW_6_80_SS","AXE_ST_5.5_85_SC"))</f>
        <v>N/A</v>
      </c>
      <c r="H195" s="319"/>
      <c r="I195" s="319"/>
      <c r="J195" s="319"/>
      <c r="K195" s="319"/>
      <c r="L195" s="319"/>
      <c r="M195" s="319"/>
      <c r="N195" s="319"/>
      <c r="O195" s="319"/>
      <c r="P195" s="319"/>
      <c r="Q195" s="319"/>
      <c r="R195" s="320"/>
      <c r="S195" s="42"/>
      <c r="T195" s="521" t="str">
        <f>VLOOKUP(G195,PL!$B$9:$BH$1265,14,FALSE)</f>
        <v>No Item</v>
      </c>
      <c r="U195" s="521"/>
      <c r="V195" s="521"/>
      <c r="W195" s="521"/>
      <c r="X195" s="521"/>
      <c r="Y195" s="521"/>
      <c r="Z195" s="521"/>
      <c r="AA195" s="521"/>
      <c r="AB195" s="521"/>
      <c r="AC195" s="521"/>
      <c r="AD195" s="521"/>
      <c r="AE195" s="521"/>
      <c r="AF195" s="521"/>
      <c r="AG195" s="521"/>
      <c r="AH195" s="521"/>
      <c r="AI195" s="521"/>
      <c r="AJ195" s="522"/>
      <c r="AK195" s="42"/>
      <c r="AL195" s="311">
        <f>ROUND(SUM(BK195:DF195)*(1+$BF$80),0)</f>
        <v>0</v>
      </c>
      <c r="AM195" s="311"/>
      <c r="AN195" s="311"/>
      <c r="AO195" s="311"/>
      <c r="AP195" s="43"/>
      <c r="AQ195" s="111"/>
      <c r="AR195" s="308" t="str">
        <f>VLOOKUP(G195,PL!$B$9:$BH$818,52,FALSE)</f>
        <v>-</v>
      </c>
      <c r="AS195" s="309"/>
      <c r="AT195" s="309"/>
      <c r="AU195" s="309"/>
      <c r="AV195" s="309"/>
      <c r="AW195" s="309"/>
      <c r="AX195" s="309"/>
      <c r="AY195" s="309"/>
      <c r="AZ195" s="309"/>
      <c r="BA195" s="309"/>
      <c r="BB195" s="309"/>
      <c r="BC195" s="309"/>
      <c r="BD195" s="309"/>
      <c r="BE195" s="309"/>
      <c r="BF195" s="309"/>
      <c r="BG195" s="309"/>
      <c r="BH195" s="124"/>
      <c r="BI195" s="124"/>
      <c r="BK195" s="412">
        <f>IF(MID($G$139,8,2)="TH",BK139*2,
IF(MID($G$139,8,3)="L_R",BK139*1,0))</f>
        <v>0</v>
      </c>
      <c r="BL195" s="413"/>
      <c r="BM195" s="414"/>
      <c r="BN195" s="412">
        <f>IF(MID($G$139,8,2)="TH",BN139*2,
IF(MID($G$139,8,3)="L_R",BN139*1,0))</f>
        <v>0</v>
      </c>
      <c r="BO195" s="413"/>
      <c r="BP195" s="414"/>
      <c r="BQ195" s="412">
        <f>IF(MID($G$139,8,2)="TH",BQ139*2,
IF(MID($G$139,8,3)="L_R",BQ139*1,0))</f>
        <v>0</v>
      </c>
      <c r="BR195" s="413"/>
      <c r="BS195" s="414"/>
      <c r="BT195" s="412">
        <f>IF(MID($G$139,8,2)="TH",BT139*2,
IF(MID($G$139,8,3)="L_R",BT139*1,0))</f>
        <v>0</v>
      </c>
      <c r="BU195" s="413"/>
      <c r="BV195" s="414"/>
      <c r="BW195" s="412">
        <f>IF(MID($G$139,8,2)="TH",BW139*2,
IF(MID($G$139,8,3)="L_R",BW139*1,0))</f>
        <v>0</v>
      </c>
      <c r="BX195" s="413"/>
      <c r="BY195" s="414"/>
      <c r="BZ195" s="412">
        <f>IF(MID($G$139,8,2)="TH",BZ139*2,
IF(MID($G$139,8,3)="L_R",BZ139*1,0))</f>
        <v>0</v>
      </c>
      <c r="CA195" s="413"/>
      <c r="CB195" s="414"/>
      <c r="CC195" s="412">
        <f>IF(MID($G$139,8,2)="TH",CC139*2,
IF(MID($G$139,8,3)="L_R",CC139*1,0))</f>
        <v>0</v>
      </c>
      <c r="CD195" s="413"/>
      <c r="CE195" s="414"/>
      <c r="CF195" s="412">
        <f>IF(MID($G$139,8,2)="TH",CF139*2,
IF(MID($G$139,8,3)="L_R",CF139*1,0))</f>
        <v>0</v>
      </c>
      <c r="CG195" s="413"/>
      <c r="CH195" s="414"/>
      <c r="CI195" s="412">
        <f>IF(MID($G$139,8,2)="TH",CI139*2,
IF(MID($G$139,8,3)="L_R",CI139*1,0))</f>
        <v>0</v>
      </c>
      <c r="CJ195" s="413"/>
      <c r="CK195" s="414"/>
      <c r="CL195" s="412">
        <f>IF(MID($G$139,8,2)="TH",CL139*2,
IF(MID($G$139,8,3)="L_R",CL139*1,0))</f>
        <v>0</v>
      </c>
      <c r="CM195" s="413"/>
      <c r="CN195" s="414"/>
      <c r="CO195" s="412">
        <f>IF(MID($G$139,8,2)="TH",CO139*2,
IF(MID($G$139,8,3)="L_R",CO139*1,0))</f>
        <v>0</v>
      </c>
      <c r="CP195" s="413"/>
      <c r="CQ195" s="414"/>
      <c r="CR195" s="412">
        <f>IF(MID($G$139,8,2)="TH",CR139*2,
IF(MID($G$139,8,3)="L_R",CR139*1,0))</f>
        <v>0</v>
      </c>
      <c r="CS195" s="413"/>
      <c r="CT195" s="414"/>
      <c r="CU195" s="412">
        <f>IF(MID($G$139,8,2)="TH",CU139*2,
IF(MID($G$139,8,3)="L_R",CU139*1,0))</f>
        <v>0</v>
      </c>
      <c r="CV195" s="413"/>
      <c r="CW195" s="414"/>
      <c r="CX195" s="412">
        <f>IF(MID($G$139,8,2)="TH",CX139*2,
IF(MID($G$139,8,3)="L_R",CX139*1,0))</f>
        <v>0</v>
      </c>
      <c r="CY195" s="413"/>
      <c r="CZ195" s="414"/>
      <c r="DA195" s="412">
        <f>IF(MID($G$139,8,2)="TH",DA139*2,
IF(MID($G$139,8,3)="L_R",DA139*1,0))</f>
        <v>0</v>
      </c>
      <c r="DB195" s="413"/>
      <c r="DC195" s="414"/>
      <c r="DD195" s="412">
        <f>IF(MID($G$139,8,2)="TH",DD139*2,
IF(MID($G$139,8,3)="L_R",DD139*1,0))</f>
        <v>0</v>
      </c>
      <c r="DE195" s="413"/>
      <c r="DF195" s="414"/>
      <c r="DH195" s="311"/>
      <c r="DI195" s="311"/>
      <c r="DJ195" s="311"/>
      <c r="DK195" s="311"/>
      <c r="DL195" s="321"/>
      <c r="DM195" s="321"/>
      <c r="DN195" s="321"/>
      <c r="DO195" s="321"/>
      <c r="DP195" s="321"/>
      <c r="DQ195" s="321"/>
      <c r="DR195" s="321"/>
      <c r="DS195" s="321"/>
    </row>
    <row r="196" spans="1:123" ht="7.4" customHeight="1" x14ac:dyDescent="0.5">
      <c r="A196" s="42"/>
      <c r="B196" s="42"/>
      <c r="C196" s="311"/>
      <c r="D196" s="311"/>
      <c r="E196" s="41"/>
      <c r="F196" s="42"/>
      <c r="G196" s="319"/>
      <c r="H196" s="319"/>
      <c r="I196" s="319"/>
      <c r="J196" s="319"/>
      <c r="K196" s="319"/>
      <c r="L196" s="319"/>
      <c r="M196" s="319"/>
      <c r="N196" s="319"/>
      <c r="O196" s="319"/>
      <c r="P196" s="319"/>
      <c r="Q196" s="319"/>
      <c r="R196" s="320"/>
      <c r="S196" s="42"/>
      <c r="T196" s="521"/>
      <c r="U196" s="521"/>
      <c r="V196" s="521"/>
      <c r="W196" s="521"/>
      <c r="X196" s="521"/>
      <c r="Y196" s="521"/>
      <c r="Z196" s="521"/>
      <c r="AA196" s="521"/>
      <c r="AB196" s="521"/>
      <c r="AC196" s="521"/>
      <c r="AD196" s="521"/>
      <c r="AE196" s="521"/>
      <c r="AF196" s="521"/>
      <c r="AG196" s="521"/>
      <c r="AH196" s="521"/>
      <c r="AI196" s="521"/>
      <c r="AJ196" s="522"/>
      <c r="AK196" s="42"/>
      <c r="AL196" s="311"/>
      <c r="AM196" s="311"/>
      <c r="AN196" s="311"/>
      <c r="AO196" s="311"/>
      <c r="AP196" s="43"/>
      <c r="AQ196" s="111"/>
      <c r="AR196" s="309"/>
      <c r="AS196" s="309"/>
      <c r="AT196" s="309"/>
      <c r="AU196" s="309"/>
      <c r="AV196" s="309"/>
      <c r="AW196" s="309"/>
      <c r="AX196" s="309"/>
      <c r="AY196" s="309"/>
      <c r="AZ196" s="309"/>
      <c r="BA196" s="309"/>
      <c r="BB196" s="309"/>
      <c r="BC196" s="309"/>
      <c r="BD196" s="309"/>
      <c r="BE196" s="309"/>
      <c r="BF196" s="309"/>
      <c r="BG196" s="309"/>
      <c r="BH196" s="124"/>
      <c r="BI196" s="124"/>
      <c r="BK196" s="412"/>
      <c r="BL196" s="413"/>
      <c r="BM196" s="414"/>
      <c r="BN196" s="412"/>
      <c r="BO196" s="413"/>
      <c r="BP196" s="414"/>
      <c r="BQ196" s="412"/>
      <c r="BR196" s="413"/>
      <c r="BS196" s="414"/>
      <c r="BT196" s="412"/>
      <c r="BU196" s="413"/>
      <c r="BV196" s="414"/>
      <c r="BW196" s="412"/>
      <c r="BX196" s="413"/>
      <c r="BY196" s="414"/>
      <c r="BZ196" s="412"/>
      <c r="CA196" s="413"/>
      <c r="CB196" s="414"/>
      <c r="CC196" s="412"/>
      <c r="CD196" s="413"/>
      <c r="CE196" s="414"/>
      <c r="CF196" s="412"/>
      <c r="CG196" s="413"/>
      <c r="CH196" s="414"/>
      <c r="CI196" s="412"/>
      <c r="CJ196" s="413"/>
      <c r="CK196" s="414"/>
      <c r="CL196" s="412"/>
      <c r="CM196" s="413"/>
      <c r="CN196" s="414"/>
      <c r="CO196" s="412"/>
      <c r="CP196" s="413"/>
      <c r="CQ196" s="414"/>
      <c r="CR196" s="412"/>
      <c r="CS196" s="413"/>
      <c r="CT196" s="414"/>
      <c r="CU196" s="412"/>
      <c r="CV196" s="413"/>
      <c r="CW196" s="414"/>
      <c r="CX196" s="412"/>
      <c r="CY196" s="413"/>
      <c r="CZ196" s="414"/>
      <c r="DA196" s="412"/>
      <c r="DB196" s="413"/>
      <c r="DC196" s="414"/>
      <c r="DD196" s="412"/>
      <c r="DE196" s="413"/>
      <c r="DF196" s="414"/>
      <c r="DH196" s="311"/>
      <c r="DI196" s="311"/>
      <c r="DJ196" s="311"/>
      <c r="DK196" s="311"/>
      <c r="DL196" s="321"/>
      <c r="DM196" s="321"/>
      <c r="DN196" s="321"/>
      <c r="DO196" s="321"/>
      <c r="DP196" s="321"/>
      <c r="DQ196" s="321"/>
      <c r="DR196" s="321"/>
      <c r="DS196" s="321"/>
    </row>
    <row r="197" spans="1:123" ht="7.4" customHeight="1" x14ac:dyDescent="0.5">
      <c r="A197" s="42"/>
      <c r="B197" s="42"/>
      <c r="C197" s="55"/>
      <c r="D197" s="55"/>
      <c r="E197" s="41"/>
      <c r="F197" s="42"/>
      <c r="G197" s="56"/>
      <c r="H197" s="56"/>
      <c r="I197" s="56"/>
      <c r="J197" s="56"/>
      <c r="K197" s="56"/>
      <c r="L197" s="56"/>
      <c r="M197" s="56"/>
      <c r="N197" s="56"/>
      <c r="O197" s="56"/>
      <c r="P197" s="56"/>
      <c r="Q197" s="56"/>
      <c r="R197" s="126"/>
      <c r="S197" s="42"/>
      <c r="T197" s="257" t="str">
        <f>VLOOKUP(G195,PL!$B$9:$BH$1265,33,FALSE)</f>
        <v>.</v>
      </c>
      <c r="U197" s="45"/>
      <c r="V197" s="45"/>
      <c r="W197" s="45"/>
      <c r="X197" s="45"/>
      <c r="Y197" s="45"/>
      <c r="Z197" s="45"/>
      <c r="AA197" s="45"/>
      <c r="AB197" s="45"/>
      <c r="AC197" s="45"/>
      <c r="AD197" s="45"/>
      <c r="AE197" s="45"/>
      <c r="AF197" s="45"/>
      <c r="AG197" s="45"/>
      <c r="AH197" s="45"/>
      <c r="AI197" s="45"/>
      <c r="AJ197" s="244"/>
      <c r="AK197" s="42"/>
      <c r="AL197" s="311"/>
      <c r="AM197" s="311"/>
      <c r="AN197" s="311"/>
      <c r="AO197" s="311"/>
      <c r="AP197" s="43"/>
      <c r="AQ197" s="42"/>
      <c r="AR197" s="46"/>
      <c r="AS197" s="46"/>
      <c r="AT197" s="46"/>
      <c r="AU197" s="46"/>
      <c r="AV197" s="46"/>
      <c r="AW197" s="46"/>
      <c r="AX197" s="105"/>
      <c r="AZ197" s="119"/>
      <c r="BA197" s="119"/>
      <c r="BB197" s="119"/>
      <c r="BC197" s="119"/>
      <c r="BD197" s="119"/>
      <c r="BE197" s="119"/>
      <c r="BF197" s="119"/>
      <c r="BG197" s="119"/>
      <c r="BH197" s="124"/>
      <c r="BI197" s="124"/>
      <c r="BK197" s="194"/>
      <c r="BL197" s="123"/>
      <c r="BM197" s="195"/>
      <c r="BN197" s="194"/>
      <c r="BO197" s="123"/>
      <c r="BP197" s="195"/>
      <c r="BQ197" s="194"/>
      <c r="BR197" s="123"/>
      <c r="BS197" s="195"/>
      <c r="BT197" s="194"/>
      <c r="BU197" s="123"/>
      <c r="BV197" s="195"/>
      <c r="BW197" s="194"/>
      <c r="BX197" s="123"/>
      <c r="BY197" s="195"/>
      <c r="BZ197" s="194"/>
      <c r="CA197" s="123"/>
      <c r="CB197" s="195"/>
      <c r="CC197" s="194"/>
      <c r="CD197" s="123"/>
      <c r="CE197" s="195"/>
      <c r="CF197" s="194"/>
      <c r="CG197" s="123"/>
      <c r="CH197" s="195"/>
      <c r="CI197" s="194"/>
      <c r="CJ197" s="123"/>
      <c r="CK197" s="195"/>
      <c r="CL197" s="194"/>
      <c r="CM197" s="123"/>
      <c r="CN197" s="195"/>
      <c r="CO197" s="194"/>
      <c r="CP197" s="123"/>
      <c r="CQ197" s="195"/>
      <c r="CR197" s="194"/>
      <c r="CS197" s="123"/>
      <c r="CT197" s="195"/>
      <c r="CU197" s="194"/>
      <c r="CV197" s="123"/>
      <c r="CW197" s="195"/>
      <c r="CX197" s="194"/>
      <c r="CY197" s="123"/>
      <c r="CZ197" s="195"/>
      <c r="DA197" s="194"/>
      <c r="DB197" s="123"/>
      <c r="DC197" s="195"/>
      <c r="DD197" s="194"/>
      <c r="DE197" s="123"/>
      <c r="DF197" s="195"/>
      <c r="DH197" s="311"/>
      <c r="DI197" s="311"/>
      <c r="DJ197" s="311"/>
      <c r="DK197" s="311"/>
      <c r="DL197" s="321"/>
      <c r="DM197" s="321"/>
      <c r="DN197" s="321"/>
      <c r="DO197" s="321"/>
      <c r="DP197" s="321"/>
      <c r="DQ197" s="321"/>
      <c r="DR197" s="321"/>
      <c r="DS197" s="321"/>
    </row>
    <row r="198" spans="1:123" ht="7.4" customHeight="1" x14ac:dyDescent="0.5">
      <c r="A198" s="42"/>
      <c r="B198" s="42"/>
      <c r="C198" s="55"/>
      <c r="D198" s="55"/>
      <c r="E198" s="41"/>
      <c r="F198" s="42"/>
      <c r="G198" s="56"/>
      <c r="H198" s="56"/>
      <c r="I198" s="56"/>
      <c r="J198" s="56"/>
      <c r="K198" s="56"/>
      <c r="L198" s="56"/>
      <c r="M198" s="56"/>
      <c r="N198" s="56"/>
      <c r="O198" s="56"/>
      <c r="P198" s="56"/>
      <c r="Q198" s="56"/>
      <c r="R198" s="126"/>
      <c r="S198" s="42"/>
      <c r="T198" s="45"/>
      <c r="U198" s="45"/>
      <c r="V198" s="45"/>
      <c r="W198" s="45"/>
      <c r="X198" s="45"/>
      <c r="Y198" s="45"/>
      <c r="Z198" s="45"/>
      <c r="AA198" s="45"/>
      <c r="AB198" s="45"/>
      <c r="AC198" s="45"/>
      <c r="AD198" s="45"/>
      <c r="AE198" s="45"/>
      <c r="AF198" s="45"/>
      <c r="AG198" s="45"/>
      <c r="AH198" s="45"/>
      <c r="AI198" s="45"/>
      <c r="AJ198" s="244"/>
      <c r="AK198" s="42"/>
      <c r="AL198" s="311"/>
      <c r="AM198" s="311"/>
      <c r="AN198" s="311"/>
      <c r="AO198" s="311"/>
      <c r="AP198" s="43"/>
      <c r="AQ198" s="42"/>
      <c r="AR198" s="46"/>
      <c r="AS198" s="46"/>
      <c r="AT198" s="46"/>
      <c r="AU198" s="46"/>
      <c r="AV198" s="46"/>
      <c r="AW198" s="46"/>
      <c r="AX198" s="105"/>
      <c r="AZ198" s="119"/>
      <c r="BA198" s="119"/>
      <c r="BB198" s="119"/>
      <c r="BC198" s="119"/>
      <c r="BD198" s="119"/>
      <c r="BE198" s="119"/>
      <c r="BF198" s="119"/>
      <c r="BG198" s="119"/>
      <c r="BH198" s="124"/>
      <c r="BI198" s="124"/>
      <c r="BK198" s="194"/>
      <c r="BL198" s="123"/>
      <c r="BM198" s="195"/>
      <c r="BN198" s="194"/>
      <c r="BO198" s="123"/>
      <c r="BP198" s="195"/>
      <c r="BQ198" s="194"/>
      <c r="BR198" s="123"/>
      <c r="BS198" s="195"/>
      <c r="BT198" s="194"/>
      <c r="BU198" s="123"/>
      <c r="BV198" s="195"/>
      <c r="BW198" s="194"/>
      <c r="BX198" s="123"/>
      <c r="BY198" s="195"/>
      <c r="BZ198" s="194"/>
      <c r="CA198" s="123"/>
      <c r="CB198" s="195"/>
      <c r="CC198" s="194"/>
      <c r="CD198" s="123"/>
      <c r="CE198" s="195"/>
      <c r="CF198" s="194"/>
      <c r="CG198" s="123"/>
      <c r="CH198" s="195"/>
      <c r="CI198" s="194"/>
      <c r="CJ198" s="123"/>
      <c r="CK198" s="195"/>
      <c r="CL198" s="194"/>
      <c r="CM198" s="123"/>
      <c r="CN198" s="195"/>
      <c r="CO198" s="194"/>
      <c r="CP198" s="123"/>
      <c r="CQ198" s="195"/>
      <c r="CR198" s="194"/>
      <c r="CS198" s="123"/>
      <c r="CT198" s="195"/>
      <c r="CU198" s="194"/>
      <c r="CV198" s="123"/>
      <c r="CW198" s="195"/>
      <c r="CX198" s="194"/>
      <c r="CY198" s="123"/>
      <c r="CZ198" s="195"/>
      <c r="DA198" s="194"/>
      <c r="DB198" s="123"/>
      <c r="DC198" s="195"/>
      <c r="DD198" s="194"/>
      <c r="DE198" s="123"/>
      <c r="DF198" s="195"/>
      <c r="DH198" s="311"/>
      <c r="DI198" s="311"/>
      <c r="DJ198" s="311"/>
      <c r="DK198" s="311"/>
      <c r="DL198" s="321"/>
      <c r="DM198" s="321"/>
      <c r="DN198" s="321"/>
      <c r="DO198" s="321"/>
      <c r="DP198" s="321"/>
      <c r="DQ198" s="321"/>
      <c r="DR198" s="321"/>
      <c r="DS198" s="321"/>
    </row>
    <row r="199" spans="1:123" ht="7.4" customHeight="1" x14ac:dyDescent="0.5">
      <c r="A199" s="42"/>
      <c r="B199" s="42"/>
      <c r="C199" s="311">
        <f>C195+1</f>
        <v>21</v>
      </c>
      <c r="D199" s="311"/>
      <c r="E199" s="41"/>
      <c r="F199" s="42"/>
      <c r="G199" s="319" t="str">
        <f>IF(AL199=0,"N/A","AXE_WP_8_PE")</f>
        <v>N/A</v>
      </c>
      <c r="H199" s="319"/>
      <c r="I199" s="319"/>
      <c r="J199" s="319"/>
      <c r="K199" s="319"/>
      <c r="L199" s="319"/>
      <c r="M199" s="319"/>
      <c r="N199" s="319"/>
      <c r="O199" s="319"/>
      <c r="P199" s="319"/>
      <c r="Q199" s="319"/>
      <c r="R199" s="320"/>
      <c r="S199" s="42"/>
      <c r="T199" s="521" t="str">
        <f>VLOOKUP(G199,PL!$B$9:$BH$1265,14,FALSE)</f>
        <v>No Item</v>
      </c>
      <c r="U199" s="521"/>
      <c r="V199" s="521"/>
      <c r="W199" s="521"/>
      <c r="X199" s="521"/>
      <c r="Y199" s="521"/>
      <c r="Z199" s="521"/>
      <c r="AA199" s="521"/>
      <c r="AB199" s="521"/>
      <c r="AC199" s="521"/>
      <c r="AD199" s="521"/>
      <c r="AE199" s="521"/>
      <c r="AF199" s="521"/>
      <c r="AG199" s="521"/>
      <c r="AH199" s="521"/>
      <c r="AI199" s="521"/>
      <c r="AJ199" s="522"/>
      <c r="AK199" s="42"/>
      <c r="AL199" s="311">
        <f>ROUND(SUM(BK199:DF199)*(1+$BF$80),0)</f>
        <v>0</v>
      </c>
      <c r="AM199" s="311"/>
      <c r="AN199" s="311"/>
      <c r="AO199" s="311"/>
      <c r="AP199" s="43"/>
      <c r="AQ199" s="111"/>
      <c r="AR199" s="308" t="str">
        <f>VLOOKUP(G199,PL!$B$9:$BH$818,52,FALSE)</f>
        <v>-</v>
      </c>
      <c r="AS199" s="309"/>
      <c r="AT199" s="309"/>
      <c r="AU199" s="309"/>
      <c r="AV199" s="309"/>
      <c r="AW199" s="309"/>
      <c r="AX199" s="309"/>
      <c r="AY199" s="309"/>
      <c r="AZ199" s="309"/>
      <c r="BA199" s="309"/>
      <c r="BB199" s="309"/>
      <c r="BC199" s="309"/>
      <c r="BD199" s="309"/>
      <c r="BE199" s="309"/>
      <c r="BF199" s="309"/>
      <c r="BG199" s="309"/>
      <c r="BH199" s="124"/>
      <c r="BI199" s="124"/>
      <c r="BK199" s="412">
        <f>IF(MID($G$139,15,2)="SH",BK135*4,0)+IF($AO$35="Novotexi (MacSteel)",BK139*2,0)</f>
        <v>0</v>
      </c>
      <c r="BL199" s="413"/>
      <c r="BM199" s="414"/>
      <c r="BN199" s="412">
        <f t="shared" ref="BN199" si="98">IF(MID($G$139,15,2)="SH",BN135*4,0)+IF($AO$35="Novotexi (MacSteel)",BN139*2,0)</f>
        <v>0</v>
      </c>
      <c r="BO199" s="413"/>
      <c r="BP199" s="414"/>
      <c r="BQ199" s="412">
        <f t="shared" ref="BQ199" si="99">IF(MID($G$139,15,2)="SH",BQ135*4,0)+IF($AO$35="Novotexi (MacSteel)",BQ139*2,0)</f>
        <v>0</v>
      </c>
      <c r="BR199" s="413"/>
      <c r="BS199" s="414"/>
      <c r="BT199" s="412">
        <f t="shared" ref="BT199" si="100">IF(MID($G$139,15,2)="SH",BT135*4,0)+IF($AO$35="Novotexi (MacSteel)",BT139*2,0)</f>
        <v>0</v>
      </c>
      <c r="BU199" s="413"/>
      <c r="BV199" s="414"/>
      <c r="BW199" s="412">
        <f t="shared" ref="BW199" si="101">IF(MID($G$139,15,2)="SH",BW135*4,0)+IF($AO$35="Novotexi (MacSteel)",BW139*2,0)</f>
        <v>0</v>
      </c>
      <c r="BX199" s="413"/>
      <c r="BY199" s="414"/>
      <c r="BZ199" s="412">
        <f t="shared" ref="BZ199" si="102">IF(MID($G$139,15,2)="SH",BZ135*4,0)+IF($AO$35="Novotexi (MacSteel)",BZ139*2,0)</f>
        <v>0</v>
      </c>
      <c r="CA199" s="413"/>
      <c r="CB199" s="414"/>
      <c r="CC199" s="412">
        <f t="shared" ref="CC199" si="103">IF(MID($G$139,15,2)="SH",CC135*4,0)+IF($AO$35="Novotexi (MacSteel)",CC139*2,0)</f>
        <v>0</v>
      </c>
      <c r="CD199" s="413"/>
      <c r="CE199" s="414"/>
      <c r="CF199" s="412">
        <f t="shared" ref="CF199" si="104">IF(MID($G$139,15,2)="SH",CF135*4,0)+IF($AO$35="Novotexi (MacSteel)",CF139*2,0)</f>
        <v>0</v>
      </c>
      <c r="CG199" s="413"/>
      <c r="CH199" s="414"/>
      <c r="CI199" s="412">
        <f t="shared" ref="CI199" si="105">IF(MID($G$139,15,2)="SH",CI135*4,0)+IF($AO$35="Novotexi (MacSteel)",CI139*2,0)</f>
        <v>0</v>
      </c>
      <c r="CJ199" s="413"/>
      <c r="CK199" s="414"/>
      <c r="CL199" s="412">
        <f t="shared" ref="CL199" si="106">IF(MID($G$139,15,2)="SH",CL135*4,0)+IF($AO$35="Novotexi (MacSteel)",CL139*2,0)</f>
        <v>0</v>
      </c>
      <c r="CM199" s="413"/>
      <c r="CN199" s="414"/>
      <c r="CO199" s="412">
        <f t="shared" ref="CO199" si="107">IF(MID($G$139,15,2)="SH",CO135*4,0)+IF($AO$35="Novotexi (MacSteel)",CO139*2,0)</f>
        <v>0</v>
      </c>
      <c r="CP199" s="413"/>
      <c r="CQ199" s="414"/>
      <c r="CR199" s="412">
        <f t="shared" ref="CR199" si="108">IF(MID($G$139,15,2)="SH",CR135*4,0)+IF($AO$35="Novotexi (MacSteel)",CR139*2,0)</f>
        <v>0</v>
      </c>
      <c r="CS199" s="413"/>
      <c r="CT199" s="414"/>
      <c r="CU199" s="412">
        <f t="shared" ref="CU199" si="109">IF(MID($G$139,15,2)="SH",CU135*4,0)+IF($AO$35="Novotexi (MacSteel)",CU139*2,0)</f>
        <v>0</v>
      </c>
      <c r="CV199" s="413"/>
      <c r="CW199" s="414"/>
      <c r="CX199" s="412">
        <f t="shared" ref="CX199" si="110">IF(MID($G$139,15,2)="SH",CX135*4,0)+IF($AO$35="Novotexi (MacSteel)",CX139*2,0)</f>
        <v>0</v>
      </c>
      <c r="CY199" s="413"/>
      <c r="CZ199" s="414"/>
      <c r="DA199" s="412">
        <f t="shared" ref="DA199" si="111">IF(MID($G$139,15,2)="SH",DA135*4,0)+IF($AO$35="Novotexi (MacSteel)",DA139*2,0)</f>
        <v>0</v>
      </c>
      <c r="DB199" s="413"/>
      <c r="DC199" s="414"/>
      <c r="DD199" s="412">
        <f t="shared" ref="DD199" si="112">IF(MID($G$139,15,2)="SH",DD135*4,0)+IF($AO$35="Novotexi (MacSteel)",DD139*2,0)</f>
        <v>0</v>
      </c>
      <c r="DE199" s="413"/>
      <c r="DF199" s="414"/>
      <c r="DL199" s="105"/>
      <c r="DM199" s="105"/>
      <c r="DN199" s="105"/>
      <c r="DO199" s="105"/>
      <c r="DP199" s="105"/>
      <c r="DQ199" s="105"/>
      <c r="DR199" s="105"/>
      <c r="DS199" s="105"/>
    </row>
    <row r="200" spans="1:123" ht="7.4" customHeight="1" x14ac:dyDescent="0.5">
      <c r="A200" s="42"/>
      <c r="B200" s="42"/>
      <c r="C200" s="311"/>
      <c r="D200" s="311"/>
      <c r="E200" s="41"/>
      <c r="F200" s="42"/>
      <c r="G200" s="319"/>
      <c r="H200" s="319"/>
      <c r="I200" s="319"/>
      <c r="J200" s="319"/>
      <c r="K200" s="319"/>
      <c r="L200" s="319"/>
      <c r="M200" s="319"/>
      <c r="N200" s="319"/>
      <c r="O200" s="319"/>
      <c r="P200" s="319"/>
      <c r="Q200" s="319"/>
      <c r="R200" s="320"/>
      <c r="S200" s="42"/>
      <c r="T200" s="521"/>
      <c r="U200" s="521"/>
      <c r="V200" s="521"/>
      <c r="W200" s="521"/>
      <c r="X200" s="521"/>
      <c r="Y200" s="521"/>
      <c r="Z200" s="521"/>
      <c r="AA200" s="521"/>
      <c r="AB200" s="521"/>
      <c r="AC200" s="521"/>
      <c r="AD200" s="521"/>
      <c r="AE200" s="521"/>
      <c r="AF200" s="521"/>
      <c r="AG200" s="521"/>
      <c r="AH200" s="521"/>
      <c r="AI200" s="521"/>
      <c r="AJ200" s="522"/>
      <c r="AK200" s="42"/>
      <c r="AL200" s="311"/>
      <c r="AM200" s="311"/>
      <c r="AN200" s="311"/>
      <c r="AO200" s="311"/>
      <c r="AP200" s="43"/>
      <c r="AQ200" s="111"/>
      <c r="AR200" s="309"/>
      <c r="AS200" s="309"/>
      <c r="AT200" s="309"/>
      <c r="AU200" s="309"/>
      <c r="AV200" s="309"/>
      <c r="AW200" s="309"/>
      <c r="AX200" s="309"/>
      <c r="AY200" s="309"/>
      <c r="AZ200" s="309"/>
      <c r="BA200" s="309"/>
      <c r="BB200" s="309"/>
      <c r="BC200" s="309"/>
      <c r="BD200" s="309"/>
      <c r="BE200" s="309"/>
      <c r="BF200" s="309"/>
      <c r="BG200" s="309"/>
      <c r="BH200" s="124"/>
      <c r="BI200" s="124"/>
      <c r="BK200" s="412"/>
      <c r="BL200" s="413"/>
      <c r="BM200" s="414"/>
      <c r="BN200" s="412"/>
      <c r="BO200" s="413"/>
      <c r="BP200" s="414"/>
      <c r="BQ200" s="412"/>
      <c r="BR200" s="413"/>
      <c r="BS200" s="414"/>
      <c r="BT200" s="412"/>
      <c r="BU200" s="413"/>
      <c r="BV200" s="414"/>
      <c r="BW200" s="412"/>
      <c r="BX200" s="413"/>
      <c r="BY200" s="414"/>
      <c r="BZ200" s="412"/>
      <c r="CA200" s="413"/>
      <c r="CB200" s="414"/>
      <c r="CC200" s="412"/>
      <c r="CD200" s="413"/>
      <c r="CE200" s="414"/>
      <c r="CF200" s="412"/>
      <c r="CG200" s="413"/>
      <c r="CH200" s="414"/>
      <c r="CI200" s="412"/>
      <c r="CJ200" s="413"/>
      <c r="CK200" s="414"/>
      <c r="CL200" s="412"/>
      <c r="CM200" s="413"/>
      <c r="CN200" s="414"/>
      <c r="CO200" s="412"/>
      <c r="CP200" s="413"/>
      <c r="CQ200" s="414"/>
      <c r="CR200" s="412"/>
      <c r="CS200" s="413"/>
      <c r="CT200" s="414"/>
      <c r="CU200" s="412"/>
      <c r="CV200" s="413"/>
      <c r="CW200" s="414"/>
      <c r="CX200" s="412"/>
      <c r="CY200" s="413"/>
      <c r="CZ200" s="414"/>
      <c r="DA200" s="412"/>
      <c r="DB200" s="413"/>
      <c r="DC200" s="414"/>
      <c r="DD200" s="412"/>
      <c r="DE200" s="413"/>
      <c r="DF200" s="414"/>
      <c r="DL200" s="105"/>
      <c r="DM200" s="105"/>
      <c r="DN200" s="105"/>
      <c r="DO200" s="105"/>
      <c r="DP200" s="105"/>
      <c r="DQ200" s="105"/>
      <c r="DR200" s="105"/>
      <c r="DS200" s="105"/>
    </row>
    <row r="201" spans="1:123" ht="7.4" customHeight="1" x14ac:dyDescent="0.5">
      <c r="A201" s="42"/>
      <c r="B201" s="42"/>
      <c r="C201" s="55"/>
      <c r="D201" s="55"/>
      <c r="E201" s="41"/>
      <c r="F201" s="42"/>
      <c r="G201" s="56"/>
      <c r="H201" s="56"/>
      <c r="I201" s="56"/>
      <c r="J201" s="56"/>
      <c r="K201" s="56"/>
      <c r="L201" s="56"/>
      <c r="M201" s="56"/>
      <c r="N201" s="56"/>
      <c r="O201" s="56"/>
      <c r="P201" s="56"/>
      <c r="Q201" s="56"/>
      <c r="R201" s="126"/>
      <c r="S201" s="42"/>
      <c r="T201" s="45"/>
      <c r="U201" s="45"/>
      <c r="V201" s="45"/>
      <c r="W201" s="45"/>
      <c r="X201" s="45"/>
      <c r="Y201" s="45"/>
      <c r="Z201" s="45"/>
      <c r="AA201" s="45"/>
      <c r="AB201" s="45"/>
      <c r="AC201" s="45"/>
      <c r="AD201" s="45"/>
      <c r="AE201" s="45"/>
      <c r="AF201" s="45"/>
      <c r="AG201" s="45"/>
      <c r="AH201" s="45"/>
      <c r="AI201" s="45"/>
      <c r="AJ201" s="244"/>
      <c r="AK201" s="42"/>
      <c r="AL201" s="75"/>
      <c r="AM201" s="75"/>
      <c r="AN201" s="75"/>
      <c r="AO201" s="75"/>
      <c r="AP201" s="43"/>
      <c r="AQ201" s="42"/>
      <c r="AR201" s="46"/>
      <c r="AS201" s="46"/>
      <c r="AT201" s="46"/>
      <c r="AU201" s="46"/>
      <c r="AV201" s="46"/>
      <c r="AW201" s="46"/>
      <c r="AX201" s="105"/>
      <c r="AZ201" s="119"/>
      <c r="BA201" s="119"/>
      <c r="BB201" s="119"/>
      <c r="BC201" s="119"/>
      <c r="BD201" s="119"/>
      <c r="BE201" s="119"/>
      <c r="BF201" s="119"/>
      <c r="BG201" s="119"/>
      <c r="BH201" s="124"/>
      <c r="BI201" s="124"/>
      <c r="BK201" s="194"/>
      <c r="BL201" s="123"/>
      <c r="BM201" s="195"/>
      <c r="BN201" s="194"/>
      <c r="BO201" s="123"/>
      <c r="BP201" s="195"/>
      <c r="BQ201" s="194"/>
      <c r="BR201" s="123"/>
      <c r="BS201" s="195"/>
      <c r="BT201" s="194"/>
      <c r="BU201" s="123"/>
      <c r="BV201" s="195"/>
      <c r="BW201" s="194"/>
      <c r="BX201" s="123"/>
      <c r="BY201" s="195"/>
      <c r="BZ201" s="194"/>
      <c r="CA201" s="123"/>
      <c r="CB201" s="195"/>
      <c r="CC201" s="194"/>
      <c r="CD201" s="123"/>
      <c r="CE201" s="195"/>
      <c r="CF201" s="194"/>
      <c r="CG201" s="123"/>
      <c r="CH201" s="195"/>
      <c r="CI201" s="194"/>
      <c r="CJ201" s="123"/>
      <c r="CK201" s="195"/>
      <c r="CL201" s="194"/>
      <c r="CM201" s="123"/>
      <c r="CN201" s="195"/>
      <c r="CO201" s="194"/>
      <c r="CP201" s="123"/>
      <c r="CQ201" s="195"/>
      <c r="CR201" s="194"/>
      <c r="CS201" s="123"/>
      <c r="CT201" s="195"/>
      <c r="CU201" s="194"/>
      <c r="CV201" s="123"/>
      <c r="CW201" s="195"/>
      <c r="CX201" s="194"/>
      <c r="CY201" s="123"/>
      <c r="CZ201" s="195"/>
      <c r="DA201" s="194"/>
      <c r="DB201" s="123"/>
      <c r="DC201" s="195"/>
      <c r="DD201" s="194"/>
      <c r="DE201" s="123"/>
      <c r="DF201" s="195"/>
      <c r="DL201" s="105"/>
      <c r="DM201" s="105"/>
      <c r="DN201" s="105"/>
      <c r="DO201" s="105"/>
      <c r="DP201" s="105"/>
      <c r="DQ201" s="105"/>
      <c r="DR201" s="105"/>
      <c r="DS201" s="105"/>
    </row>
    <row r="202" spans="1:123" ht="7.4" customHeight="1" x14ac:dyDescent="0.5">
      <c r="A202" s="42"/>
      <c r="B202" s="42"/>
      <c r="C202" s="55"/>
      <c r="D202" s="55"/>
      <c r="E202" s="41"/>
      <c r="F202" s="42"/>
      <c r="G202" s="56"/>
      <c r="H202" s="56"/>
      <c r="I202" s="56"/>
      <c r="J202" s="56"/>
      <c r="K202" s="56"/>
      <c r="L202" s="56"/>
      <c r="M202" s="56"/>
      <c r="N202" s="56"/>
      <c r="O202" s="56"/>
      <c r="P202" s="56"/>
      <c r="Q202" s="56"/>
      <c r="R202" s="126"/>
      <c r="S202" s="42"/>
      <c r="T202" s="45"/>
      <c r="U202" s="45"/>
      <c r="V202" s="45"/>
      <c r="W202" s="45"/>
      <c r="X202" s="45"/>
      <c r="Y202" s="45"/>
      <c r="Z202" s="45"/>
      <c r="AA202" s="45"/>
      <c r="AB202" s="45"/>
      <c r="AC202" s="45"/>
      <c r="AD202" s="45"/>
      <c r="AE202" s="45"/>
      <c r="AF202" s="45"/>
      <c r="AG202" s="45"/>
      <c r="AH202" s="45"/>
      <c r="AI202" s="45"/>
      <c r="AJ202" s="244"/>
      <c r="AK202" s="42"/>
      <c r="AL202" s="75"/>
      <c r="AM202" s="75"/>
      <c r="AN202" s="75"/>
      <c r="AO202" s="75"/>
      <c r="AP202" s="43"/>
      <c r="AQ202" s="42"/>
      <c r="AR202" s="46"/>
      <c r="AS202" s="46"/>
      <c r="AT202" s="46"/>
      <c r="AU202" s="46"/>
      <c r="AV202" s="46"/>
      <c r="AW202" s="46"/>
      <c r="AX202" s="105"/>
      <c r="AZ202" s="119"/>
      <c r="BA202" s="119"/>
      <c r="BB202" s="119"/>
      <c r="BC202" s="119"/>
      <c r="BD202" s="119"/>
      <c r="BE202" s="119"/>
      <c r="BF202" s="119"/>
      <c r="BG202" s="119"/>
      <c r="BH202" s="124"/>
      <c r="BI202" s="124"/>
      <c r="BK202" s="194"/>
      <c r="BL202" s="123"/>
      <c r="BM202" s="195"/>
      <c r="BN202" s="194"/>
      <c r="BO202" s="123"/>
      <c r="BP202" s="195"/>
      <c r="BQ202" s="194"/>
      <c r="BR202" s="123"/>
      <c r="BS202" s="195"/>
      <c r="BT202" s="194"/>
      <c r="BU202" s="123"/>
      <c r="BV202" s="195"/>
      <c r="BW202" s="194"/>
      <c r="BX202" s="123"/>
      <c r="BY202" s="195"/>
      <c r="BZ202" s="194"/>
      <c r="CA202" s="123"/>
      <c r="CB202" s="195"/>
      <c r="CC202" s="194"/>
      <c r="CD202" s="123"/>
      <c r="CE202" s="195"/>
      <c r="CF202" s="194"/>
      <c r="CG202" s="123"/>
      <c r="CH202" s="195"/>
      <c r="CI202" s="194"/>
      <c r="CJ202" s="123"/>
      <c r="CK202" s="195"/>
      <c r="CL202" s="194"/>
      <c r="CM202" s="123"/>
      <c r="CN202" s="195"/>
      <c r="CO202" s="194"/>
      <c r="CP202" s="123"/>
      <c r="CQ202" s="195"/>
      <c r="CR202" s="194"/>
      <c r="CS202" s="123"/>
      <c r="CT202" s="195"/>
      <c r="CU202" s="194"/>
      <c r="CV202" s="123"/>
      <c r="CW202" s="195"/>
      <c r="CX202" s="194"/>
      <c r="CY202" s="123"/>
      <c r="CZ202" s="195"/>
      <c r="DA202" s="194"/>
      <c r="DB202" s="123"/>
      <c r="DC202" s="195"/>
      <c r="DD202" s="194"/>
      <c r="DE202" s="123"/>
      <c r="DF202" s="195"/>
      <c r="DL202" s="105"/>
      <c r="DM202" s="105"/>
      <c r="DN202" s="105"/>
      <c r="DO202" s="105"/>
      <c r="DP202" s="105"/>
      <c r="DQ202" s="105"/>
      <c r="DR202" s="105"/>
      <c r="DS202" s="105"/>
    </row>
    <row r="203" spans="1:123" ht="7.4" customHeight="1" x14ac:dyDescent="0.5">
      <c r="A203" s="42"/>
      <c r="B203" s="42"/>
      <c r="C203" s="311">
        <f>C199+1</f>
        <v>22</v>
      </c>
      <c r="D203" s="311"/>
      <c r="E203" s="41"/>
      <c r="F203" s="42"/>
      <c r="G203" s="319" t="str">
        <f>IF(AL203=0,"N/A","Anti_Seize_S")</f>
        <v>N/A</v>
      </c>
      <c r="H203" s="319"/>
      <c r="I203" s="319"/>
      <c r="J203" s="319"/>
      <c r="K203" s="319"/>
      <c r="L203" s="319"/>
      <c r="M203" s="319"/>
      <c r="N203" s="319"/>
      <c r="O203" s="319"/>
      <c r="P203" s="319"/>
      <c r="Q203" s="319"/>
      <c r="R203" s="320"/>
      <c r="S203" s="42"/>
      <c r="T203" s="521" t="str">
        <f>VLOOKUP(G203,PL!$B$9:$BH$1265,14,FALSE)</f>
        <v>No Item</v>
      </c>
      <c r="U203" s="521"/>
      <c r="V203" s="521"/>
      <c r="W203" s="521"/>
      <c r="X203" s="521"/>
      <c r="Y203" s="521"/>
      <c r="Z203" s="521"/>
      <c r="AA203" s="521"/>
      <c r="AB203" s="521"/>
      <c r="AC203" s="521"/>
      <c r="AD203" s="521"/>
      <c r="AE203" s="521"/>
      <c r="AF203" s="521"/>
      <c r="AG203" s="521"/>
      <c r="AH203" s="521"/>
      <c r="AI203" s="521"/>
      <c r="AJ203" s="522"/>
      <c r="AK203" s="42"/>
      <c r="AL203" s="311">
        <f>SUM(BK203:DF203)</f>
        <v>0</v>
      </c>
      <c r="AM203" s="311"/>
      <c r="AN203" s="311"/>
      <c r="AO203" s="311"/>
      <c r="AP203" s="43"/>
      <c r="AQ203" s="111"/>
      <c r="AR203" s="308" t="str">
        <f>VLOOKUP(G203,PL!$B$9:$BH$818,52,FALSE)</f>
        <v>-</v>
      </c>
      <c r="AS203" s="309"/>
      <c r="AT203" s="309"/>
      <c r="AU203" s="309"/>
      <c r="AV203" s="309"/>
      <c r="AW203" s="309"/>
      <c r="AX203" s="309"/>
      <c r="AY203" s="309"/>
      <c r="AZ203" s="309"/>
      <c r="BA203" s="309"/>
      <c r="BB203" s="309"/>
      <c r="BC203" s="309"/>
      <c r="BD203" s="309"/>
      <c r="BE203" s="309"/>
      <c r="BF203" s="309"/>
      <c r="BG203" s="309"/>
      <c r="BH203" s="124"/>
      <c r="BI203" s="124"/>
      <c r="BK203" s="500">
        <f>IF($AI$78="Not Included",ROUNDUP((SUM(BK131:DF131)+SUM(BK135:DF135))/1000,0),0)</f>
        <v>0</v>
      </c>
      <c r="BL203" s="501"/>
      <c r="BM203" s="502"/>
      <c r="BN203" s="412"/>
      <c r="BO203" s="413"/>
      <c r="BP203" s="414"/>
      <c r="BQ203" s="412"/>
      <c r="BR203" s="413"/>
      <c r="BS203" s="414"/>
      <c r="BT203" s="412"/>
      <c r="BU203" s="413"/>
      <c r="BV203" s="414"/>
      <c r="BW203" s="412"/>
      <c r="BX203" s="413"/>
      <c r="BY203" s="414"/>
      <c r="BZ203" s="412"/>
      <c r="CA203" s="413"/>
      <c r="CB203" s="414"/>
      <c r="CC203" s="412"/>
      <c r="CD203" s="413"/>
      <c r="CE203" s="414"/>
      <c r="CF203" s="412"/>
      <c r="CG203" s="413"/>
      <c r="CH203" s="414"/>
      <c r="CI203" s="412"/>
      <c r="CJ203" s="413"/>
      <c r="CK203" s="414"/>
      <c r="CL203" s="412"/>
      <c r="CM203" s="413"/>
      <c r="CN203" s="414"/>
      <c r="CO203" s="412"/>
      <c r="CP203" s="413"/>
      <c r="CQ203" s="414"/>
      <c r="CR203" s="412"/>
      <c r="CS203" s="413"/>
      <c r="CT203" s="414"/>
      <c r="CU203" s="412"/>
      <c r="CV203" s="413"/>
      <c r="CW203" s="414"/>
      <c r="CX203" s="412"/>
      <c r="CY203" s="413"/>
      <c r="CZ203" s="414"/>
      <c r="DA203" s="412"/>
      <c r="DB203" s="413"/>
      <c r="DC203" s="414"/>
      <c r="DD203" s="412"/>
      <c r="DE203" s="413"/>
      <c r="DF203" s="414"/>
      <c r="DH203" s="311"/>
      <c r="DI203" s="311"/>
      <c r="DJ203" s="311"/>
      <c r="DK203" s="311"/>
      <c r="DL203" s="321"/>
      <c r="DM203" s="321"/>
      <c r="DN203" s="321"/>
      <c r="DO203" s="321"/>
      <c r="DP203" s="321"/>
      <c r="DQ203" s="321"/>
      <c r="DR203" s="321"/>
      <c r="DS203" s="321"/>
    </row>
    <row r="204" spans="1:123" ht="7.4" customHeight="1" x14ac:dyDescent="0.5">
      <c r="A204" s="42"/>
      <c r="B204" s="42"/>
      <c r="C204" s="311"/>
      <c r="D204" s="311"/>
      <c r="E204" s="41"/>
      <c r="F204" s="42"/>
      <c r="G204" s="319"/>
      <c r="H204" s="319"/>
      <c r="I204" s="319"/>
      <c r="J204" s="319"/>
      <c r="K204" s="319"/>
      <c r="L204" s="319"/>
      <c r="M204" s="319"/>
      <c r="N204" s="319"/>
      <c r="O204" s="319"/>
      <c r="P204" s="319"/>
      <c r="Q204" s="319"/>
      <c r="R204" s="320"/>
      <c r="S204" s="42"/>
      <c r="T204" s="521"/>
      <c r="U204" s="521"/>
      <c r="V204" s="521"/>
      <c r="W204" s="521"/>
      <c r="X204" s="521"/>
      <c r="Y204" s="521"/>
      <c r="Z204" s="521"/>
      <c r="AA204" s="521"/>
      <c r="AB204" s="521"/>
      <c r="AC204" s="521"/>
      <c r="AD204" s="521"/>
      <c r="AE204" s="521"/>
      <c r="AF204" s="521"/>
      <c r="AG204" s="521"/>
      <c r="AH204" s="521"/>
      <c r="AI204" s="521"/>
      <c r="AJ204" s="522"/>
      <c r="AK204" s="42"/>
      <c r="AL204" s="311"/>
      <c r="AM204" s="311"/>
      <c r="AN204" s="311"/>
      <c r="AO204" s="311"/>
      <c r="AP204" s="43"/>
      <c r="AQ204" s="111"/>
      <c r="AR204" s="309"/>
      <c r="AS204" s="309"/>
      <c r="AT204" s="309"/>
      <c r="AU204" s="309"/>
      <c r="AV204" s="309"/>
      <c r="AW204" s="309"/>
      <c r="AX204" s="309"/>
      <c r="AY204" s="309"/>
      <c r="AZ204" s="309"/>
      <c r="BA204" s="309"/>
      <c r="BB204" s="309"/>
      <c r="BC204" s="309"/>
      <c r="BD204" s="309"/>
      <c r="BE204" s="309"/>
      <c r="BF204" s="309"/>
      <c r="BG204" s="309"/>
      <c r="BH204" s="124"/>
      <c r="BI204" s="124"/>
      <c r="BK204" s="500"/>
      <c r="BL204" s="501"/>
      <c r="BM204" s="502"/>
      <c r="BN204" s="412"/>
      <c r="BO204" s="413"/>
      <c r="BP204" s="414"/>
      <c r="BQ204" s="412"/>
      <c r="BR204" s="413"/>
      <c r="BS204" s="414"/>
      <c r="BT204" s="412"/>
      <c r="BU204" s="413"/>
      <c r="BV204" s="414"/>
      <c r="BW204" s="412"/>
      <c r="BX204" s="413"/>
      <c r="BY204" s="414"/>
      <c r="BZ204" s="412"/>
      <c r="CA204" s="413"/>
      <c r="CB204" s="414"/>
      <c r="CC204" s="412"/>
      <c r="CD204" s="413"/>
      <c r="CE204" s="414"/>
      <c r="CF204" s="412"/>
      <c r="CG204" s="413"/>
      <c r="CH204" s="414"/>
      <c r="CI204" s="412"/>
      <c r="CJ204" s="413"/>
      <c r="CK204" s="414"/>
      <c r="CL204" s="412"/>
      <c r="CM204" s="413"/>
      <c r="CN204" s="414"/>
      <c r="CO204" s="412"/>
      <c r="CP204" s="413"/>
      <c r="CQ204" s="414"/>
      <c r="CR204" s="412"/>
      <c r="CS204" s="413"/>
      <c r="CT204" s="414"/>
      <c r="CU204" s="412"/>
      <c r="CV204" s="413"/>
      <c r="CW204" s="414"/>
      <c r="CX204" s="412"/>
      <c r="CY204" s="413"/>
      <c r="CZ204" s="414"/>
      <c r="DA204" s="412"/>
      <c r="DB204" s="413"/>
      <c r="DC204" s="414"/>
      <c r="DD204" s="412"/>
      <c r="DE204" s="413"/>
      <c r="DF204" s="414"/>
      <c r="DH204" s="311"/>
      <c r="DI204" s="311"/>
      <c r="DJ204" s="311"/>
      <c r="DK204" s="311"/>
      <c r="DL204" s="321"/>
      <c r="DM204" s="321"/>
      <c r="DN204" s="321"/>
      <c r="DO204" s="321"/>
      <c r="DP204" s="321"/>
      <c r="DQ204" s="321"/>
      <c r="DR204" s="321"/>
      <c r="DS204" s="321"/>
    </row>
    <row r="205" spans="1:123" ht="7.4" customHeight="1" x14ac:dyDescent="0.5">
      <c r="A205" s="42"/>
      <c r="B205" s="42"/>
      <c r="C205" s="55"/>
      <c r="D205" s="55"/>
      <c r="E205" s="41"/>
      <c r="F205" s="42"/>
      <c r="G205" s="56"/>
      <c r="H205" s="56"/>
      <c r="I205" s="56"/>
      <c r="J205" s="56"/>
      <c r="K205" s="56"/>
      <c r="L205" s="56"/>
      <c r="M205" s="56"/>
      <c r="N205" s="56"/>
      <c r="O205" s="56"/>
      <c r="P205" s="56"/>
      <c r="Q205" s="56"/>
      <c r="R205" s="126"/>
      <c r="S205" s="42"/>
      <c r="T205" s="116" t="str">
        <f>VLOOKUP(G203,PL!$B$9:$BH$1265,33,FALSE)</f>
        <v>.</v>
      </c>
      <c r="U205" s="45"/>
      <c r="V205" s="45"/>
      <c r="W205" s="45"/>
      <c r="X205" s="45"/>
      <c r="Y205" s="45"/>
      <c r="Z205" s="45"/>
      <c r="AA205" s="45"/>
      <c r="AB205" s="45"/>
      <c r="AC205" s="45"/>
      <c r="AD205" s="45"/>
      <c r="AE205" s="45"/>
      <c r="AF205" s="45"/>
      <c r="AG205" s="45"/>
      <c r="AH205" s="45"/>
      <c r="AI205" s="45"/>
      <c r="AJ205" s="244"/>
      <c r="AK205" s="42"/>
      <c r="AL205" s="311"/>
      <c r="AM205" s="311"/>
      <c r="AN205" s="311"/>
      <c r="AO205" s="311"/>
      <c r="AP205" s="43"/>
      <c r="AQ205" s="229"/>
      <c r="AR205" s="46"/>
      <c r="AS205" s="46"/>
      <c r="AT205" s="46"/>
      <c r="AU205" s="46"/>
      <c r="AV205" s="46"/>
      <c r="AW205" s="46"/>
      <c r="AX205" s="105"/>
      <c r="AZ205" s="119"/>
      <c r="BA205" s="119"/>
      <c r="BB205" s="119"/>
      <c r="BC205" s="119"/>
      <c r="BD205" s="119"/>
      <c r="BE205" s="119"/>
      <c r="BF205" s="119"/>
      <c r="BG205" s="119"/>
      <c r="BH205" s="124"/>
      <c r="BI205" s="124"/>
      <c r="BK205" s="194"/>
      <c r="BL205" s="123"/>
      <c r="BM205" s="195"/>
      <c r="BN205" s="194"/>
      <c r="BO205" s="123"/>
      <c r="BP205" s="195"/>
      <c r="BQ205" s="194"/>
      <c r="BR205" s="123"/>
      <c r="BS205" s="195"/>
      <c r="BT205" s="194"/>
      <c r="BU205" s="123"/>
      <c r="BV205" s="195"/>
      <c r="BW205" s="194"/>
      <c r="BX205" s="123"/>
      <c r="BY205" s="195"/>
      <c r="BZ205" s="194"/>
      <c r="CA205" s="123"/>
      <c r="CB205" s="195"/>
      <c r="CC205" s="194"/>
      <c r="CD205" s="123"/>
      <c r="CE205" s="195"/>
      <c r="CF205" s="194"/>
      <c r="CG205" s="123"/>
      <c r="CH205" s="195"/>
      <c r="CI205" s="194"/>
      <c r="CJ205" s="123"/>
      <c r="CK205" s="195"/>
      <c r="CL205" s="194"/>
      <c r="CM205" s="123"/>
      <c r="CN205" s="195"/>
      <c r="CO205" s="194"/>
      <c r="CP205" s="123"/>
      <c r="CQ205" s="195"/>
      <c r="CR205" s="194"/>
      <c r="CS205" s="123"/>
      <c r="CT205" s="195"/>
      <c r="CU205" s="194"/>
      <c r="CV205" s="123"/>
      <c r="CW205" s="195"/>
      <c r="CX205" s="194"/>
      <c r="CY205" s="123"/>
      <c r="CZ205" s="195"/>
      <c r="DA205" s="194"/>
      <c r="DB205" s="123"/>
      <c r="DC205" s="195"/>
      <c r="DD205" s="194"/>
      <c r="DE205" s="123"/>
      <c r="DF205" s="195"/>
      <c r="DH205" s="311"/>
      <c r="DI205" s="311"/>
      <c r="DJ205" s="311"/>
      <c r="DK205" s="311"/>
      <c r="DL205" s="321"/>
      <c r="DM205" s="321"/>
      <c r="DN205" s="321"/>
      <c r="DO205" s="321"/>
      <c r="DP205" s="321"/>
      <c r="DQ205" s="321"/>
      <c r="DR205" s="321"/>
      <c r="DS205" s="321"/>
    </row>
    <row r="206" spans="1:123" ht="7.4" customHeight="1" x14ac:dyDescent="0.5">
      <c r="A206" s="42"/>
      <c r="B206" s="42"/>
      <c r="C206" s="55"/>
      <c r="D206" s="55"/>
      <c r="E206" s="41"/>
      <c r="F206" s="42"/>
      <c r="G206" s="56"/>
      <c r="H206" s="56"/>
      <c r="I206" s="56"/>
      <c r="J206" s="56"/>
      <c r="K206" s="56"/>
      <c r="L206" s="56"/>
      <c r="M206" s="56"/>
      <c r="N206" s="56"/>
      <c r="O206" s="56"/>
      <c r="P206" s="56"/>
      <c r="Q206" s="56"/>
      <c r="R206" s="126"/>
      <c r="S206" s="42"/>
      <c r="T206" s="45"/>
      <c r="U206" s="45"/>
      <c r="V206" s="45"/>
      <c r="W206" s="45"/>
      <c r="X206" s="45"/>
      <c r="Y206" s="45"/>
      <c r="Z206" s="45"/>
      <c r="AA206" s="45"/>
      <c r="AB206" s="45"/>
      <c r="AC206" s="45"/>
      <c r="AD206" s="45"/>
      <c r="AE206" s="45"/>
      <c r="AF206" s="45"/>
      <c r="AG206" s="45"/>
      <c r="AH206" s="45"/>
      <c r="AI206" s="45"/>
      <c r="AJ206" s="244"/>
      <c r="AK206" s="42"/>
      <c r="AL206" s="311"/>
      <c r="AM206" s="311"/>
      <c r="AN206" s="311"/>
      <c r="AO206" s="311"/>
      <c r="AP206" s="43"/>
      <c r="AQ206" s="229"/>
      <c r="AR206" s="46"/>
      <c r="AS206" s="46"/>
      <c r="AT206" s="46"/>
      <c r="AU206" s="46"/>
      <c r="AV206" s="46"/>
      <c r="AW206" s="46"/>
      <c r="AX206" s="105"/>
      <c r="AZ206" s="119"/>
      <c r="BA206" s="119"/>
      <c r="BB206" s="119"/>
      <c r="BC206" s="119"/>
      <c r="BD206" s="119"/>
      <c r="BE206" s="119"/>
      <c r="BF206" s="119"/>
      <c r="BG206" s="119"/>
      <c r="BH206" s="124"/>
      <c r="BI206" s="124"/>
      <c r="BK206" s="194"/>
      <c r="BL206" s="123"/>
      <c r="BM206" s="195"/>
      <c r="BN206" s="194"/>
      <c r="BO206" s="123"/>
      <c r="BP206" s="195"/>
      <c r="BQ206" s="194"/>
      <c r="BR206" s="123"/>
      <c r="BS206" s="195"/>
      <c r="BT206" s="194"/>
      <c r="BU206" s="123"/>
      <c r="BV206" s="195"/>
      <c r="BW206" s="194"/>
      <c r="BX206" s="123"/>
      <c r="BY206" s="195"/>
      <c r="BZ206" s="194"/>
      <c r="CA206" s="123"/>
      <c r="CB206" s="195"/>
      <c r="CC206" s="194"/>
      <c r="CD206" s="123"/>
      <c r="CE206" s="195"/>
      <c r="CF206" s="194"/>
      <c r="CG206" s="123"/>
      <c r="CH206" s="195"/>
      <c r="CI206" s="194"/>
      <c r="CJ206" s="123"/>
      <c r="CK206" s="195"/>
      <c r="CL206" s="194"/>
      <c r="CM206" s="123"/>
      <c r="CN206" s="195"/>
      <c r="CO206" s="194"/>
      <c r="CP206" s="123"/>
      <c r="CQ206" s="195"/>
      <c r="CR206" s="194"/>
      <c r="CS206" s="123"/>
      <c r="CT206" s="195"/>
      <c r="CU206" s="194"/>
      <c r="CV206" s="123"/>
      <c r="CW206" s="195"/>
      <c r="CX206" s="194"/>
      <c r="CY206" s="123"/>
      <c r="CZ206" s="195"/>
      <c r="DA206" s="194"/>
      <c r="DB206" s="123"/>
      <c r="DC206" s="195"/>
      <c r="DD206" s="194"/>
      <c r="DE206" s="123"/>
      <c r="DF206" s="195"/>
      <c r="DH206" s="311"/>
      <c r="DI206" s="311"/>
      <c r="DJ206" s="311"/>
      <c r="DK206" s="311"/>
      <c r="DL206" s="321"/>
      <c r="DM206" s="321"/>
      <c r="DN206" s="321"/>
      <c r="DO206" s="321"/>
      <c r="DP206" s="321"/>
      <c r="DQ206" s="321"/>
      <c r="DR206" s="321"/>
      <c r="DS206" s="321"/>
    </row>
    <row r="207" spans="1:123" ht="7.4" customHeight="1" x14ac:dyDescent="0.5">
      <c r="A207" s="42"/>
      <c r="B207" s="42"/>
      <c r="C207" s="311">
        <f>C203+1</f>
        <v>23</v>
      </c>
      <c r="D207" s="311"/>
      <c r="E207" s="41"/>
      <c r="F207" s="42"/>
      <c r="G207" s="314" t="s">
        <v>55</v>
      </c>
      <c r="H207" s="314"/>
      <c r="I207" s="314"/>
      <c r="J207" s="314"/>
      <c r="K207" s="314"/>
      <c r="L207" s="314"/>
      <c r="M207" s="314"/>
      <c r="N207" s="314"/>
      <c r="O207" s="314"/>
      <c r="P207" s="314"/>
      <c r="Q207" s="314"/>
      <c r="R207" s="315"/>
      <c r="S207" s="42"/>
      <c r="T207" s="521" t="str">
        <f>IF(AL207=1,"Transport estimate","Transport excluded")</f>
        <v>Transport excluded</v>
      </c>
      <c r="U207" s="521"/>
      <c r="V207" s="521"/>
      <c r="W207" s="521"/>
      <c r="X207" s="521"/>
      <c r="Y207" s="521"/>
      <c r="Z207" s="521"/>
      <c r="AA207" s="521"/>
      <c r="AB207" s="521"/>
      <c r="AC207" s="521"/>
      <c r="AD207" s="521"/>
      <c r="AE207" s="521"/>
      <c r="AF207" s="521"/>
      <c r="AG207" s="521"/>
      <c r="AH207" s="521"/>
      <c r="AI207" s="521"/>
      <c r="AJ207" s="522"/>
      <c r="AK207" s="42"/>
      <c r="AL207" s="318">
        <v>0</v>
      </c>
      <c r="AM207" s="318"/>
      <c r="AN207" s="318"/>
      <c r="AO207" s="318"/>
      <c r="AP207" s="43"/>
      <c r="AQ207" s="111"/>
      <c r="AR207" s="308" t="str">
        <f>VLOOKUP(G207,PL!$B$9:$BH$818,52,FALSE)</f>
        <v>-</v>
      </c>
      <c r="AS207" s="309"/>
      <c r="AT207" s="309"/>
      <c r="AU207" s="309"/>
      <c r="AV207" s="309"/>
      <c r="AW207" s="309"/>
      <c r="AX207" s="309"/>
      <c r="AY207" s="309"/>
      <c r="AZ207" s="309"/>
      <c r="BA207" s="309"/>
      <c r="BB207" s="309"/>
      <c r="BC207" s="309"/>
      <c r="BD207" s="309"/>
      <c r="BE207" s="309"/>
      <c r="BF207" s="309"/>
      <c r="BG207" s="309"/>
      <c r="BH207" s="124"/>
      <c r="BI207" s="124"/>
      <c r="BK207" s="194"/>
      <c r="BL207" s="123"/>
      <c r="BM207" s="195"/>
      <c r="BN207" s="194"/>
      <c r="BO207" s="123"/>
      <c r="BP207" s="195"/>
      <c r="BQ207" s="194"/>
      <c r="BR207" s="123"/>
      <c r="BS207" s="195"/>
      <c r="BT207" s="194"/>
      <c r="BU207" s="123"/>
      <c r="BV207" s="195"/>
      <c r="BW207" s="194"/>
      <c r="BX207" s="123"/>
      <c r="BY207" s="195"/>
      <c r="BZ207" s="194"/>
      <c r="CA207" s="123"/>
      <c r="CB207" s="195"/>
      <c r="CC207" s="194"/>
      <c r="CD207" s="123"/>
      <c r="CE207" s="195"/>
      <c r="CF207" s="194"/>
      <c r="CG207" s="123"/>
      <c r="CH207" s="195"/>
      <c r="CI207" s="194"/>
      <c r="CJ207" s="123"/>
      <c r="CK207" s="195"/>
      <c r="CL207" s="194"/>
      <c r="CM207" s="123"/>
      <c r="CN207" s="195"/>
      <c r="CO207" s="194"/>
      <c r="CP207" s="123"/>
      <c r="CQ207" s="195"/>
      <c r="CR207" s="194"/>
      <c r="CS207" s="123"/>
      <c r="CT207" s="195"/>
      <c r="CU207" s="194"/>
      <c r="CV207" s="123"/>
      <c r="CW207" s="195"/>
      <c r="CX207" s="194"/>
      <c r="CY207" s="123"/>
      <c r="CZ207" s="195"/>
      <c r="DA207" s="194"/>
      <c r="DB207" s="123"/>
      <c r="DC207" s="195"/>
      <c r="DD207" s="194"/>
      <c r="DE207" s="123"/>
      <c r="DF207" s="195"/>
      <c r="DH207" s="311"/>
      <c r="DI207" s="311"/>
      <c r="DJ207" s="311"/>
      <c r="DK207" s="311"/>
      <c r="DL207" s="321"/>
      <c r="DM207" s="321"/>
      <c r="DN207" s="321"/>
      <c r="DO207" s="321"/>
      <c r="DP207" s="321"/>
      <c r="DQ207" s="321"/>
      <c r="DR207" s="321"/>
      <c r="DS207" s="321"/>
    </row>
    <row r="208" spans="1:123" ht="7.4" customHeight="1" x14ac:dyDescent="0.5">
      <c r="A208" s="42"/>
      <c r="B208" s="42"/>
      <c r="C208" s="311"/>
      <c r="D208" s="311"/>
      <c r="E208" s="41"/>
      <c r="F208" s="42"/>
      <c r="G208" s="314"/>
      <c r="H208" s="314"/>
      <c r="I208" s="314"/>
      <c r="J208" s="314"/>
      <c r="K208" s="314"/>
      <c r="L208" s="314"/>
      <c r="M208" s="314"/>
      <c r="N208" s="314"/>
      <c r="O208" s="314"/>
      <c r="P208" s="314"/>
      <c r="Q208" s="314"/>
      <c r="R208" s="315"/>
      <c r="S208" s="42"/>
      <c r="T208" s="521"/>
      <c r="U208" s="521"/>
      <c r="V208" s="521"/>
      <c r="W208" s="521"/>
      <c r="X208" s="521"/>
      <c r="Y208" s="521"/>
      <c r="Z208" s="521"/>
      <c r="AA208" s="521"/>
      <c r="AB208" s="521"/>
      <c r="AC208" s="521"/>
      <c r="AD208" s="521"/>
      <c r="AE208" s="521"/>
      <c r="AF208" s="521"/>
      <c r="AG208" s="521"/>
      <c r="AH208" s="521"/>
      <c r="AI208" s="521"/>
      <c r="AJ208" s="522"/>
      <c r="AK208" s="42"/>
      <c r="AL208" s="318"/>
      <c r="AM208" s="318"/>
      <c r="AN208" s="318"/>
      <c r="AO208" s="318"/>
      <c r="AP208" s="43"/>
      <c r="AQ208" s="111"/>
      <c r="AR208" s="309"/>
      <c r="AS208" s="309"/>
      <c r="AT208" s="309"/>
      <c r="AU208" s="309"/>
      <c r="AV208" s="309"/>
      <c r="AW208" s="309"/>
      <c r="AX208" s="309"/>
      <c r="AY208" s="309"/>
      <c r="AZ208" s="309"/>
      <c r="BA208" s="309"/>
      <c r="BB208" s="309"/>
      <c r="BC208" s="309"/>
      <c r="BD208" s="309"/>
      <c r="BE208" s="309"/>
      <c r="BF208" s="309"/>
      <c r="BG208" s="309"/>
      <c r="BH208" s="124"/>
      <c r="BI208" s="124"/>
      <c r="BK208" s="194"/>
      <c r="BL208" s="123"/>
      <c r="BM208" s="195"/>
      <c r="BN208" s="194"/>
      <c r="BO208" s="123"/>
      <c r="BP208" s="195"/>
      <c r="BQ208" s="194"/>
      <c r="BR208" s="123"/>
      <c r="BS208" s="195"/>
      <c r="BT208" s="194"/>
      <c r="BU208" s="123"/>
      <c r="BV208" s="195"/>
      <c r="BW208" s="194"/>
      <c r="BX208" s="123"/>
      <c r="BY208" s="195"/>
      <c r="BZ208" s="194"/>
      <c r="CA208" s="123"/>
      <c r="CB208" s="195"/>
      <c r="CC208" s="194"/>
      <c r="CD208" s="123"/>
      <c r="CE208" s="195"/>
      <c r="CF208" s="194"/>
      <c r="CG208" s="123"/>
      <c r="CH208" s="195"/>
      <c r="CI208" s="194"/>
      <c r="CJ208" s="123"/>
      <c r="CK208" s="195"/>
      <c r="CL208" s="194"/>
      <c r="CM208" s="123"/>
      <c r="CN208" s="195"/>
      <c r="CO208" s="194"/>
      <c r="CP208" s="123"/>
      <c r="CQ208" s="195"/>
      <c r="CR208" s="194"/>
      <c r="CS208" s="123"/>
      <c r="CT208" s="195"/>
      <c r="CU208" s="194"/>
      <c r="CV208" s="123"/>
      <c r="CW208" s="195"/>
      <c r="CX208" s="194"/>
      <c r="CY208" s="123"/>
      <c r="CZ208" s="195"/>
      <c r="DA208" s="194"/>
      <c r="DB208" s="123"/>
      <c r="DC208" s="195"/>
      <c r="DD208" s="194"/>
      <c r="DE208" s="123"/>
      <c r="DF208" s="195"/>
      <c r="DH208" s="311"/>
      <c r="DI208" s="311"/>
      <c r="DJ208" s="311"/>
      <c r="DK208" s="311"/>
      <c r="DL208" s="105"/>
      <c r="DM208" s="105"/>
      <c r="DN208" s="105"/>
      <c r="DO208" s="105"/>
      <c r="DP208" s="105"/>
      <c r="DQ208" s="105"/>
      <c r="DR208" s="105"/>
      <c r="DS208" s="105"/>
    </row>
    <row r="209" spans="1:123" ht="7.4" customHeight="1" x14ac:dyDescent="0.5">
      <c r="A209" s="42"/>
      <c r="B209" s="50"/>
      <c r="C209" s="51"/>
      <c r="D209" s="51"/>
      <c r="E209" s="52"/>
      <c r="F209" s="50"/>
      <c r="G209" s="132"/>
      <c r="H209" s="132"/>
      <c r="I209" s="132"/>
      <c r="J209" s="132"/>
      <c r="K209" s="132"/>
      <c r="L209" s="132"/>
      <c r="M209" s="132"/>
      <c r="N209" s="132"/>
      <c r="O209" s="132"/>
      <c r="P209" s="132"/>
      <c r="Q209" s="132"/>
      <c r="R209" s="204"/>
      <c r="S209" s="50"/>
      <c r="T209" s="51"/>
      <c r="U209" s="51"/>
      <c r="V209" s="51"/>
      <c r="W209" s="51"/>
      <c r="X209" s="51"/>
      <c r="Y209" s="51"/>
      <c r="Z209" s="51"/>
      <c r="AA209" s="51"/>
      <c r="AB209" s="51"/>
      <c r="AC209" s="51"/>
      <c r="AD209" s="51"/>
      <c r="AE209" s="51"/>
      <c r="AF209" s="51"/>
      <c r="AG209" s="51"/>
      <c r="AH209" s="51"/>
      <c r="AI209" s="51"/>
      <c r="AJ209" s="52"/>
      <c r="AK209" s="50"/>
      <c r="AL209" s="355"/>
      <c r="AM209" s="355"/>
      <c r="AN209" s="355"/>
      <c r="AO209" s="355"/>
      <c r="AP209" s="84"/>
      <c r="AQ209" s="50"/>
      <c r="AR209" s="135"/>
      <c r="AS209" s="135"/>
      <c r="AT209" s="135"/>
      <c r="AU209" s="135"/>
      <c r="AV209" s="135"/>
      <c r="AW209" s="135"/>
      <c r="AX209" s="135"/>
      <c r="AY209" s="51"/>
      <c r="AZ209" s="135"/>
      <c r="BA209" s="135"/>
      <c r="BB209" s="135"/>
      <c r="BC209" s="135"/>
      <c r="BD209" s="135"/>
      <c r="BE209" s="135"/>
      <c r="BF209" s="135"/>
      <c r="BG209" s="135"/>
      <c r="BH209" s="158"/>
      <c r="BI209" s="124"/>
      <c r="BK209" s="205"/>
      <c r="BL209" s="206"/>
      <c r="BM209" s="207"/>
      <c r="BN209" s="205"/>
      <c r="BO209" s="206"/>
      <c r="BP209" s="207"/>
      <c r="BQ209" s="205"/>
      <c r="BR209" s="206"/>
      <c r="BS209" s="207"/>
      <c r="BT209" s="205"/>
      <c r="BU209" s="206"/>
      <c r="BV209" s="207"/>
      <c r="BW209" s="205"/>
      <c r="BX209" s="206"/>
      <c r="BY209" s="207"/>
      <c r="BZ209" s="205"/>
      <c r="CA209" s="206"/>
      <c r="CB209" s="207"/>
      <c r="CC209" s="205"/>
      <c r="CD209" s="206"/>
      <c r="CE209" s="207"/>
      <c r="CF209" s="205"/>
      <c r="CG209" s="206"/>
      <c r="CH209" s="207"/>
      <c r="CI209" s="205"/>
      <c r="CJ209" s="206"/>
      <c r="CK209" s="207"/>
      <c r="CL209" s="205"/>
      <c r="CM209" s="206"/>
      <c r="CN209" s="207"/>
      <c r="CO209" s="205"/>
      <c r="CP209" s="206"/>
      <c r="CQ209" s="207"/>
      <c r="CR209" s="205"/>
      <c r="CS209" s="206"/>
      <c r="CT209" s="207"/>
      <c r="CU209" s="205"/>
      <c r="CV209" s="206"/>
      <c r="CW209" s="207"/>
      <c r="CX209" s="205"/>
      <c r="CY209" s="206"/>
      <c r="CZ209" s="207"/>
      <c r="DA209" s="205"/>
      <c r="DB209" s="206"/>
      <c r="DC209" s="207"/>
      <c r="DD209" s="205"/>
      <c r="DE209" s="206"/>
      <c r="DF209" s="207"/>
      <c r="DH209" s="311"/>
      <c r="DI209" s="311"/>
      <c r="DJ209" s="311"/>
      <c r="DK209" s="311"/>
      <c r="DL209" s="321"/>
      <c r="DM209" s="321"/>
      <c r="DN209" s="321"/>
      <c r="DO209" s="321"/>
      <c r="DP209" s="321"/>
      <c r="DQ209" s="321"/>
      <c r="DR209" s="321"/>
      <c r="DS209" s="321"/>
    </row>
    <row r="210" spans="1:123" ht="7.4" customHeight="1" x14ac:dyDescent="0.5">
      <c r="A210" s="50"/>
      <c r="B210" s="51"/>
      <c r="C210" s="51"/>
      <c r="D210" s="51"/>
      <c r="E210" s="51"/>
      <c r="F210" s="51"/>
      <c r="G210" s="51"/>
      <c r="H210" s="51"/>
      <c r="I210" s="51"/>
      <c r="J210" s="51"/>
      <c r="K210" s="51"/>
      <c r="L210" s="51"/>
      <c r="M210" s="51"/>
      <c r="N210" s="51"/>
      <c r="O210" s="51"/>
      <c r="P210" s="51"/>
      <c r="Q210" s="51"/>
      <c r="R210" s="51"/>
      <c r="S210" s="51"/>
      <c r="T210" s="51"/>
      <c r="U210" s="51"/>
      <c r="V210" s="51"/>
      <c r="W210" s="208"/>
      <c r="X210" s="208"/>
      <c r="Y210" s="208"/>
      <c r="Z210" s="208"/>
      <c r="AA210" s="208"/>
      <c r="AB210" s="51"/>
      <c r="AC210" s="51"/>
      <c r="AD210" s="208"/>
      <c r="AE210" s="208"/>
      <c r="AF210" s="208"/>
      <c r="AG210" s="208"/>
      <c r="AH210" s="208"/>
      <c r="AI210" s="51"/>
      <c r="AJ210" s="51"/>
      <c r="AK210" s="51"/>
      <c r="AL210" s="51"/>
      <c r="AM210" s="51"/>
      <c r="AN210" s="51"/>
      <c r="AO210" s="51"/>
      <c r="AP210" s="51"/>
      <c r="AQ210" s="51"/>
      <c r="AR210" s="51"/>
      <c r="AS210" s="51"/>
      <c r="AT210" s="51"/>
      <c r="AU210" s="51"/>
      <c r="AV210" s="51"/>
      <c r="AW210" s="51"/>
      <c r="AX210" s="51"/>
      <c r="AY210" s="51"/>
      <c r="AZ210" s="51"/>
      <c r="BA210" s="51"/>
      <c r="BB210" s="51"/>
      <c r="BC210" s="51"/>
      <c r="BD210" s="51"/>
      <c r="BE210" s="51"/>
      <c r="BF210" s="51"/>
      <c r="BG210" s="51"/>
      <c r="BH210" s="51"/>
      <c r="BI210" s="52"/>
    </row>
    <row r="211" spans="1:123" ht="7.4" customHeight="1" x14ac:dyDescent="0.5">
      <c r="A211" s="104"/>
      <c r="B211" s="104"/>
      <c r="C211" s="104"/>
      <c r="D211" s="104"/>
      <c r="E211" s="104"/>
      <c r="F211" s="104"/>
      <c r="G211" s="104"/>
      <c r="H211" s="104"/>
      <c r="I211" s="104"/>
      <c r="J211" s="104"/>
      <c r="K211" s="104"/>
      <c r="L211" s="104"/>
      <c r="M211" s="104"/>
      <c r="N211" s="104"/>
      <c r="O211" s="104"/>
      <c r="P211" s="104"/>
      <c r="Q211" s="104"/>
      <c r="R211" s="104"/>
      <c r="S211" s="104"/>
      <c r="T211" s="104"/>
      <c r="U211" s="104"/>
      <c r="V211" s="104"/>
      <c r="W211" s="104"/>
      <c r="X211" s="104"/>
      <c r="Y211" s="104"/>
      <c r="Z211" s="104"/>
      <c r="AA211" s="104"/>
      <c r="AB211" s="104"/>
      <c r="AC211" s="104"/>
      <c r="AD211" s="104"/>
      <c r="AE211" s="104"/>
      <c r="AF211" s="104"/>
      <c r="AG211" s="104"/>
      <c r="AH211" s="104"/>
      <c r="AI211" s="104"/>
      <c r="AJ211" s="104"/>
      <c r="AK211" s="104"/>
      <c r="AL211" s="104"/>
      <c r="AM211" s="104"/>
      <c r="AN211" s="104"/>
      <c r="AO211" s="104"/>
      <c r="AP211" s="104"/>
      <c r="AQ211" s="104"/>
      <c r="AR211" s="104"/>
      <c r="AS211" s="104"/>
      <c r="AT211" s="104"/>
      <c r="AU211" s="104"/>
      <c r="AV211" s="104"/>
      <c r="AW211" s="104"/>
      <c r="AX211" s="104"/>
      <c r="AY211" s="104"/>
      <c r="AZ211" s="104"/>
      <c r="BA211" s="104"/>
      <c r="BB211" s="104"/>
      <c r="BC211" s="104"/>
      <c r="BD211" s="104"/>
      <c r="BE211" s="104"/>
      <c r="BF211" s="104"/>
      <c r="BG211" s="104"/>
      <c r="BH211" s="104"/>
      <c r="BI211" s="104"/>
    </row>
    <row r="212" spans="1:123" ht="7.4" customHeight="1" x14ac:dyDescent="0.5">
      <c r="A212" s="505" t="s">
        <v>56</v>
      </c>
      <c r="B212" s="505"/>
      <c r="C212" s="505"/>
      <c r="D212" s="505"/>
      <c r="E212" s="505"/>
      <c r="F212" s="505"/>
      <c r="G212" s="505"/>
      <c r="H212" s="505"/>
      <c r="I212" s="505"/>
      <c r="J212" s="505"/>
      <c r="K212" s="505"/>
      <c r="L212" s="505"/>
      <c r="M212" s="505"/>
      <c r="N212" s="505"/>
      <c r="O212" s="505"/>
      <c r="P212" s="505"/>
      <c r="Q212" s="505"/>
      <c r="R212" s="505"/>
      <c r="S212" s="505"/>
      <c r="T212" s="505"/>
      <c r="U212" s="505"/>
      <c r="V212" s="505"/>
      <c r="W212" s="505"/>
      <c r="X212" s="505"/>
      <c r="Y212" s="505"/>
      <c r="Z212" s="505"/>
      <c r="AA212" s="505"/>
      <c r="AB212" s="505"/>
      <c r="AC212" s="505"/>
      <c r="AD212" s="505"/>
      <c r="AE212" s="505"/>
      <c r="AF212" s="505"/>
      <c r="AG212" s="505"/>
      <c r="AH212" s="505"/>
      <c r="AI212" s="505"/>
      <c r="AJ212" s="505"/>
      <c r="AK212" s="505"/>
      <c r="AL212" s="505"/>
      <c r="AM212" s="505"/>
      <c r="AN212" s="505"/>
      <c r="AO212" s="505"/>
      <c r="AP212" s="505"/>
      <c r="AQ212" s="505"/>
      <c r="AR212" s="505"/>
      <c r="AS212" s="505"/>
      <c r="AT212" s="505"/>
      <c r="AU212" s="505"/>
      <c r="AV212" s="505"/>
      <c r="AW212" s="505"/>
      <c r="AX212" s="505"/>
      <c r="AY212" s="505"/>
      <c r="AZ212" s="505"/>
      <c r="BA212" s="505"/>
      <c r="BB212" s="505"/>
      <c r="BC212" s="505"/>
      <c r="BD212" s="505"/>
      <c r="BE212" s="505"/>
      <c r="BF212" s="505"/>
      <c r="BG212" s="505"/>
      <c r="BH212" s="505"/>
      <c r="BI212" s="505"/>
    </row>
    <row r="213" spans="1:123" ht="7.4" customHeight="1" x14ac:dyDescent="0.5">
      <c r="A213" s="505"/>
      <c r="B213" s="505"/>
      <c r="C213" s="505"/>
      <c r="D213" s="505"/>
      <c r="E213" s="505"/>
      <c r="F213" s="505"/>
      <c r="G213" s="505"/>
      <c r="H213" s="505"/>
      <c r="I213" s="505"/>
      <c r="J213" s="505"/>
      <c r="K213" s="505"/>
      <c r="L213" s="505"/>
      <c r="M213" s="505"/>
      <c r="N213" s="505"/>
      <c r="O213" s="505"/>
      <c r="P213" s="505"/>
      <c r="Q213" s="505"/>
      <c r="R213" s="505"/>
      <c r="S213" s="505"/>
      <c r="T213" s="505"/>
      <c r="U213" s="505"/>
      <c r="V213" s="505"/>
      <c r="W213" s="505"/>
      <c r="X213" s="505"/>
      <c r="Y213" s="505"/>
      <c r="Z213" s="505"/>
      <c r="AA213" s="505"/>
      <c r="AB213" s="505"/>
      <c r="AC213" s="505"/>
      <c r="AD213" s="505"/>
      <c r="AE213" s="505"/>
      <c r="AF213" s="505"/>
      <c r="AG213" s="505"/>
      <c r="AH213" s="505"/>
      <c r="AI213" s="505"/>
      <c r="AJ213" s="505"/>
      <c r="AK213" s="505"/>
      <c r="AL213" s="505"/>
      <c r="AM213" s="505"/>
      <c r="AN213" s="505"/>
      <c r="AO213" s="505"/>
      <c r="AP213" s="505"/>
      <c r="AQ213" s="505"/>
      <c r="AR213" s="505"/>
      <c r="AS213" s="505"/>
      <c r="AT213" s="505"/>
      <c r="AU213" s="505"/>
      <c r="AV213" s="505"/>
      <c r="AW213" s="505"/>
      <c r="AX213" s="505"/>
      <c r="AY213" s="505"/>
      <c r="AZ213" s="505"/>
      <c r="BA213" s="505"/>
      <c r="BB213" s="505"/>
      <c r="BC213" s="505"/>
      <c r="BD213" s="505"/>
      <c r="BE213" s="505"/>
      <c r="BF213" s="505"/>
      <c r="BG213" s="505"/>
      <c r="BH213" s="505"/>
      <c r="BI213" s="505"/>
    </row>
    <row r="214" spans="1:123" ht="7.4" customHeight="1" x14ac:dyDescent="0.5">
      <c r="A214" s="104"/>
      <c r="B214" s="104"/>
      <c r="C214" s="104"/>
      <c r="D214" s="104"/>
      <c r="E214" s="104"/>
      <c r="F214" s="104"/>
      <c r="G214" s="104"/>
      <c r="H214" s="104"/>
      <c r="I214" s="104"/>
      <c r="J214" s="104"/>
      <c r="K214" s="104"/>
      <c r="L214" s="104"/>
      <c r="M214" s="104"/>
      <c r="N214" s="104"/>
      <c r="O214" s="104"/>
      <c r="P214" s="104"/>
      <c r="Q214" s="104"/>
      <c r="R214" s="104"/>
      <c r="S214" s="104"/>
      <c r="T214" s="104"/>
      <c r="U214" s="104"/>
      <c r="V214" s="104"/>
      <c r="W214" s="104"/>
      <c r="X214" s="104"/>
      <c r="Y214" s="104"/>
      <c r="Z214" s="104"/>
      <c r="AA214" s="104"/>
      <c r="AB214" s="104"/>
      <c r="AC214" s="104"/>
      <c r="AD214" s="104"/>
      <c r="AE214" s="104"/>
      <c r="AF214" s="104"/>
      <c r="AG214" s="104"/>
      <c r="AH214" s="104"/>
      <c r="AI214" s="104"/>
      <c r="AJ214" s="104"/>
      <c r="AK214" s="104"/>
      <c r="AL214" s="104"/>
      <c r="AM214" s="104"/>
      <c r="AN214" s="104"/>
      <c r="AO214" s="104"/>
      <c r="AP214" s="104"/>
      <c r="AQ214" s="104"/>
      <c r="AR214" s="104"/>
      <c r="AS214" s="104"/>
      <c r="AT214" s="104"/>
      <c r="AU214" s="104"/>
      <c r="AV214" s="104"/>
      <c r="AW214" s="104"/>
      <c r="AX214" s="104"/>
      <c r="AY214" s="104"/>
      <c r="AZ214" s="104"/>
      <c r="BA214" s="104"/>
      <c r="BB214" s="104"/>
      <c r="BC214" s="104"/>
      <c r="BD214" s="104"/>
      <c r="BE214" s="104"/>
      <c r="BF214" s="104"/>
      <c r="BG214" s="104"/>
      <c r="BH214" s="104"/>
      <c r="BI214" s="104"/>
    </row>
    <row r="215" spans="1:123" ht="7.4" customHeight="1" x14ac:dyDescent="0.5">
      <c r="A215" s="298" t="s">
        <v>57</v>
      </c>
      <c r="B215" s="298"/>
      <c r="C215" s="298"/>
      <c r="D215" s="298"/>
      <c r="E215" s="298"/>
      <c r="F215" s="298"/>
      <c r="G215" s="298"/>
      <c r="H215" s="298"/>
      <c r="I215" s="298"/>
      <c r="J215" s="298"/>
      <c r="K215" s="298"/>
      <c r="L215" s="298"/>
      <c r="M215" s="298"/>
      <c r="N215" s="298"/>
      <c r="O215" s="298"/>
      <c r="P215" s="298"/>
      <c r="Q215" s="298"/>
      <c r="R215" s="298"/>
      <c r="S215" s="298"/>
      <c r="T215" s="298"/>
      <c r="U215" s="298"/>
      <c r="V215" s="298"/>
      <c r="W215" s="298"/>
      <c r="X215" s="298"/>
      <c r="Y215" s="298"/>
      <c r="Z215" s="298"/>
      <c r="AA215" s="298"/>
      <c r="AB215" s="298"/>
      <c r="AC215" s="298"/>
      <c r="AD215" s="298"/>
      <c r="AE215" s="298"/>
      <c r="AF215" s="298"/>
      <c r="AG215" s="298"/>
      <c r="AH215" s="298"/>
      <c r="AI215" s="298"/>
      <c r="AJ215" s="298"/>
      <c r="AK215" s="298"/>
      <c r="AL215" s="298"/>
      <c r="AM215" s="298"/>
      <c r="AN215" s="298"/>
      <c r="AO215" s="298"/>
      <c r="AP215" s="298"/>
      <c r="AQ215" s="298"/>
      <c r="AR215" s="298"/>
      <c r="AS215" s="298"/>
      <c r="AT215" s="298"/>
      <c r="AU215" s="298"/>
      <c r="AV215" s="298"/>
      <c r="AW215" s="298"/>
      <c r="AX215" s="298"/>
      <c r="AY215" s="298"/>
      <c r="AZ215" s="298"/>
      <c r="BA215" s="298"/>
      <c r="BB215" s="298"/>
      <c r="BC215" s="298"/>
      <c r="BD215" s="298"/>
      <c r="BE215" s="298"/>
      <c r="BF215" s="298"/>
      <c r="BG215" s="298"/>
      <c r="BH215" s="298"/>
      <c r="BI215" s="298"/>
    </row>
    <row r="216" spans="1:123" ht="7.4" customHeight="1" x14ac:dyDescent="0.5">
      <c r="A216" s="298"/>
      <c r="B216" s="298"/>
      <c r="C216" s="298"/>
      <c r="D216" s="298"/>
      <c r="E216" s="298"/>
      <c r="F216" s="298"/>
      <c r="G216" s="298"/>
      <c r="H216" s="298"/>
      <c r="I216" s="298"/>
      <c r="J216" s="298"/>
      <c r="K216" s="298"/>
      <c r="L216" s="298"/>
      <c r="M216" s="298"/>
      <c r="N216" s="298"/>
      <c r="O216" s="298"/>
      <c r="P216" s="298"/>
      <c r="Q216" s="298"/>
      <c r="R216" s="298"/>
      <c r="S216" s="298"/>
      <c r="T216" s="298"/>
      <c r="U216" s="298"/>
      <c r="V216" s="298"/>
      <c r="W216" s="298"/>
      <c r="X216" s="298"/>
      <c r="Y216" s="298"/>
      <c r="Z216" s="298"/>
      <c r="AA216" s="298"/>
      <c r="AB216" s="298"/>
      <c r="AC216" s="298"/>
      <c r="AD216" s="298"/>
      <c r="AE216" s="298"/>
      <c r="AF216" s="298"/>
      <c r="AG216" s="298"/>
      <c r="AH216" s="298"/>
      <c r="AI216" s="298"/>
      <c r="AJ216" s="298"/>
      <c r="AK216" s="298"/>
      <c r="AL216" s="298"/>
      <c r="AM216" s="298"/>
      <c r="AN216" s="298"/>
      <c r="AO216" s="298"/>
      <c r="AP216" s="298"/>
      <c r="AQ216" s="298"/>
      <c r="AR216" s="298"/>
      <c r="AS216" s="298"/>
      <c r="AT216" s="298"/>
      <c r="AU216" s="298"/>
      <c r="AV216" s="298"/>
      <c r="AW216" s="298"/>
      <c r="AX216" s="298"/>
      <c r="AY216" s="298"/>
      <c r="AZ216" s="298"/>
      <c r="BA216" s="298"/>
      <c r="BB216" s="298"/>
      <c r="BC216" s="298"/>
      <c r="BD216" s="298"/>
      <c r="BE216" s="298"/>
      <c r="BF216" s="298"/>
      <c r="BG216" s="298"/>
      <c r="BH216" s="298"/>
      <c r="BI216" s="298"/>
    </row>
    <row r="217" spans="1:123" ht="7.4" customHeight="1" x14ac:dyDescent="0.5">
      <c r="A217" s="104"/>
      <c r="B217" s="104"/>
      <c r="C217" s="104"/>
      <c r="D217" s="104"/>
      <c r="E217" s="104"/>
      <c r="F217" s="104"/>
      <c r="G217" s="104"/>
      <c r="H217" s="104"/>
      <c r="I217" s="104"/>
      <c r="J217" s="104"/>
      <c r="K217" s="104"/>
      <c r="L217" s="104"/>
      <c r="M217" s="104"/>
      <c r="N217" s="104"/>
      <c r="O217" s="104"/>
      <c r="P217" s="104"/>
      <c r="Q217" s="104"/>
      <c r="R217" s="104"/>
      <c r="S217" s="104"/>
      <c r="T217" s="104"/>
      <c r="U217" s="104"/>
      <c r="V217" s="104"/>
      <c r="W217" s="104"/>
      <c r="X217" s="104"/>
      <c r="Y217" s="104"/>
      <c r="Z217" s="104"/>
      <c r="AA217" s="104"/>
      <c r="AB217" s="104"/>
      <c r="AC217" s="104"/>
      <c r="AD217" s="104"/>
      <c r="AE217" s="104"/>
      <c r="AF217" s="104"/>
      <c r="AG217" s="104"/>
      <c r="AH217" s="104"/>
      <c r="AI217" s="104"/>
      <c r="AJ217" s="104"/>
      <c r="AK217" s="104"/>
      <c r="AL217" s="104"/>
      <c r="AM217" s="104"/>
      <c r="AN217" s="104"/>
      <c r="AO217" s="104"/>
      <c r="AP217" s="104"/>
      <c r="AQ217" s="104"/>
      <c r="AR217" s="104"/>
      <c r="AS217" s="104"/>
      <c r="AT217" s="104"/>
      <c r="AU217" s="104"/>
      <c r="AV217" s="104"/>
      <c r="AW217" s="104"/>
      <c r="AX217" s="104"/>
      <c r="AY217" s="104"/>
      <c r="AZ217" s="104"/>
      <c r="BA217" s="104"/>
      <c r="BB217" s="104"/>
      <c r="BC217" s="104"/>
      <c r="BD217" s="104"/>
      <c r="BE217" s="104"/>
      <c r="BF217" s="104"/>
      <c r="BG217" s="104"/>
      <c r="BH217" s="104"/>
      <c r="BI217" s="104"/>
    </row>
    <row r="218" spans="1:123" ht="7.4" customHeight="1" x14ac:dyDescent="0.5">
      <c r="A218" s="114"/>
      <c r="B218" s="114"/>
      <c r="C218" s="114"/>
      <c r="D218" s="114"/>
      <c r="E218" s="114"/>
      <c r="F218" s="114"/>
      <c r="G218" s="114"/>
      <c r="H218" s="114"/>
      <c r="I218" s="114"/>
      <c r="J218" s="114"/>
      <c r="K218" s="114"/>
      <c r="L218" s="114"/>
      <c r="M218" s="114"/>
      <c r="N218" s="114"/>
      <c r="O218" s="114"/>
      <c r="P218" s="114"/>
      <c r="Q218" s="114"/>
      <c r="R218" s="114"/>
      <c r="S218" s="114"/>
      <c r="T218" s="114"/>
      <c r="U218" s="114"/>
      <c r="V218" s="114"/>
      <c r="W218" s="114"/>
      <c r="X218" s="114"/>
      <c r="Y218" s="114"/>
      <c r="Z218" s="114"/>
      <c r="AA218" s="114"/>
      <c r="AB218" s="114"/>
      <c r="AC218" s="114"/>
      <c r="AD218" s="114"/>
      <c r="AE218" s="114"/>
      <c r="AF218" s="114"/>
      <c r="AG218" s="114"/>
      <c r="AH218" s="114"/>
      <c r="AI218" s="114"/>
      <c r="AJ218" s="114"/>
      <c r="AK218" s="114"/>
      <c r="AL218" s="114"/>
      <c r="AM218" s="114"/>
      <c r="AN218" s="114"/>
      <c r="AO218" s="114"/>
      <c r="AP218" s="114"/>
      <c r="AQ218" s="114"/>
      <c r="AR218" s="114"/>
      <c r="AS218" s="114"/>
      <c r="AT218" s="114"/>
      <c r="AU218" s="114"/>
      <c r="AV218" s="114"/>
      <c r="AW218" s="114"/>
      <c r="AX218" s="114"/>
      <c r="AY218" s="114"/>
      <c r="AZ218" s="114"/>
      <c r="BA218" s="114"/>
      <c r="BB218" s="114"/>
      <c r="BC218" s="114"/>
      <c r="BD218" s="114"/>
      <c r="BE218" s="114"/>
      <c r="BF218" s="114"/>
      <c r="BG218" s="114"/>
      <c r="BH218" s="114"/>
      <c r="BI218" s="114"/>
    </row>
    <row r="219" spans="1:123" ht="7.4" customHeight="1" x14ac:dyDescent="0.5">
      <c r="A219" s="114"/>
      <c r="B219" s="114"/>
      <c r="C219" s="114"/>
      <c r="D219" s="114"/>
      <c r="E219" s="114"/>
      <c r="F219" s="114"/>
      <c r="G219" s="114"/>
      <c r="H219" s="114"/>
      <c r="I219" s="114"/>
      <c r="J219" s="114"/>
      <c r="K219" s="114"/>
      <c r="L219" s="114"/>
      <c r="M219" s="114"/>
      <c r="N219" s="114"/>
      <c r="O219" s="114"/>
      <c r="P219" s="114"/>
      <c r="Q219" s="114"/>
      <c r="R219" s="114"/>
      <c r="S219" s="114"/>
      <c r="T219" s="114"/>
      <c r="U219" s="114"/>
      <c r="V219" s="114"/>
      <c r="W219" s="114"/>
      <c r="X219" s="114"/>
      <c r="Y219" s="114"/>
      <c r="Z219" s="114"/>
      <c r="AA219" s="114"/>
      <c r="AB219" s="114"/>
      <c r="AC219" s="114"/>
      <c r="AD219" s="114"/>
      <c r="AE219" s="114"/>
      <c r="AF219" s="114"/>
      <c r="AG219" s="114"/>
      <c r="AH219" s="114"/>
      <c r="AI219" s="114"/>
      <c r="AJ219" s="114"/>
      <c r="AK219" s="114"/>
      <c r="AL219" s="114"/>
      <c r="AM219" s="114"/>
      <c r="AN219" s="114"/>
      <c r="AO219" s="114"/>
      <c r="AP219" s="114"/>
      <c r="AQ219" s="114"/>
      <c r="AR219" s="114"/>
      <c r="AS219" s="114"/>
      <c r="AT219" s="114"/>
      <c r="AU219" s="114"/>
      <c r="AV219" s="114"/>
      <c r="AW219" s="114"/>
      <c r="AX219" s="114"/>
      <c r="AY219" s="114"/>
      <c r="AZ219" s="114"/>
      <c r="BA219" s="114"/>
      <c r="BB219" s="114"/>
      <c r="BC219" s="114"/>
      <c r="BD219" s="114"/>
      <c r="BE219" s="114"/>
      <c r="BF219" s="114"/>
      <c r="BG219" s="114"/>
      <c r="BH219" s="114"/>
      <c r="BI219" s="114"/>
    </row>
    <row r="220" spans="1:123" ht="7.4" customHeight="1" x14ac:dyDescent="0.5">
      <c r="A220" s="114"/>
      <c r="B220" s="114"/>
      <c r="C220" s="114"/>
      <c r="D220" s="114"/>
      <c r="E220" s="114"/>
      <c r="F220" s="114"/>
      <c r="G220" s="114"/>
      <c r="H220" s="114"/>
      <c r="I220" s="114"/>
      <c r="J220" s="114"/>
      <c r="K220" s="114"/>
      <c r="L220" s="114"/>
      <c r="M220" s="114"/>
      <c r="N220" s="114"/>
      <c r="O220" s="114"/>
      <c r="P220" s="114"/>
      <c r="Q220" s="114"/>
      <c r="R220" s="114"/>
      <c r="S220" s="114"/>
      <c r="T220" s="114"/>
      <c r="U220" s="114"/>
      <c r="V220" s="114"/>
      <c r="W220" s="114"/>
      <c r="X220" s="114"/>
      <c r="Y220" s="114"/>
      <c r="Z220" s="114"/>
      <c r="AA220" s="114"/>
      <c r="AB220" s="114"/>
      <c r="AC220" s="114"/>
      <c r="AD220" s="114"/>
      <c r="AE220" s="114"/>
      <c r="AF220" s="114"/>
      <c r="AG220" s="114"/>
      <c r="AH220" s="114"/>
      <c r="AI220" s="114"/>
      <c r="AJ220" s="114"/>
      <c r="AK220" s="114"/>
      <c r="AL220" s="114"/>
      <c r="AM220" s="114"/>
      <c r="AN220" s="114"/>
      <c r="AO220" s="114"/>
      <c r="AP220" s="114"/>
      <c r="AQ220" s="114"/>
      <c r="AR220" s="114"/>
      <c r="AS220" s="114"/>
      <c r="AT220" s="114"/>
      <c r="AU220" s="114"/>
      <c r="AV220" s="114"/>
      <c r="AW220" s="114"/>
      <c r="AX220" s="114"/>
      <c r="AY220" s="114"/>
      <c r="AZ220" s="114"/>
      <c r="BA220" s="114"/>
      <c r="BB220" s="114"/>
      <c r="BC220" s="114"/>
      <c r="BD220" s="114"/>
      <c r="BE220" s="114"/>
      <c r="BF220" s="114"/>
      <c r="BG220" s="114"/>
      <c r="BH220" s="114"/>
      <c r="BI220" s="114"/>
    </row>
    <row r="221" spans="1:123" ht="7.4" customHeight="1" x14ac:dyDescent="0.5">
      <c r="A221" s="114"/>
      <c r="B221" s="114"/>
      <c r="C221" s="114"/>
      <c r="D221" s="114"/>
      <c r="E221" s="114"/>
      <c r="F221" s="114"/>
      <c r="G221" s="114"/>
      <c r="H221" s="114"/>
      <c r="I221" s="114"/>
      <c r="J221" s="114"/>
      <c r="K221" s="114"/>
      <c r="L221" s="114"/>
      <c r="M221" s="114"/>
      <c r="N221" s="114"/>
      <c r="O221" s="114"/>
      <c r="P221" s="114"/>
      <c r="Q221" s="114"/>
      <c r="R221" s="114"/>
      <c r="S221" s="114"/>
      <c r="T221" s="114"/>
      <c r="U221" s="114"/>
      <c r="V221" s="114"/>
      <c r="W221" s="114"/>
      <c r="X221" s="114"/>
      <c r="Y221" s="114"/>
      <c r="Z221" s="114"/>
      <c r="AA221" s="114"/>
      <c r="AB221" s="114"/>
      <c r="AC221" s="114"/>
      <c r="AD221" s="114"/>
      <c r="AE221" s="114"/>
      <c r="AF221" s="114"/>
      <c r="AG221" s="114"/>
      <c r="AH221" s="114"/>
      <c r="AI221" s="114"/>
      <c r="AJ221" s="114"/>
      <c r="AK221" s="114"/>
      <c r="AL221" s="114"/>
      <c r="AM221" s="114"/>
      <c r="AN221" s="114"/>
      <c r="AO221" s="114"/>
      <c r="AP221" s="114"/>
      <c r="AQ221" s="114"/>
      <c r="AR221" s="114"/>
      <c r="AS221" s="114"/>
      <c r="AT221" s="114"/>
      <c r="AU221" s="114"/>
      <c r="AV221" s="114"/>
      <c r="AW221" s="114"/>
      <c r="AX221" s="114"/>
      <c r="AY221" s="114"/>
      <c r="AZ221" s="114"/>
      <c r="BA221" s="114"/>
      <c r="BB221" s="114"/>
      <c r="BC221" s="114"/>
      <c r="BD221" s="114"/>
      <c r="BE221" s="114"/>
      <c r="BF221" s="114"/>
      <c r="BG221" s="114"/>
      <c r="BH221" s="114"/>
      <c r="BI221" s="114"/>
    </row>
    <row r="222" spans="1:123" ht="7.4" customHeight="1" x14ac:dyDescent="0.5">
      <c r="A222" s="114"/>
      <c r="B222" s="114"/>
      <c r="C222" s="114"/>
      <c r="D222" s="114"/>
      <c r="E222" s="114"/>
      <c r="F222" s="114"/>
      <c r="G222" s="114"/>
      <c r="H222" s="114"/>
      <c r="I222" s="114"/>
      <c r="J222" s="114"/>
      <c r="K222" s="114"/>
      <c r="L222" s="114"/>
      <c r="M222" s="114"/>
      <c r="N222" s="114"/>
      <c r="O222" s="114"/>
      <c r="P222" s="114"/>
      <c r="Q222" s="114"/>
      <c r="R222" s="114"/>
      <c r="S222" s="114"/>
      <c r="T222" s="114"/>
      <c r="U222" s="114"/>
      <c r="V222" s="114"/>
      <c r="W222" s="114"/>
      <c r="X222" s="114"/>
      <c r="Y222" s="114"/>
      <c r="Z222" s="114"/>
      <c r="AA222" s="114"/>
      <c r="AB222" s="114"/>
      <c r="AC222" s="114"/>
      <c r="AD222" s="114"/>
      <c r="AE222" s="114"/>
      <c r="AF222" s="114"/>
      <c r="AG222" s="114"/>
      <c r="AH222" s="114"/>
      <c r="AI222" s="114"/>
      <c r="AJ222" s="114"/>
      <c r="AK222" s="114"/>
      <c r="AL222" s="114"/>
      <c r="AM222" s="114"/>
      <c r="AN222" s="114"/>
      <c r="AO222" s="114"/>
      <c r="AP222" s="114"/>
      <c r="AQ222" s="114"/>
      <c r="AR222" s="114"/>
      <c r="AS222" s="114"/>
      <c r="AT222" s="114"/>
      <c r="AU222" s="114"/>
      <c r="AV222" s="114"/>
      <c r="AW222" s="114"/>
      <c r="AX222" s="114"/>
      <c r="AY222" s="114"/>
      <c r="AZ222" s="114"/>
      <c r="BA222" s="114"/>
      <c r="BB222" s="114"/>
      <c r="BC222" s="114"/>
      <c r="BD222" s="114"/>
      <c r="BE222" s="114"/>
      <c r="BF222" s="114"/>
      <c r="BG222" s="114"/>
      <c r="BH222" s="114"/>
      <c r="BI222" s="114"/>
    </row>
    <row r="223" spans="1:123" ht="7.4" customHeight="1" x14ac:dyDescent="0.5">
      <c r="A223" s="114"/>
      <c r="B223" s="114"/>
      <c r="C223" s="114"/>
      <c r="D223" s="114"/>
      <c r="E223" s="114"/>
      <c r="F223" s="114"/>
      <c r="G223" s="114"/>
      <c r="H223" s="114"/>
      <c r="I223" s="114"/>
      <c r="J223" s="114"/>
      <c r="K223" s="114"/>
      <c r="L223" s="114"/>
      <c r="M223" s="114"/>
      <c r="N223" s="114"/>
      <c r="O223" s="114"/>
      <c r="P223" s="114"/>
      <c r="Q223" s="114"/>
      <c r="R223" s="114"/>
      <c r="S223" s="114"/>
      <c r="T223" s="114"/>
      <c r="U223" s="114"/>
      <c r="V223" s="114"/>
      <c r="W223" s="114"/>
      <c r="X223" s="114"/>
      <c r="Y223" s="114"/>
      <c r="Z223" s="114"/>
      <c r="AA223" s="114"/>
      <c r="AB223" s="114"/>
      <c r="AC223" s="114"/>
      <c r="AD223" s="114"/>
      <c r="AE223" s="114"/>
      <c r="AF223" s="114"/>
      <c r="AG223" s="114"/>
      <c r="AH223" s="114"/>
      <c r="AI223" s="114"/>
      <c r="AJ223" s="114"/>
      <c r="AK223" s="114"/>
      <c r="AL223" s="114"/>
      <c r="AM223" s="114"/>
      <c r="AN223" s="114"/>
      <c r="AO223" s="114"/>
      <c r="AP223" s="114"/>
      <c r="AQ223" s="114"/>
      <c r="AR223" s="114"/>
      <c r="AS223" s="114"/>
      <c r="AT223" s="114"/>
      <c r="AU223" s="114"/>
      <c r="AV223" s="114"/>
      <c r="AW223" s="114"/>
      <c r="AX223" s="114"/>
      <c r="AY223" s="114"/>
      <c r="AZ223" s="114"/>
      <c r="BA223" s="114"/>
      <c r="BB223" s="114"/>
      <c r="BC223" s="114"/>
      <c r="BD223" s="114"/>
      <c r="BE223" s="114"/>
      <c r="BF223" s="114"/>
      <c r="BG223" s="114"/>
      <c r="BH223" s="114"/>
      <c r="BI223" s="114"/>
    </row>
    <row r="224" spans="1:123" ht="7.4" customHeight="1" x14ac:dyDescent="0.5">
      <c r="A224" s="114"/>
      <c r="B224" s="114"/>
      <c r="C224" s="114"/>
      <c r="D224" s="114"/>
      <c r="E224" s="114"/>
      <c r="F224" s="114"/>
      <c r="G224" s="114"/>
      <c r="H224" s="114"/>
      <c r="I224" s="114"/>
      <c r="J224" s="114"/>
      <c r="K224" s="114"/>
      <c r="L224" s="114"/>
      <c r="M224" s="114"/>
      <c r="N224" s="114"/>
      <c r="O224" s="114"/>
      <c r="P224" s="114"/>
      <c r="Q224" s="114"/>
      <c r="R224" s="114"/>
      <c r="S224" s="114"/>
      <c r="T224" s="114"/>
      <c r="U224" s="114"/>
      <c r="V224" s="114"/>
      <c r="W224" s="114"/>
      <c r="X224" s="114"/>
      <c r="Y224" s="114"/>
      <c r="Z224" s="114"/>
      <c r="AA224" s="114"/>
      <c r="AB224" s="114"/>
      <c r="AC224" s="114"/>
      <c r="AD224" s="114"/>
      <c r="AE224" s="114"/>
      <c r="AF224" s="114"/>
      <c r="AG224" s="114"/>
      <c r="AH224" s="114"/>
      <c r="AI224" s="114"/>
      <c r="AJ224" s="114"/>
      <c r="AK224" s="114"/>
      <c r="AL224" s="114"/>
      <c r="AM224" s="114"/>
      <c r="AN224" s="114"/>
      <c r="AO224" s="114"/>
      <c r="AP224" s="114"/>
      <c r="AQ224" s="114"/>
      <c r="AR224" s="114"/>
      <c r="AS224" s="114"/>
      <c r="AT224" s="114"/>
      <c r="AU224" s="114"/>
      <c r="AV224" s="114"/>
      <c r="AW224" s="114"/>
      <c r="AX224" s="114"/>
      <c r="AY224" s="114"/>
      <c r="AZ224" s="114"/>
      <c r="BA224" s="114"/>
      <c r="BB224" s="114"/>
      <c r="BC224" s="114"/>
      <c r="BD224" s="114"/>
      <c r="BE224" s="114"/>
      <c r="BF224" s="114"/>
      <c r="BG224" s="114"/>
      <c r="BH224" s="114"/>
      <c r="BI224" s="114"/>
    </row>
    <row r="225" spans="1:61" ht="7.4" customHeight="1" x14ac:dyDescent="0.5">
      <c r="A225" s="114"/>
      <c r="B225" s="114"/>
      <c r="C225" s="114"/>
      <c r="D225" s="114"/>
      <c r="E225" s="114"/>
      <c r="F225" s="114"/>
      <c r="G225" s="114"/>
      <c r="H225" s="114"/>
      <c r="I225" s="114"/>
      <c r="J225" s="114"/>
      <c r="K225" s="114"/>
      <c r="L225" s="114"/>
      <c r="M225" s="114"/>
      <c r="N225" s="114"/>
      <c r="O225" s="114"/>
      <c r="P225" s="114"/>
      <c r="Q225" s="114"/>
      <c r="R225" s="114"/>
      <c r="S225" s="114"/>
      <c r="T225" s="114"/>
      <c r="U225" s="114"/>
      <c r="V225" s="114"/>
      <c r="W225" s="114"/>
      <c r="X225" s="114"/>
      <c r="Y225" s="114"/>
      <c r="Z225" s="114"/>
      <c r="AA225" s="114"/>
      <c r="AB225" s="114"/>
      <c r="AC225" s="114"/>
      <c r="AD225" s="114"/>
      <c r="AE225" s="114"/>
      <c r="AF225" s="114"/>
      <c r="AG225" s="114"/>
      <c r="AH225" s="114"/>
      <c r="AI225" s="114"/>
      <c r="AJ225" s="114"/>
      <c r="AK225" s="114"/>
      <c r="AL225" s="114"/>
      <c r="AM225" s="114"/>
      <c r="AN225" s="114"/>
      <c r="AO225" s="114"/>
      <c r="AP225" s="114"/>
      <c r="AQ225" s="114"/>
      <c r="AR225" s="114"/>
      <c r="AS225" s="114"/>
      <c r="AT225" s="114"/>
      <c r="AU225" s="114"/>
      <c r="AV225" s="114"/>
      <c r="AW225" s="114"/>
      <c r="AX225" s="114"/>
      <c r="AY225" s="114"/>
      <c r="AZ225" s="114"/>
      <c r="BA225" s="114"/>
      <c r="BB225" s="114"/>
      <c r="BC225" s="114"/>
      <c r="BD225" s="114"/>
      <c r="BE225" s="114"/>
      <c r="BF225" s="114"/>
      <c r="BG225" s="114"/>
      <c r="BH225" s="114"/>
      <c r="BI225" s="114"/>
    </row>
    <row r="226" spans="1:61" ht="7.4" customHeight="1" x14ac:dyDescent="0.5">
      <c r="A226" s="114"/>
      <c r="B226" s="114"/>
      <c r="C226" s="114"/>
      <c r="D226" s="114"/>
      <c r="E226" s="114"/>
      <c r="F226" s="114"/>
      <c r="G226" s="114"/>
      <c r="H226" s="114"/>
      <c r="I226" s="114"/>
      <c r="J226" s="114"/>
      <c r="K226" s="114"/>
      <c r="L226" s="114"/>
      <c r="M226" s="114"/>
      <c r="N226" s="114"/>
      <c r="O226" s="114"/>
      <c r="P226" s="114"/>
      <c r="Q226" s="114"/>
      <c r="R226" s="114"/>
      <c r="S226" s="114"/>
      <c r="T226" s="114"/>
      <c r="U226" s="114"/>
      <c r="V226" s="114"/>
      <c r="W226" s="114"/>
      <c r="X226" s="114"/>
      <c r="Y226" s="114"/>
      <c r="Z226" s="114"/>
      <c r="AA226" s="114"/>
      <c r="AB226" s="114"/>
      <c r="AC226" s="114"/>
      <c r="AD226" s="114"/>
      <c r="AE226" s="114"/>
      <c r="AF226" s="114"/>
      <c r="AG226" s="114"/>
      <c r="AH226" s="114"/>
      <c r="AI226" s="114"/>
      <c r="AJ226" s="114"/>
      <c r="AK226" s="114"/>
      <c r="AL226" s="114"/>
      <c r="AM226" s="114"/>
      <c r="AN226" s="114"/>
      <c r="AO226" s="114"/>
      <c r="AP226" s="114"/>
      <c r="AQ226" s="114"/>
      <c r="AR226" s="114"/>
      <c r="AS226" s="114"/>
      <c r="AT226" s="114"/>
      <c r="AU226" s="114"/>
      <c r="AV226" s="114"/>
      <c r="AW226" s="114"/>
      <c r="AX226" s="114"/>
      <c r="AY226" s="114"/>
      <c r="AZ226" s="114"/>
      <c r="BA226" s="114"/>
      <c r="BB226" s="114"/>
      <c r="BC226" s="114"/>
      <c r="BD226" s="114"/>
      <c r="BE226" s="114"/>
      <c r="BF226" s="114"/>
      <c r="BG226" s="114"/>
      <c r="BH226" s="114"/>
      <c r="BI226" s="114"/>
    </row>
    <row r="227" spans="1:61" ht="7.4" customHeight="1" x14ac:dyDescent="0.5">
      <c r="A227" s="114"/>
      <c r="B227" s="114"/>
      <c r="C227" s="114"/>
      <c r="D227" s="114"/>
      <c r="E227" s="114"/>
      <c r="F227" s="114"/>
      <c r="G227" s="114"/>
      <c r="H227" s="114"/>
      <c r="I227" s="114"/>
      <c r="J227" s="114"/>
      <c r="K227" s="114"/>
      <c r="L227" s="114"/>
      <c r="M227" s="114"/>
      <c r="N227" s="114"/>
      <c r="O227" s="114"/>
      <c r="P227" s="114"/>
      <c r="Q227" s="114"/>
      <c r="R227" s="114"/>
      <c r="S227" s="114"/>
      <c r="T227" s="114"/>
      <c r="U227" s="114"/>
      <c r="V227" s="114"/>
      <c r="W227" s="114"/>
      <c r="X227" s="114"/>
      <c r="Y227" s="114"/>
      <c r="Z227" s="114"/>
      <c r="AA227" s="114"/>
      <c r="AB227" s="114"/>
      <c r="AC227" s="114"/>
      <c r="AD227" s="114"/>
      <c r="AE227" s="114"/>
      <c r="AF227" s="114"/>
      <c r="AG227" s="114"/>
      <c r="AH227" s="114"/>
      <c r="AI227" s="114"/>
      <c r="AJ227" s="114"/>
      <c r="AK227" s="114"/>
      <c r="AL227" s="114"/>
      <c r="AM227" s="114"/>
      <c r="AN227" s="114"/>
      <c r="AO227" s="114"/>
      <c r="AP227" s="114"/>
      <c r="AQ227" s="114"/>
      <c r="AR227" s="114"/>
      <c r="AS227" s="114"/>
      <c r="AT227" s="114"/>
      <c r="AU227" s="114"/>
      <c r="AV227" s="114"/>
      <c r="AW227" s="114"/>
      <c r="AX227" s="114"/>
      <c r="AY227" s="114"/>
      <c r="AZ227" s="114"/>
      <c r="BA227" s="114"/>
      <c r="BB227" s="114"/>
      <c r="BC227" s="114"/>
      <c r="BD227" s="114"/>
      <c r="BE227" s="114"/>
      <c r="BF227" s="114"/>
      <c r="BG227" s="114"/>
      <c r="BH227" s="114"/>
      <c r="BI227" s="114"/>
    </row>
    <row r="228" spans="1:61" ht="7.4" customHeight="1" x14ac:dyDescent="0.5">
      <c r="A228" s="114"/>
      <c r="B228" s="114"/>
      <c r="C228" s="114"/>
      <c r="D228" s="114"/>
      <c r="E228" s="114"/>
      <c r="F228" s="114"/>
      <c r="G228" s="114"/>
      <c r="H228" s="114"/>
      <c r="I228" s="114"/>
      <c r="J228" s="114"/>
      <c r="K228" s="114"/>
      <c r="L228" s="114"/>
      <c r="M228" s="114"/>
      <c r="N228" s="114"/>
      <c r="O228" s="114"/>
      <c r="P228" s="114"/>
      <c r="Q228" s="114"/>
      <c r="R228" s="114"/>
      <c r="S228" s="114"/>
      <c r="T228" s="114"/>
      <c r="U228" s="114"/>
      <c r="V228" s="114"/>
      <c r="W228" s="114"/>
      <c r="X228" s="114"/>
      <c r="Y228" s="114"/>
      <c r="Z228" s="114"/>
      <c r="AA228" s="114"/>
      <c r="AB228" s="114"/>
      <c r="AC228" s="114"/>
      <c r="AD228" s="114"/>
      <c r="AE228" s="114"/>
      <c r="AF228" s="114"/>
      <c r="AG228" s="114"/>
      <c r="AH228" s="114"/>
      <c r="AI228" s="114"/>
      <c r="AJ228" s="114"/>
      <c r="AK228" s="114"/>
      <c r="AL228" s="114"/>
      <c r="AM228" s="114"/>
      <c r="AN228" s="114"/>
      <c r="AO228" s="114"/>
      <c r="AP228" s="114"/>
      <c r="AQ228" s="114"/>
      <c r="AR228" s="114"/>
      <c r="AS228" s="114"/>
      <c r="AT228" s="114"/>
      <c r="AU228" s="114"/>
      <c r="AV228" s="114"/>
      <c r="AW228" s="114"/>
      <c r="AX228" s="114"/>
      <c r="AY228" s="114"/>
      <c r="AZ228" s="114"/>
      <c r="BA228" s="114"/>
      <c r="BB228" s="114"/>
      <c r="BC228" s="114"/>
      <c r="BD228" s="114"/>
      <c r="BE228" s="114"/>
      <c r="BF228" s="114"/>
      <c r="BG228" s="114"/>
      <c r="BH228" s="114"/>
      <c r="BI228" s="114"/>
    </row>
    <row r="229" spans="1:61" ht="7.4" customHeight="1" x14ac:dyDescent="0.5">
      <c r="A229" s="114"/>
      <c r="B229" s="114"/>
      <c r="C229" s="114"/>
      <c r="D229" s="114"/>
      <c r="E229" s="114"/>
      <c r="F229" s="114"/>
      <c r="G229" s="114"/>
      <c r="H229" s="114"/>
      <c r="I229" s="114"/>
      <c r="J229" s="114"/>
      <c r="K229" s="114"/>
      <c r="L229" s="114"/>
      <c r="M229" s="114"/>
      <c r="N229" s="114"/>
      <c r="O229" s="114"/>
      <c r="P229" s="114"/>
      <c r="Q229" s="114"/>
      <c r="R229" s="114"/>
      <c r="S229" s="114"/>
      <c r="T229" s="114"/>
      <c r="U229" s="114"/>
      <c r="V229" s="114"/>
      <c r="W229" s="114"/>
      <c r="X229" s="114"/>
      <c r="Y229" s="114"/>
      <c r="Z229" s="114"/>
      <c r="AA229" s="114"/>
      <c r="AB229" s="114"/>
      <c r="AC229" s="114"/>
      <c r="AD229" s="114"/>
      <c r="AE229" s="114"/>
      <c r="AF229" s="114"/>
      <c r="AG229" s="114"/>
      <c r="AH229" s="114"/>
      <c r="AI229" s="114"/>
      <c r="AJ229" s="114"/>
      <c r="AK229" s="114"/>
      <c r="AL229" s="114"/>
      <c r="AM229" s="114"/>
      <c r="AN229" s="114"/>
      <c r="AO229" s="114"/>
      <c r="AP229" s="114"/>
      <c r="AQ229" s="114"/>
      <c r="AR229" s="114"/>
      <c r="AS229" s="114"/>
      <c r="AT229" s="114"/>
      <c r="AU229" s="114"/>
      <c r="AV229" s="114"/>
      <c r="AW229" s="114"/>
      <c r="AX229" s="114"/>
      <c r="AY229" s="114"/>
      <c r="AZ229" s="114"/>
      <c r="BA229" s="114"/>
      <c r="BB229" s="114"/>
      <c r="BC229" s="114"/>
      <c r="BD229" s="114"/>
      <c r="BE229" s="114"/>
      <c r="BF229" s="114"/>
      <c r="BG229" s="114"/>
      <c r="BH229" s="114"/>
      <c r="BI229" s="114"/>
    </row>
    <row r="230" spans="1:61" ht="7.4" customHeight="1" x14ac:dyDescent="0.5">
      <c r="A230" s="114"/>
      <c r="B230" s="114"/>
      <c r="C230" s="114"/>
      <c r="D230" s="114"/>
      <c r="E230" s="114"/>
      <c r="F230" s="114"/>
      <c r="G230" s="114"/>
      <c r="H230" s="114"/>
      <c r="I230" s="114"/>
      <c r="J230" s="114"/>
      <c r="K230" s="114"/>
      <c r="L230" s="114"/>
      <c r="M230" s="114"/>
      <c r="N230" s="114"/>
      <c r="O230" s="114"/>
      <c r="P230" s="114"/>
      <c r="Q230" s="114"/>
      <c r="R230" s="114"/>
      <c r="S230" s="114"/>
      <c r="T230" s="114"/>
      <c r="U230" s="114"/>
      <c r="V230" s="114"/>
      <c r="W230" s="114"/>
      <c r="X230" s="114"/>
      <c r="Y230" s="114"/>
      <c r="Z230" s="114"/>
      <c r="AA230" s="114"/>
      <c r="AB230" s="114"/>
      <c r="AC230" s="114"/>
      <c r="AD230" s="114"/>
      <c r="AE230" s="114"/>
      <c r="AF230" s="114"/>
      <c r="AG230" s="114"/>
      <c r="AH230" s="114"/>
      <c r="AI230" s="114"/>
      <c r="AJ230" s="114"/>
      <c r="AK230" s="114"/>
      <c r="AL230" s="114"/>
      <c r="AM230" s="114"/>
      <c r="AN230" s="114"/>
      <c r="AO230" s="114"/>
      <c r="AP230" s="114"/>
      <c r="AQ230" s="114"/>
      <c r="AR230" s="114"/>
      <c r="AS230" s="114"/>
      <c r="AT230" s="114"/>
      <c r="AU230" s="114"/>
      <c r="AV230" s="114"/>
      <c r="AW230" s="114"/>
      <c r="AX230" s="114"/>
      <c r="AY230" s="114"/>
      <c r="AZ230" s="114"/>
      <c r="BA230" s="114"/>
      <c r="BB230" s="114"/>
      <c r="BC230" s="114"/>
      <c r="BD230" s="114"/>
      <c r="BE230" s="114"/>
      <c r="BF230" s="114"/>
      <c r="BG230" s="114"/>
      <c r="BH230" s="114"/>
      <c r="BI230" s="114"/>
    </row>
    <row r="231" spans="1:61" ht="7.4" customHeight="1" x14ac:dyDescent="0.5">
      <c r="A231" s="114"/>
      <c r="B231" s="114"/>
      <c r="C231" s="114"/>
      <c r="D231" s="114"/>
      <c r="E231" s="114"/>
      <c r="F231" s="114"/>
      <c r="G231" s="114"/>
      <c r="H231" s="114"/>
      <c r="I231" s="114"/>
      <c r="J231" s="114"/>
      <c r="K231" s="114"/>
      <c r="L231" s="114"/>
      <c r="M231" s="114"/>
      <c r="N231" s="114"/>
      <c r="O231" s="114"/>
      <c r="P231" s="114"/>
      <c r="Q231" s="114"/>
      <c r="R231" s="114"/>
      <c r="S231" s="114"/>
      <c r="T231" s="114"/>
      <c r="U231" s="114"/>
      <c r="V231" s="114"/>
      <c r="W231" s="114"/>
      <c r="X231" s="114"/>
      <c r="Y231" s="114"/>
      <c r="Z231" s="114"/>
      <c r="AA231" s="114"/>
      <c r="AB231" s="114"/>
      <c r="AC231" s="114"/>
      <c r="AD231" s="114"/>
      <c r="AE231" s="114"/>
      <c r="AF231" s="114"/>
      <c r="AG231" s="114"/>
      <c r="AH231" s="114"/>
      <c r="AI231" s="114"/>
      <c r="AJ231" s="114"/>
      <c r="AK231" s="114"/>
      <c r="AL231" s="114"/>
      <c r="AM231" s="114"/>
      <c r="AN231" s="114"/>
      <c r="AO231" s="114"/>
      <c r="AP231" s="114"/>
      <c r="AQ231" s="114"/>
      <c r="AR231" s="114"/>
      <c r="AS231" s="114"/>
      <c r="AT231" s="114"/>
      <c r="AU231" s="114"/>
      <c r="AV231" s="114"/>
      <c r="AW231" s="114"/>
      <c r="AX231" s="114"/>
      <c r="AY231" s="114"/>
      <c r="AZ231" s="114"/>
      <c r="BA231" s="114"/>
      <c r="BB231" s="114"/>
      <c r="BC231" s="114"/>
      <c r="BD231" s="114"/>
      <c r="BE231" s="114"/>
      <c r="BF231" s="114"/>
      <c r="BG231" s="114"/>
      <c r="BH231" s="114"/>
      <c r="BI231" s="114"/>
    </row>
    <row r="232" spans="1:61" ht="7.4" customHeight="1" x14ac:dyDescent="0.5">
      <c r="A232" s="114"/>
      <c r="B232" s="114"/>
      <c r="C232" s="114"/>
      <c r="D232" s="114"/>
      <c r="E232" s="114"/>
      <c r="F232" s="114"/>
      <c r="G232" s="114"/>
      <c r="H232" s="114"/>
      <c r="I232" s="114"/>
      <c r="J232" s="114"/>
      <c r="K232" s="114"/>
      <c r="L232" s="114"/>
      <c r="M232" s="114"/>
      <c r="N232" s="114"/>
      <c r="O232" s="114"/>
      <c r="P232" s="114"/>
      <c r="Q232" s="114"/>
      <c r="R232" s="114"/>
      <c r="S232" s="114"/>
      <c r="T232" s="114"/>
      <c r="U232" s="114"/>
      <c r="V232" s="114"/>
      <c r="W232" s="114"/>
      <c r="X232" s="114"/>
      <c r="Y232" s="114"/>
      <c r="Z232" s="114"/>
      <c r="AA232" s="114"/>
      <c r="AB232" s="114"/>
      <c r="AC232" s="114"/>
      <c r="AD232" s="114"/>
      <c r="AE232" s="114"/>
      <c r="AF232" s="114"/>
      <c r="AG232" s="114"/>
      <c r="AH232" s="114"/>
      <c r="AI232" s="114"/>
      <c r="AJ232" s="114"/>
      <c r="AK232" s="114"/>
      <c r="AL232" s="114"/>
      <c r="AM232" s="114"/>
      <c r="AN232" s="114"/>
      <c r="AO232" s="114"/>
      <c r="AP232" s="114"/>
      <c r="AQ232" s="114"/>
      <c r="AR232" s="114"/>
      <c r="AS232" s="114"/>
      <c r="AT232" s="114"/>
      <c r="AU232" s="114"/>
      <c r="AV232" s="114"/>
      <c r="AW232" s="114"/>
      <c r="AX232" s="114"/>
      <c r="AY232" s="114"/>
      <c r="AZ232" s="114"/>
      <c r="BA232" s="114"/>
      <c r="BB232" s="114"/>
      <c r="BC232" s="114"/>
      <c r="BD232" s="114"/>
      <c r="BE232" s="114"/>
      <c r="BF232" s="114"/>
      <c r="BG232" s="114"/>
      <c r="BH232" s="114"/>
      <c r="BI232" s="114"/>
    </row>
    <row r="233" spans="1:61" ht="7.4" customHeight="1" x14ac:dyDescent="0.5">
      <c r="A233" s="114"/>
      <c r="B233" s="114"/>
      <c r="C233" s="114"/>
      <c r="D233" s="114"/>
      <c r="E233" s="114"/>
      <c r="F233" s="114"/>
      <c r="G233" s="114"/>
      <c r="H233" s="114"/>
      <c r="I233" s="114"/>
      <c r="J233" s="114"/>
      <c r="K233" s="114"/>
      <c r="L233" s="114"/>
      <c r="M233" s="114"/>
      <c r="N233" s="114"/>
      <c r="O233" s="114"/>
      <c r="P233" s="114"/>
      <c r="Q233" s="114"/>
      <c r="R233" s="114"/>
      <c r="S233" s="114"/>
      <c r="T233" s="114"/>
      <c r="U233" s="114"/>
      <c r="V233" s="114"/>
      <c r="W233" s="114"/>
      <c r="X233" s="114"/>
      <c r="Y233" s="114"/>
      <c r="Z233" s="114"/>
      <c r="AA233" s="114"/>
      <c r="AB233" s="114"/>
      <c r="AC233" s="114"/>
      <c r="AD233" s="114"/>
      <c r="AE233" s="114"/>
      <c r="AF233" s="114"/>
      <c r="AG233" s="114"/>
      <c r="AH233" s="114"/>
      <c r="AI233" s="114"/>
      <c r="AJ233" s="114"/>
      <c r="AK233" s="114"/>
      <c r="AL233" s="114"/>
      <c r="AM233" s="114"/>
      <c r="AN233" s="114"/>
      <c r="AO233" s="114"/>
      <c r="AP233" s="114"/>
      <c r="AQ233" s="114"/>
      <c r="AR233" s="114"/>
      <c r="AS233" s="114"/>
      <c r="AT233" s="114"/>
      <c r="AU233" s="114"/>
      <c r="AV233" s="114"/>
      <c r="AW233" s="114"/>
      <c r="AX233" s="114"/>
      <c r="AY233" s="114"/>
      <c r="AZ233" s="114"/>
      <c r="BA233" s="114"/>
      <c r="BB233" s="114"/>
      <c r="BC233" s="114"/>
      <c r="BD233" s="114"/>
      <c r="BE233" s="114"/>
      <c r="BF233" s="114"/>
      <c r="BG233" s="114"/>
      <c r="BH233" s="114"/>
      <c r="BI233" s="114"/>
    </row>
    <row r="234" spans="1:61" ht="7.4" customHeight="1" x14ac:dyDescent="0.5">
      <c r="A234" s="114"/>
      <c r="B234" s="114"/>
      <c r="C234" s="114"/>
      <c r="D234" s="114"/>
      <c r="E234" s="114"/>
      <c r="F234" s="114"/>
      <c r="G234" s="114"/>
      <c r="H234" s="114"/>
      <c r="I234" s="114"/>
      <c r="J234" s="114"/>
      <c r="K234" s="114"/>
      <c r="L234" s="114"/>
      <c r="M234" s="114"/>
      <c r="N234" s="114"/>
      <c r="O234" s="114"/>
      <c r="P234" s="114"/>
      <c r="Q234" s="114"/>
      <c r="R234" s="114"/>
      <c r="S234" s="114"/>
      <c r="T234" s="114"/>
      <c r="U234" s="114"/>
      <c r="V234" s="114"/>
      <c r="W234" s="114"/>
      <c r="X234" s="114"/>
      <c r="Y234" s="114"/>
      <c r="Z234" s="114"/>
      <c r="AA234" s="114"/>
      <c r="AB234" s="114"/>
      <c r="AC234" s="114"/>
      <c r="AD234" s="114"/>
      <c r="AE234" s="114"/>
      <c r="AF234" s="114"/>
      <c r="AG234" s="114"/>
      <c r="AH234" s="114"/>
      <c r="AI234" s="114"/>
      <c r="AJ234" s="114"/>
      <c r="AK234" s="114"/>
      <c r="AL234" s="114"/>
      <c r="AM234" s="114"/>
      <c r="AN234" s="114"/>
      <c r="AO234" s="114"/>
      <c r="AP234" s="114"/>
      <c r="AQ234" s="114"/>
      <c r="AR234" s="114"/>
      <c r="AS234" s="114"/>
      <c r="AT234" s="114"/>
      <c r="AU234" s="114"/>
      <c r="AV234" s="114"/>
      <c r="AW234" s="114"/>
      <c r="AX234" s="114"/>
      <c r="AY234" s="114"/>
      <c r="AZ234" s="114"/>
      <c r="BA234" s="114"/>
      <c r="BB234" s="114"/>
      <c r="BC234" s="114"/>
      <c r="BD234" s="114"/>
      <c r="BE234" s="114"/>
      <c r="BF234" s="114"/>
      <c r="BG234" s="114"/>
      <c r="BH234" s="114"/>
      <c r="BI234" s="114"/>
    </row>
    <row r="235" spans="1:61" ht="7.4" customHeight="1" x14ac:dyDescent="0.5">
      <c r="A235" s="114"/>
      <c r="B235" s="114"/>
      <c r="C235" s="114"/>
      <c r="D235" s="114"/>
      <c r="E235" s="114"/>
      <c r="F235" s="114"/>
      <c r="G235" s="114"/>
      <c r="H235" s="114"/>
      <c r="I235" s="114"/>
      <c r="J235" s="114"/>
      <c r="K235" s="114"/>
      <c r="L235" s="114"/>
      <c r="M235" s="114"/>
      <c r="N235" s="114"/>
      <c r="O235" s="114"/>
      <c r="P235" s="114"/>
      <c r="Q235" s="114"/>
      <c r="R235" s="114"/>
      <c r="S235" s="114"/>
      <c r="T235" s="114"/>
      <c r="U235" s="114"/>
      <c r="V235" s="114"/>
      <c r="W235" s="114"/>
      <c r="X235" s="114"/>
      <c r="Y235" s="114"/>
      <c r="Z235" s="114"/>
      <c r="AA235" s="114"/>
      <c r="AB235" s="114"/>
      <c r="AC235" s="114"/>
      <c r="AD235" s="114"/>
      <c r="AE235" s="114"/>
      <c r="AF235" s="114"/>
      <c r="AG235" s="114"/>
      <c r="AH235" s="114"/>
      <c r="AI235" s="114"/>
      <c r="AJ235" s="114"/>
      <c r="AK235" s="114"/>
      <c r="AL235" s="114"/>
      <c r="AM235" s="114"/>
      <c r="AN235" s="114"/>
      <c r="AO235" s="114"/>
      <c r="AP235" s="114"/>
      <c r="AQ235" s="114"/>
      <c r="AR235" s="114"/>
      <c r="AS235" s="114"/>
      <c r="AT235" s="114"/>
      <c r="AU235" s="114"/>
      <c r="AV235" s="114"/>
      <c r="AW235" s="114"/>
      <c r="AX235" s="114"/>
      <c r="AY235" s="114"/>
      <c r="AZ235" s="114"/>
      <c r="BA235" s="114"/>
      <c r="BB235" s="114"/>
      <c r="BC235" s="114"/>
      <c r="BD235" s="114"/>
      <c r="BE235" s="114"/>
      <c r="BF235" s="114"/>
      <c r="BG235" s="114"/>
      <c r="BH235" s="114"/>
      <c r="BI235" s="114"/>
    </row>
    <row r="236" spans="1:61" ht="7.4" customHeight="1" x14ac:dyDescent="0.5">
      <c r="A236" s="114"/>
      <c r="B236" s="114"/>
      <c r="C236" s="114"/>
      <c r="D236" s="114"/>
      <c r="E236" s="114"/>
      <c r="F236" s="114"/>
      <c r="G236" s="114"/>
      <c r="H236" s="114"/>
      <c r="I236" s="114"/>
      <c r="J236" s="114"/>
      <c r="K236" s="114"/>
      <c r="L236" s="114"/>
      <c r="M236" s="114"/>
      <c r="N236" s="114"/>
      <c r="O236" s="114"/>
      <c r="P236" s="114"/>
      <c r="Q236" s="114"/>
      <c r="R236" s="114"/>
      <c r="S236" s="114"/>
      <c r="T236" s="114"/>
      <c r="U236" s="114"/>
      <c r="V236" s="114"/>
      <c r="W236" s="114"/>
      <c r="X236" s="114"/>
      <c r="Y236" s="114"/>
      <c r="Z236" s="114"/>
      <c r="AA236" s="114"/>
      <c r="AB236" s="114"/>
      <c r="AC236" s="114"/>
      <c r="AD236" s="114"/>
      <c r="AE236" s="114"/>
      <c r="AF236" s="114"/>
      <c r="AG236" s="114"/>
      <c r="AH236" s="114"/>
      <c r="AI236" s="114"/>
      <c r="AJ236" s="114"/>
      <c r="AK236" s="114"/>
      <c r="AL236" s="114"/>
      <c r="AM236" s="114"/>
      <c r="AN236" s="114"/>
      <c r="AO236" s="114"/>
      <c r="AP236" s="114"/>
      <c r="AQ236" s="114"/>
      <c r="AR236" s="114"/>
      <c r="AS236" s="114"/>
      <c r="AT236" s="114"/>
      <c r="AU236" s="114"/>
      <c r="AV236" s="114"/>
      <c r="AW236" s="114"/>
      <c r="AX236" s="114"/>
      <c r="AY236" s="114"/>
      <c r="AZ236" s="114"/>
      <c r="BA236" s="114"/>
      <c r="BB236" s="114"/>
      <c r="BC236" s="114"/>
      <c r="BD236" s="114"/>
      <c r="BE236" s="114"/>
      <c r="BF236" s="114"/>
      <c r="BG236" s="114"/>
      <c r="BH236" s="114"/>
      <c r="BI236" s="114"/>
    </row>
    <row r="237" spans="1:61" ht="7.4" customHeight="1" x14ac:dyDescent="0.5">
      <c r="A237" s="114"/>
      <c r="B237" s="114"/>
      <c r="C237" s="114"/>
      <c r="D237" s="114"/>
      <c r="E237" s="114"/>
      <c r="F237" s="114"/>
      <c r="G237" s="114"/>
      <c r="H237" s="114"/>
      <c r="I237" s="114"/>
      <c r="J237" s="114"/>
      <c r="K237" s="114"/>
      <c r="L237" s="114"/>
      <c r="M237" s="114"/>
      <c r="N237" s="114"/>
      <c r="O237" s="114"/>
      <c r="P237" s="114"/>
      <c r="Q237" s="114"/>
      <c r="R237" s="114"/>
      <c r="S237" s="114"/>
      <c r="T237" s="114"/>
      <c r="U237" s="114"/>
      <c r="V237" s="114"/>
      <c r="W237" s="114"/>
      <c r="X237" s="114"/>
      <c r="Y237" s="114"/>
      <c r="Z237" s="114"/>
      <c r="AA237" s="114"/>
      <c r="AB237" s="114"/>
      <c r="AC237" s="114"/>
      <c r="AD237" s="114"/>
      <c r="AE237" s="114"/>
      <c r="AF237" s="114"/>
      <c r="AG237" s="114"/>
      <c r="AH237" s="114"/>
      <c r="AI237" s="114"/>
      <c r="AJ237" s="114"/>
      <c r="AK237" s="114"/>
      <c r="AL237" s="114"/>
      <c r="AM237" s="114"/>
      <c r="AN237" s="114"/>
      <c r="AO237" s="114"/>
      <c r="AP237" s="114"/>
      <c r="AQ237" s="114"/>
      <c r="AR237" s="114"/>
      <c r="AS237" s="114"/>
      <c r="AT237" s="114"/>
      <c r="AU237" s="114"/>
      <c r="AV237" s="114"/>
      <c r="AW237" s="114"/>
      <c r="AX237" s="114"/>
      <c r="AY237" s="114"/>
      <c r="AZ237" s="114"/>
      <c r="BA237" s="114"/>
      <c r="BB237" s="114"/>
      <c r="BC237" s="114"/>
      <c r="BD237" s="114"/>
      <c r="BE237" s="114"/>
      <c r="BF237" s="114"/>
      <c r="BG237" s="114"/>
      <c r="BH237" s="114"/>
      <c r="BI237" s="114"/>
    </row>
    <row r="238" spans="1:61" ht="7.4" customHeight="1" x14ac:dyDescent="0.5">
      <c r="A238" s="114"/>
      <c r="B238" s="114"/>
      <c r="C238" s="114"/>
      <c r="D238" s="114"/>
      <c r="E238" s="114"/>
      <c r="F238" s="114"/>
      <c r="G238" s="114"/>
      <c r="H238" s="114"/>
      <c r="I238" s="114"/>
      <c r="J238" s="114"/>
      <c r="K238" s="114"/>
      <c r="L238" s="114"/>
      <c r="M238" s="114"/>
      <c r="N238" s="114"/>
      <c r="O238" s="114"/>
      <c r="P238" s="114"/>
      <c r="Q238" s="114"/>
      <c r="R238" s="114"/>
      <c r="S238" s="114"/>
      <c r="T238" s="114"/>
      <c r="U238" s="114"/>
      <c r="V238" s="114"/>
      <c r="W238" s="114"/>
      <c r="X238" s="114"/>
      <c r="Y238" s="114"/>
      <c r="Z238" s="114"/>
      <c r="AA238" s="114"/>
      <c r="AB238" s="114"/>
      <c r="AC238" s="114"/>
      <c r="AD238" s="114"/>
      <c r="AE238" s="114"/>
      <c r="AF238" s="114"/>
      <c r="AG238" s="114"/>
      <c r="AH238" s="114"/>
      <c r="AI238" s="114"/>
      <c r="AJ238" s="114"/>
      <c r="AK238" s="114"/>
      <c r="AL238" s="114"/>
      <c r="AM238" s="114"/>
      <c r="AN238" s="114"/>
      <c r="AO238" s="114"/>
      <c r="AP238" s="114"/>
      <c r="AQ238" s="114"/>
      <c r="AR238" s="114"/>
      <c r="AS238" s="114"/>
      <c r="AT238" s="114"/>
      <c r="AU238" s="114"/>
      <c r="AV238" s="114"/>
      <c r="AW238" s="114"/>
      <c r="AX238" s="114"/>
      <c r="AY238" s="114"/>
      <c r="AZ238" s="114"/>
      <c r="BA238" s="114"/>
      <c r="BB238" s="114"/>
      <c r="BC238" s="114"/>
      <c r="BD238" s="114"/>
      <c r="BE238" s="114"/>
      <c r="BF238" s="114"/>
      <c r="BG238" s="114"/>
      <c r="BH238" s="114"/>
      <c r="BI238" s="114"/>
    </row>
    <row r="239" spans="1:61" ht="7.4" customHeight="1" x14ac:dyDescent="0.5">
      <c r="A239" s="114"/>
      <c r="B239" s="114"/>
      <c r="C239" s="114"/>
      <c r="D239" s="114"/>
      <c r="E239" s="114"/>
      <c r="F239" s="114"/>
      <c r="G239" s="114"/>
      <c r="H239" s="114"/>
      <c r="I239" s="114"/>
      <c r="J239" s="114"/>
      <c r="K239" s="114"/>
      <c r="L239" s="114"/>
      <c r="M239" s="114"/>
      <c r="N239" s="114"/>
      <c r="O239" s="114"/>
      <c r="P239" s="114"/>
      <c r="Q239" s="114"/>
      <c r="R239" s="114"/>
      <c r="S239" s="114"/>
      <c r="T239" s="114"/>
      <c r="U239" s="114"/>
      <c r="V239" s="114"/>
      <c r="W239" s="114"/>
      <c r="X239" s="114"/>
      <c r="Y239" s="114"/>
      <c r="Z239" s="114"/>
      <c r="AA239" s="114"/>
      <c r="AB239" s="114"/>
      <c r="AC239" s="114"/>
      <c r="AD239" s="114"/>
      <c r="AE239" s="114"/>
      <c r="AF239" s="114"/>
      <c r="AG239" s="114"/>
      <c r="AH239" s="114"/>
      <c r="AI239" s="114"/>
      <c r="AJ239" s="114"/>
      <c r="AK239" s="114"/>
      <c r="AL239" s="114"/>
      <c r="AM239" s="114"/>
      <c r="AN239" s="114"/>
      <c r="AO239" s="114"/>
      <c r="AP239" s="114"/>
      <c r="AQ239" s="114"/>
      <c r="AR239" s="114"/>
      <c r="AS239" s="114"/>
      <c r="AT239" s="114"/>
      <c r="AU239" s="114"/>
      <c r="AV239" s="114"/>
      <c r="AW239" s="114"/>
      <c r="AX239" s="114"/>
      <c r="AY239" s="114"/>
      <c r="AZ239" s="114"/>
      <c r="BA239" s="114"/>
      <c r="BB239" s="114"/>
      <c r="BC239" s="114"/>
      <c r="BD239" s="114"/>
      <c r="BE239" s="114"/>
      <c r="BF239" s="114"/>
      <c r="BG239" s="114"/>
      <c r="BH239" s="114"/>
      <c r="BI239" s="114"/>
    </row>
    <row r="240" spans="1:61" ht="7.4" customHeight="1" x14ac:dyDescent="0.5">
      <c r="A240" s="114"/>
      <c r="B240" s="114"/>
      <c r="C240" s="114"/>
      <c r="D240" s="114"/>
      <c r="E240" s="114"/>
      <c r="F240" s="114"/>
      <c r="G240" s="114"/>
      <c r="H240" s="114"/>
      <c r="I240" s="114"/>
      <c r="J240" s="114"/>
      <c r="K240" s="114"/>
      <c r="L240" s="114"/>
      <c r="M240" s="114"/>
      <c r="N240" s="114"/>
      <c r="O240" s="114"/>
      <c r="P240" s="114"/>
      <c r="Q240" s="114"/>
      <c r="R240" s="114"/>
      <c r="S240" s="114"/>
      <c r="T240" s="114"/>
      <c r="U240" s="114"/>
      <c r="V240" s="114"/>
      <c r="W240" s="114"/>
      <c r="X240" s="114"/>
      <c r="Y240" s="114"/>
      <c r="Z240" s="114"/>
      <c r="AA240" s="114"/>
      <c r="AB240" s="114"/>
      <c r="AC240" s="114"/>
      <c r="AD240" s="114"/>
      <c r="AE240" s="114"/>
      <c r="AF240" s="114"/>
      <c r="AG240" s="114"/>
      <c r="AH240" s="114"/>
      <c r="AI240" s="114"/>
      <c r="AJ240" s="114"/>
      <c r="AK240" s="114"/>
      <c r="AL240" s="114"/>
      <c r="AM240" s="114"/>
      <c r="AN240" s="114"/>
      <c r="AO240" s="114"/>
      <c r="AP240" s="114"/>
      <c r="AQ240" s="114"/>
      <c r="AR240" s="114"/>
      <c r="AS240" s="114"/>
      <c r="AT240" s="114"/>
      <c r="AU240" s="114"/>
      <c r="AV240" s="114"/>
      <c r="AW240" s="114"/>
      <c r="AX240" s="114"/>
      <c r="AY240" s="114"/>
      <c r="AZ240" s="114"/>
      <c r="BA240" s="114"/>
      <c r="BB240" s="114"/>
      <c r="BC240" s="114"/>
      <c r="BD240" s="114"/>
      <c r="BE240" s="114"/>
      <c r="BF240" s="114"/>
      <c r="BG240" s="114"/>
      <c r="BH240" s="114"/>
      <c r="BI240" s="114"/>
    </row>
    <row r="241" spans="1:61" ht="7.4" customHeight="1" x14ac:dyDescent="0.5">
      <c r="A241" s="114"/>
      <c r="B241" s="114"/>
      <c r="C241" s="114"/>
      <c r="D241" s="114"/>
      <c r="E241" s="114"/>
      <c r="F241" s="114"/>
      <c r="G241" s="114"/>
      <c r="H241" s="114"/>
      <c r="I241" s="114"/>
      <c r="J241" s="114"/>
      <c r="K241" s="114"/>
      <c r="L241" s="114"/>
      <c r="M241" s="114"/>
      <c r="N241" s="114"/>
      <c r="O241" s="114"/>
      <c r="P241" s="114"/>
      <c r="Q241" s="114"/>
      <c r="R241" s="114"/>
      <c r="S241" s="114"/>
      <c r="T241" s="114"/>
      <c r="U241" s="114"/>
      <c r="V241" s="114"/>
      <c r="W241" s="114"/>
      <c r="X241" s="114"/>
      <c r="Y241" s="114"/>
      <c r="Z241" s="114"/>
      <c r="AA241" s="114"/>
      <c r="AB241" s="114"/>
      <c r="AC241" s="114"/>
      <c r="AD241" s="114"/>
      <c r="AE241" s="114"/>
      <c r="AF241" s="114"/>
      <c r="AG241" s="114"/>
      <c r="AH241" s="114"/>
      <c r="AI241" s="114"/>
      <c r="AJ241" s="114"/>
      <c r="AK241" s="114"/>
      <c r="AL241" s="114"/>
      <c r="AM241" s="114"/>
      <c r="AN241" s="114"/>
      <c r="AO241" s="114"/>
      <c r="AP241" s="114"/>
      <c r="AQ241" s="114"/>
      <c r="AR241" s="114"/>
      <c r="AS241" s="114"/>
      <c r="AT241" s="114"/>
      <c r="AU241" s="114"/>
      <c r="AV241" s="114"/>
      <c r="AW241" s="114"/>
      <c r="AX241" s="114"/>
      <c r="AY241" s="114"/>
      <c r="AZ241" s="114"/>
      <c r="BA241" s="114"/>
      <c r="BB241" s="114"/>
      <c r="BC241" s="114"/>
      <c r="BD241" s="114"/>
      <c r="BE241" s="114"/>
      <c r="BF241" s="114"/>
      <c r="BG241" s="114"/>
      <c r="BH241" s="114"/>
      <c r="BI241" s="114"/>
    </row>
    <row r="242" spans="1:61" ht="7.4" customHeight="1" x14ac:dyDescent="0.5">
      <c r="A242" s="114"/>
      <c r="B242" s="114"/>
      <c r="C242" s="114"/>
      <c r="D242" s="114"/>
      <c r="E242" s="114"/>
      <c r="F242" s="114"/>
      <c r="G242" s="114"/>
      <c r="H242" s="114"/>
      <c r="I242" s="114"/>
      <c r="J242" s="114"/>
      <c r="K242" s="114"/>
      <c r="L242" s="114"/>
      <c r="M242" s="114"/>
      <c r="N242" s="114"/>
      <c r="O242" s="114"/>
      <c r="P242" s="114"/>
      <c r="Q242" s="114"/>
      <c r="R242" s="114"/>
      <c r="S242" s="114"/>
      <c r="T242" s="114"/>
      <c r="U242" s="114"/>
      <c r="V242" s="114"/>
      <c r="W242" s="114"/>
      <c r="X242" s="114"/>
      <c r="Y242" s="114"/>
      <c r="Z242" s="114"/>
      <c r="AA242" s="114"/>
      <c r="AB242" s="114"/>
      <c r="AC242" s="114"/>
      <c r="AD242" s="114"/>
      <c r="AE242" s="114"/>
      <c r="AF242" s="114"/>
      <c r="AG242" s="114"/>
      <c r="AH242" s="114"/>
      <c r="AI242" s="114"/>
      <c r="AJ242" s="114"/>
      <c r="AK242" s="114"/>
      <c r="AL242" s="114"/>
      <c r="AM242" s="114"/>
      <c r="AN242" s="114"/>
      <c r="AO242" s="114"/>
      <c r="AP242" s="114"/>
      <c r="AQ242" s="114"/>
      <c r="AR242" s="114"/>
      <c r="AS242" s="114"/>
      <c r="AT242" s="114"/>
      <c r="AU242" s="114"/>
      <c r="AV242" s="114"/>
      <c r="AW242" s="114"/>
      <c r="AX242" s="114"/>
      <c r="AY242" s="114"/>
      <c r="AZ242" s="114"/>
      <c r="BA242" s="114"/>
      <c r="BB242" s="114"/>
      <c r="BC242" s="114"/>
      <c r="BD242" s="114"/>
      <c r="BE242" s="114"/>
      <c r="BF242" s="114"/>
      <c r="BG242" s="114"/>
      <c r="BH242" s="114"/>
      <c r="BI242" s="114"/>
    </row>
    <row r="243" spans="1:61" ht="7.4" customHeight="1" x14ac:dyDescent="0.5">
      <c r="A243" s="114"/>
      <c r="B243" s="114"/>
      <c r="C243" s="114"/>
      <c r="D243" s="114"/>
      <c r="E243" s="114"/>
      <c r="F243" s="114"/>
      <c r="G243" s="114"/>
      <c r="H243" s="114"/>
      <c r="I243" s="114"/>
      <c r="J243" s="114"/>
      <c r="K243" s="114"/>
      <c r="L243" s="114"/>
      <c r="M243" s="114"/>
      <c r="N243" s="114"/>
      <c r="O243" s="114"/>
      <c r="P243" s="114"/>
      <c r="Q243" s="114"/>
      <c r="R243" s="114"/>
      <c r="S243" s="114"/>
      <c r="T243" s="114"/>
      <c r="U243" s="114"/>
      <c r="V243" s="114"/>
      <c r="W243" s="114"/>
      <c r="X243" s="114"/>
      <c r="Y243" s="114"/>
      <c r="Z243" s="114"/>
      <c r="AA243" s="114"/>
      <c r="AB243" s="114"/>
      <c r="AC243" s="114"/>
      <c r="AD243" s="114"/>
      <c r="AE243" s="114"/>
      <c r="AF243" s="114"/>
      <c r="AG243" s="114"/>
      <c r="AH243" s="114"/>
      <c r="AI243" s="114"/>
      <c r="AJ243" s="114"/>
      <c r="AK243" s="114"/>
      <c r="AL243" s="114"/>
      <c r="AM243" s="114"/>
      <c r="AN243" s="114"/>
      <c r="AO243" s="114"/>
      <c r="AP243" s="114"/>
      <c r="AQ243" s="114"/>
      <c r="AR243" s="114"/>
      <c r="AS243" s="114"/>
      <c r="AT243" s="114"/>
      <c r="AU243" s="114"/>
      <c r="AV243" s="114"/>
      <c r="AW243" s="114"/>
      <c r="AX243" s="114"/>
      <c r="AY243" s="114"/>
      <c r="AZ243" s="114"/>
      <c r="BA243" s="114"/>
      <c r="BB243" s="114"/>
      <c r="BC243" s="114"/>
      <c r="BD243" s="114"/>
      <c r="BE243" s="114"/>
      <c r="BF243" s="114"/>
      <c r="BG243" s="114"/>
      <c r="BH243" s="114"/>
      <c r="BI243" s="114"/>
    </row>
    <row r="244" spans="1:61" ht="7.4" customHeight="1" x14ac:dyDescent="0.5">
      <c r="A244" s="114"/>
      <c r="B244" s="114"/>
      <c r="C244" s="114"/>
      <c r="D244" s="114"/>
      <c r="E244" s="114"/>
      <c r="F244" s="114"/>
      <c r="G244" s="114"/>
      <c r="H244" s="114"/>
      <c r="I244" s="114"/>
      <c r="J244" s="114"/>
      <c r="K244" s="114"/>
      <c r="L244" s="114"/>
      <c r="M244" s="114"/>
      <c r="N244" s="114"/>
      <c r="O244" s="114"/>
      <c r="P244" s="114"/>
      <c r="Q244" s="114"/>
      <c r="R244" s="114"/>
      <c r="S244" s="114"/>
      <c r="T244" s="114"/>
      <c r="U244" s="114"/>
      <c r="V244" s="114"/>
      <c r="W244" s="114"/>
      <c r="X244" s="114"/>
      <c r="Y244" s="114"/>
      <c r="Z244" s="114"/>
      <c r="AA244" s="114"/>
      <c r="AB244" s="114"/>
      <c r="AC244" s="114"/>
      <c r="AD244" s="114"/>
      <c r="AE244" s="114"/>
      <c r="AF244" s="114"/>
      <c r="AG244" s="114"/>
      <c r="AH244" s="114"/>
      <c r="AI244" s="114"/>
      <c r="AJ244" s="114"/>
      <c r="AK244" s="114"/>
      <c r="AL244" s="114"/>
      <c r="AM244" s="114"/>
      <c r="AN244" s="114"/>
      <c r="AO244" s="114"/>
      <c r="AP244" s="114"/>
      <c r="AQ244" s="114"/>
      <c r="AR244" s="114"/>
      <c r="AS244" s="114"/>
      <c r="AT244" s="114"/>
      <c r="AU244" s="114"/>
      <c r="AV244" s="114"/>
      <c r="AW244" s="114"/>
      <c r="AX244" s="114"/>
      <c r="AY244" s="114"/>
      <c r="AZ244" s="114"/>
      <c r="BA244" s="114"/>
      <c r="BB244" s="114"/>
      <c r="BC244" s="114"/>
      <c r="BD244" s="114"/>
      <c r="BE244" s="114"/>
      <c r="BF244" s="114"/>
      <c r="BG244" s="114"/>
      <c r="BH244" s="114"/>
      <c r="BI244" s="114"/>
    </row>
    <row r="245" spans="1:61" ht="7.4" customHeight="1" x14ac:dyDescent="0.5">
      <c r="A245" s="114"/>
      <c r="B245" s="114"/>
      <c r="C245" s="114"/>
      <c r="D245" s="114"/>
      <c r="E245" s="114"/>
      <c r="F245" s="114"/>
      <c r="G245" s="114"/>
      <c r="H245" s="114"/>
      <c r="I245" s="114"/>
      <c r="J245" s="114"/>
      <c r="K245" s="114"/>
      <c r="L245" s="114"/>
      <c r="M245" s="114"/>
      <c r="N245" s="114"/>
      <c r="O245" s="114"/>
      <c r="P245" s="114"/>
      <c r="Q245" s="114"/>
      <c r="R245" s="114"/>
      <c r="S245" s="114"/>
      <c r="T245" s="114"/>
      <c r="U245" s="114"/>
      <c r="V245" s="114"/>
      <c r="W245" s="114"/>
      <c r="X245" s="114"/>
      <c r="Y245" s="114"/>
      <c r="Z245" s="114"/>
      <c r="AA245" s="114"/>
      <c r="AB245" s="114"/>
      <c r="AC245" s="114"/>
      <c r="AD245" s="114"/>
      <c r="AE245" s="114"/>
      <c r="AF245" s="114"/>
      <c r="AG245" s="114"/>
      <c r="AH245" s="114"/>
      <c r="AI245" s="114"/>
      <c r="AJ245" s="114"/>
      <c r="AK245" s="114"/>
      <c r="AL245" s="114"/>
      <c r="AM245" s="114"/>
      <c r="AN245" s="114"/>
      <c r="AO245" s="114"/>
      <c r="AP245" s="114"/>
      <c r="AQ245" s="114"/>
      <c r="AR245" s="114"/>
      <c r="AS245" s="114"/>
      <c r="AT245" s="114"/>
      <c r="AU245" s="114"/>
      <c r="AV245" s="114"/>
      <c r="AW245" s="114"/>
      <c r="AX245" s="114"/>
      <c r="AY245" s="114"/>
      <c r="AZ245" s="114"/>
      <c r="BA245" s="114"/>
      <c r="BB245" s="114"/>
      <c r="BC245" s="114"/>
      <c r="BD245" s="114"/>
      <c r="BE245" s="114"/>
      <c r="BF245" s="114"/>
      <c r="BG245" s="114"/>
      <c r="BH245" s="114"/>
      <c r="BI245" s="114"/>
    </row>
    <row r="246" spans="1:61" ht="7.4" customHeight="1" x14ac:dyDescent="0.5">
      <c r="A246" s="114"/>
      <c r="B246" s="114"/>
      <c r="C246" s="114"/>
      <c r="D246" s="114"/>
      <c r="E246" s="114"/>
      <c r="F246" s="114"/>
      <c r="G246" s="114"/>
      <c r="H246" s="114"/>
      <c r="I246" s="114"/>
      <c r="J246" s="114"/>
      <c r="K246" s="114"/>
      <c r="L246" s="114"/>
      <c r="M246" s="114"/>
      <c r="N246" s="114"/>
      <c r="O246" s="114"/>
      <c r="P246" s="114"/>
      <c r="Q246" s="114"/>
      <c r="R246" s="114"/>
      <c r="S246" s="114"/>
      <c r="T246" s="114"/>
      <c r="U246" s="114"/>
      <c r="V246" s="114"/>
      <c r="W246" s="114"/>
      <c r="X246" s="114"/>
      <c r="Y246" s="114"/>
      <c r="Z246" s="114"/>
      <c r="AA246" s="114"/>
      <c r="AB246" s="114"/>
      <c r="AC246" s="114"/>
      <c r="AD246" s="114"/>
      <c r="AE246" s="114"/>
      <c r="AF246" s="114"/>
      <c r="AG246" s="114"/>
      <c r="AH246" s="114"/>
      <c r="AI246" s="114"/>
      <c r="AJ246" s="114"/>
      <c r="AK246" s="114"/>
      <c r="AL246" s="114"/>
      <c r="AM246" s="114"/>
      <c r="AN246" s="114"/>
      <c r="AO246" s="114"/>
      <c r="AP246" s="114"/>
      <c r="AQ246" s="114"/>
      <c r="AR246" s="114"/>
      <c r="AS246" s="114"/>
      <c r="AT246" s="114"/>
      <c r="AU246" s="114"/>
      <c r="AV246" s="114"/>
      <c r="AW246" s="114"/>
      <c r="AX246" s="114"/>
      <c r="AY246" s="114"/>
      <c r="AZ246" s="114"/>
      <c r="BA246" s="114"/>
      <c r="BB246" s="114"/>
      <c r="BC246" s="114"/>
      <c r="BD246" s="114"/>
      <c r="BE246" s="114"/>
      <c r="BF246" s="114"/>
      <c r="BG246" s="114"/>
      <c r="BH246" s="114"/>
      <c r="BI246" s="114"/>
    </row>
    <row r="247" spans="1:61" ht="7.4" customHeight="1" x14ac:dyDescent="0.5">
      <c r="A247" s="114"/>
      <c r="B247" s="114"/>
      <c r="C247" s="114"/>
      <c r="D247" s="114"/>
      <c r="E247" s="114"/>
      <c r="F247" s="114"/>
      <c r="G247" s="114"/>
      <c r="H247" s="114"/>
      <c r="I247" s="114"/>
      <c r="J247" s="114"/>
      <c r="K247" s="114"/>
      <c r="L247" s="114"/>
      <c r="M247" s="114"/>
      <c r="N247" s="114"/>
      <c r="O247" s="114"/>
      <c r="P247" s="114"/>
      <c r="Q247" s="114"/>
      <c r="R247" s="114"/>
      <c r="S247" s="114"/>
      <c r="T247" s="114"/>
      <c r="U247" s="114"/>
      <c r="V247" s="114"/>
      <c r="W247" s="114"/>
      <c r="X247" s="114"/>
      <c r="Y247" s="114"/>
      <c r="Z247" s="114"/>
      <c r="AA247" s="114"/>
      <c r="AB247" s="114"/>
      <c r="AC247" s="114"/>
      <c r="AD247" s="114"/>
      <c r="AE247" s="114"/>
      <c r="AF247" s="114"/>
      <c r="AG247" s="114"/>
      <c r="AH247" s="114"/>
      <c r="AI247" s="114"/>
      <c r="AJ247" s="114"/>
      <c r="AK247" s="114"/>
      <c r="AL247" s="114"/>
      <c r="AM247" s="114"/>
      <c r="AN247" s="114"/>
      <c r="AO247" s="114"/>
      <c r="AP247" s="114"/>
      <c r="AQ247" s="114"/>
      <c r="AR247" s="114"/>
      <c r="AS247" s="114"/>
      <c r="AT247" s="114"/>
      <c r="AU247" s="114"/>
      <c r="AV247" s="114"/>
      <c r="AW247" s="114"/>
      <c r="AX247" s="114"/>
      <c r="AY247" s="114"/>
      <c r="AZ247" s="114"/>
      <c r="BA247" s="114"/>
      <c r="BB247" s="114"/>
      <c r="BC247" s="114"/>
      <c r="BD247" s="114"/>
      <c r="BE247" s="114"/>
      <c r="BF247" s="114"/>
      <c r="BG247" s="114"/>
      <c r="BH247" s="114"/>
      <c r="BI247" s="114"/>
    </row>
    <row r="248" spans="1:61" ht="7.4" customHeight="1" x14ac:dyDescent="0.5">
      <c r="A248" s="114"/>
      <c r="B248" s="114"/>
      <c r="C248" s="114"/>
      <c r="D248" s="114"/>
      <c r="E248" s="114"/>
      <c r="F248" s="114"/>
      <c r="G248" s="114"/>
      <c r="H248" s="114"/>
      <c r="I248" s="114"/>
      <c r="J248" s="114"/>
      <c r="K248" s="114"/>
      <c r="L248" s="114"/>
      <c r="M248" s="114"/>
      <c r="N248" s="114"/>
      <c r="O248" s="114"/>
      <c r="P248" s="114"/>
      <c r="Q248" s="114"/>
      <c r="R248" s="114"/>
      <c r="S248" s="114"/>
      <c r="T248" s="114"/>
      <c r="U248" s="114"/>
      <c r="V248" s="114"/>
      <c r="W248" s="114"/>
      <c r="X248" s="114"/>
      <c r="Y248" s="114"/>
      <c r="Z248" s="114"/>
      <c r="AA248" s="114"/>
      <c r="AB248" s="114"/>
      <c r="AC248" s="114"/>
      <c r="AD248" s="114"/>
      <c r="AE248" s="114"/>
      <c r="AF248" s="114"/>
      <c r="AG248" s="114"/>
      <c r="AH248" s="114"/>
      <c r="AI248" s="114"/>
      <c r="AJ248" s="114"/>
      <c r="AK248" s="114"/>
      <c r="AL248" s="114"/>
      <c r="AM248" s="114"/>
      <c r="AN248" s="114"/>
      <c r="AO248" s="114"/>
      <c r="AP248" s="114"/>
      <c r="AQ248" s="114"/>
      <c r="AR248" s="114"/>
      <c r="AS248" s="114"/>
      <c r="AT248" s="114"/>
      <c r="AU248" s="114"/>
      <c r="AV248" s="114"/>
      <c r="AW248" s="114"/>
      <c r="AX248" s="114"/>
      <c r="AY248" s="114"/>
      <c r="AZ248" s="114"/>
      <c r="BA248" s="114"/>
      <c r="BB248" s="114"/>
      <c r="BC248" s="114"/>
      <c r="BD248" s="114"/>
      <c r="BE248" s="114"/>
      <c r="BF248" s="114"/>
      <c r="BG248" s="114"/>
      <c r="BH248" s="114"/>
      <c r="BI248" s="114"/>
    </row>
    <row r="249" spans="1:61" ht="7.4" customHeight="1" x14ac:dyDescent="0.5">
      <c r="A249" s="114"/>
      <c r="B249" s="114"/>
      <c r="C249" s="114"/>
      <c r="D249" s="114"/>
      <c r="E249" s="114"/>
      <c r="F249" s="114"/>
      <c r="G249" s="114"/>
      <c r="H249" s="114"/>
      <c r="I249" s="114"/>
      <c r="J249" s="114"/>
      <c r="K249" s="114"/>
      <c r="L249" s="114"/>
      <c r="M249" s="114"/>
      <c r="N249" s="114"/>
      <c r="O249" s="114"/>
      <c r="P249" s="114"/>
      <c r="Q249" s="114"/>
      <c r="R249" s="114"/>
      <c r="S249" s="114"/>
      <c r="T249" s="114"/>
      <c r="U249" s="114"/>
      <c r="V249" s="114"/>
      <c r="W249" s="114"/>
      <c r="X249" s="114"/>
      <c r="Y249" s="114"/>
      <c r="Z249" s="114"/>
      <c r="AA249" s="114"/>
      <c r="AB249" s="114"/>
      <c r="AC249" s="114"/>
      <c r="AD249" s="114"/>
      <c r="AE249" s="114"/>
      <c r="AF249" s="114"/>
      <c r="AG249" s="114"/>
      <c r="AH249" s="114"/>
      <c r="AI249" s="114"/>
      <c r="AJ249" s="114"/>
      <c r="AK249" s="114"/>
      <c r="AL249" s="114"/>
      <c r="AM249" s="114"/>
      <c r="AN249" s="114"/>
      <c r="AO249" s="114"/>
      <c r="AP249" s="114"/>
      <c r="AQ249" s="114"/>
      <c r="AR249" s="114"/>
      <c r="AS249" s="114"/>
      <c r="AT249" s="114"/>
      <c r="AU249" s="114"/>
      <c r="AV249" s="114"/>
      <c r="AW249" s="114"/>
      <c r="AX249" s="114"/>
      <c r="AY249" s="114"/>
      <c r="AZ249" s="114"/>
      <c r="BA249" s="114"/>
      <c r="BB249" s="114"/>
      <c r="BC249" s="114"/>
      <c r="BD249" s="114"/>
      <c r="BE249" s="114"/>
      <c r="BF249" s="114"/>
      <c r="BG249" s="114"/>
      <c r="BH249" s="114"/>
      <c r="BI249" s="114"/>
    </row>
    <row r="250" spans="1:61" ht="7.4" customHeight="1" x14ac:dyDescent="0.5">
      <c r="A250" s="114"/>
      <c r="B250" s="114"/>
      <c r="C250" s="114"/>
      <c r="D250" s="114"/>
      <c r="E250" s="114"/>
      <c r="F250" s="114"/>
      <c r="G250" s="114"/>
      <c r="H250" s="114"/>
      <c r="I250" s="114"/>
      <c r="J250" s="114"/>
      <c r="K250" s="114"/>
      <c r="L250" s="114"/>
      <c r="M250" s="114"/>
      <c r="N250" s="114"/>
      <c r="O250" s="114"/>
      <c r="P250" s="114"/>
      <c r="Q250" s="114"/>
      <c r="R250" s="114"/>
      <c r="S250" s="114"/>
      <c r="T250" s="114"/>
      <c r="U250" s="114"/>
      <c r="V250" s="114"/>
      <c r="W250" s="114"/>
      <c r="X250" s="114"/>
      <c r="Y250" s="114"/>
      <c r="Z250" s="114"/>
      <c r="AA250" s="114"/>
      <c r="AB250" s="114"/>
      <c r="AC250" s="114"/>
      <c r="AD250" s="114"/>
      <c r="AE250" s="114"/>
      <c r="AF250" s="114"/>
      <c r="AG250" s="114"/>
      <c r="AH250" s="114"/>
      <c r="AI250" s="114"/>
      <c r="AJ250" s="114"/>
      <c r="AK250" s="114"/>
      <c r="AL250" s="114"/>
      <c r="AM250" s="114"/>
      <c r="AN250" s="114"/>
      <c r="AO250" s="114"/>
      <c r="AP250" s="114"/>
      <c r="AQ250" s="114"/>
      <c r="AR250" s="114"/>
      <c r="AS250" s="114"/>
      <c r="AT250" s="114"/>
      <c r="AU250" s="114"/>
      <c r="AV250" s="114"/>
      <c r="AW250" s="114"/>
      <c r="AX250" s="114"/>
      <c r="AY250" s="114"/>
      <c r="AZ250" s="114"/>
      <c r="BA250" s="114"/>
      <c r="BB250" s="114"/>
      <c r="BC250" s="114"/>
      <c r="BD250" s="114"/>
      <c r="BE250" s="114"/>
      <c r="BF250" s="114"/>
      <c r="BG250" s="114"/>
      <c r="BH250" s="114"/>
      <c r="BI250" s="114"/>
    </row>
    <row r="251" spans="1:61" ht="7.4" customHeight="1" x14ac:dyDescent="0.5">
      <c r="A251" s="114"/>
      <c r="B251" s="114"/>
      <c r="C251" s="114"/>
      <c r="D251" s="114"/>
      <c r="E251" s="114"/>
      <c r="F251" s="114"/>
      <c r="G251" s="114"/>
      <c r="H251" s="114"/>
      <c r="I251" s="114"/>
      <c r="J251" s="114"/>
      <c r="K251" s="114"/>
      <c r="L251" s="114"/>
      <c r="M251" s="114"/>
      <c r="N251" s="114"/>
      <c r="O251" s="114"/>
      <c r="P251" s="114"/>
      <c r="Q251" s="114"/>
      <c r="R251" s="114"/>
      <c r="S251" s="114"/>
      <c r="T251" s="114"/>
      <c r="U251" s="114"/>
      <c r="V251" s="114"/>
      <c r="W251" s="114"/>
      <c r="X251" s="114"/>
      <c r="Y251" s="114"/>
      <c r="Z251" s="114"/>
      <c r="AA251" s="114"/>
      <c r="AB251" s="114"/>
      <c r="AC251" s="114"/>
      <c r="AD251" s="114"/>
      <c r="AE251" s="114"/>
      <c r="AF251" s="114"/>
      <c r="AG251" s="114"/>
      <c r="AH251" s="114"/>
      <c r="AI251" s="114"/>
      <c r="AJ251" s="114"/>
      <c r="AK251" s="114"/>
      <c r="AL251" s="114"/>
      <c r="AM251" s="114"/>
      <c r="AN251" s="114"/>
      <c r="AO251" s="114"/>
      <c r="AP251" s="114"/>
      <c r="AQ251" s="114"/>
      <c r="AR251" s="114"/>
      <c r="AS251" s="114"/>
      <c r="AT251" s="114"/>
      <c r="AU251" s="114"/>
      <c r="AV251" s="114"/>
      <c r="AW251" s="114"/>
      <c r="AX251" s="114"/>
      <c r="AY251" s="114"/>
      <c r="AZ251" s="114"/>
      <c r="BA251" s="114"/>
      <c r="BB251" s="114"/>
      <c r="BC251" s="114"/>
      <c r="BD251" s="114"/>
      <c r="BE251" s="114"/>
      <c r="BF251" s="114"/>
      <c r="BG251" s="114"/>
      <c r="BH251" s="114"/>
      <c r="BI251" s="114"/>
    </row>
    <row r="252" spans="1:61" ht="7.4" customHeight="1" x14ac:dyDescent="0.5">
      <c r="A252" s="114"/>
      <c r="B252" s="114"/>
      <c r="C252" s="114"/>
      <c r="D252" s="114"/>
      <c r="E252" s="114"/>
      <c r="F252" s="114"/>
      <c r="G252" s="114"/>
      <c r="H252" s="114"/>
      <c r="I252" s="114"/>
      <c r="J252" s="114"/>
      <c r="K252" s="114"/>
      <c r="L252" s="114"/>
      <c r="M252" s="114"/>
      <c r="N252" s="114"/>
      <c r="O252" s="114"/>
      <c r="P252" s="114"/>
      <c r="Q252" s="114"/>
      <c r="R252" s="114"/>
      <c r="S252" s="114"/>
      <c r="T252" s="114"/>
      <c r="U252" s="114"/>
      <c r="V252" s="114"/>
      <c r="W252" s="114"/>
      <c r="X252" s="114"/>
      <c r="Y252" s="114"/>
      <c r="Z252" s="114"/>
      <c r="AA252" s="114"/>
      <c r="AB252" s="114"/>
      <c r="AC252" s="114"/>
      <c r="AD252" s="114"/>
      <c r="AE252" s="114"/>
      <c r="AF252" s="114"/>
      <c r="AG252" s="114"/>
      <c r="AH252" s="114"/>
      <c r="AI252" s="114"/>
      <c r="AJ252" s="114"/>
      <c r="AK252" s="114"/>
      <c r="AL252" s="114"/>
      <c r="AM252" s="114"/>
      <c r="AN252" s="114"/>
      <c r="AO252" s="114"/>
      <c r="AP252" s="114"/>
      <c r="AQ252" s="114"/>
      <c r="AR252" s="114"/>
      <c r="AS252" s="114"/>
      <c r="AT252" s="114"/>
      <c r="AU252" s="114"/>
      <c r="AV252" s="114"/>
      <c r="AW252" s="114"/>
      <c r="AX252" s="114"/>
      <c r="AY252" s="114"/>
      <c r="AZ252" s="114"/>
      <c r="BA252" s="114"/>
      <c r="BB252" s="114"/>
      <c r="BC252" s="114"/>
      <c r="BD252" s="114"/>
      <c r="BE252" s="114"/>
      <c r="BF252" s="114"/>
      <c r="BG252" s="114"/>
      <c r="BH252" s="114"/>
      <c r="BI252" s="114"/>
    </row>
    <row r="253" spans="1:61" ht="7.4" customHeight="1" x14ac:dyDescent="0.5">
      <c r="A253" s="114"/>
      <c r="B253" s="114"/>
      <c r="C253" s="114"/>
      <c r="D253" s="114"/>
      <c r="E253" s="114"/>
      <c r="F253" s="114"/>
      <c r="G253" s="114"/>
      <c r="H253" s="114"/>
      <c r="I253" s="114"/>
      <c r="J253" s="114"/>
      <c r="K253" s="114"/>
      <c r="L253" s="114"/>
      <c r="M253" s="114"/>
      <c r="N253" s="114"/>
      <c r="O253" s="114"/>
      <c r="P253" s="114"/>
      <c r="Q253" s="114"/>
      <c r="R253" s="114"/>
      <c r="S253" s="114"/>
      <c r="T253" s="114"/>
      <c r="U253" s="114"/>
      <c r="V253" s="114"/>
      <c r="W253" s="114"/>
      <c r="X253" s="114"/>
      <c r="Y253" s="114"/>
      <c r="Z253" s="114"/>
      <c r="AA253" s="114"/>
      <c r="AB253" s="114"/>
      <c r="AC253" s="114"/>
      <c r="AD253" s="114"/>
      <c r="AE253" s="114"/>
      <c r="AF253" s="114"/>
      <c r="AG253" s="114"/>
      <c r="AH253" s="114"/>
      <c r="AI253" s="114"/>
      <c r="AJ253" s="114"/>
      <c r="AK253" s="114"/>
      <c r="AL253" s="114"/>
      <c r="AM253" s="114"/>
      <c r="AN253" s="114"/>
      <c r="AO253" s="114"/>
      <c r="AP253" s="114"/>
      <c r="AQ253" s="114"/>
      <c r="AR253" s="114"/>
      <c r="AS253" s="114"/>
      <c r="AT253" s="114"/>
      <c r="AU253" s="114"/>
      <c r="AV253" s="114"/>
      <c r="AW253" s="114"/>
      <c r="AX253" s="114"/>
      <c r="AY253" s="114"/>
      <c r="AZ253" s="114"/>
      <c r="BA253" s="114"/>
      <c r="BB253" s="114"/>
      <c r="BC253" s="114"/>
      <c r="BD253" s="114"/>
      <c r="BE253" s="114"/>
      <c r="BF253" s="114"/>
      <c r="BG253" s="114"/>
      <c r="BH253" s="114"/>
      <c r="BI253" s="114"/>
    </row>
    <row r="254" spans="1:61" ht="7.4" customHeight="1" x14ac:dyDescent="0.5">
      <c r="A254" s="114"/>
      <c r="B254" s="114"/>
      <c r="C254" s="114"/>
      <c r="D254" s="114"/>
      <c r="E254" s="114"/>
      <c r="F254" s="114"/>
      <c r="G254" s="114"/>
      <c r="H254" s="114"/>
      <c r="I254" s="114"/>
      <c r="J254" s="114"/>
      <c r="K254" s="114"/>
      <c r="L254" s="114"/>
      <c r="M254" s="114"/>
      <c r="N254" s="114"/>
      <c r="O254" s="114"/>
      <c r="P254" s="114"/>
      <c r="Q254" s="114"/>
      <c r="R254" s="114"/>
      <c r="S254" s="114"/>
      <c r="T254" s="114"/>
      <c r="U254" s="114"/>
      <c r="V254" s="114"/>
      <c r="W254" s="114"/>
      <c r="X254" s="114"/>
      <c r="Y254" s="114"/>
      <c r="Z254" s="114"/>
      <c r="AA254" s="114"/>
      <c r="AB254" s="114"/>
      <c r="AC254" s="114"/>
      <c r="AD254" s="114"/>
      <c r="AE254" s="114"/>
      <c r="AF254" s="114"/>
      <c r="AG254" s="114"/>
      <c r="AH254" s="114"/>
      <c r="AI254" s="114"/>
      <c r="AJ254" s="114"/>
      <c r="AK254" s="114"/>
      <c r="AL254" s="114"/>
      <c r="AM254" s="114"/>
      <c r="AN254" s="114"/>
      <c r="AO254" s="114"/>
      <c r="AP254" s="114"/>
      <c r="AQ254" s="114"/>
      <c r="AR254" s="114"/>
      <c r="AS254" s="114"/>
      <c r="AT254" s="114"/>
      <c r="AU254" s="114"/>
      <c r="AV254" s="114"/>
      <c r="AW254" s="114"/>
      <c r="AX254" s="114"/>
      <c r="AY254" s="114"/>
      <c r="AZ254" s="114"/>
      <c r="BA254" s="114"/>
      <c r="BB254" s="114"/>
      <c r="BC254" s="114"/>
      <c r="BD254" s="114"/>
      <c r="BE254" s="114"/>
      <c r="BF254" s="114"/>
      <c r="BG254" s="114"/>
      <c r="BH254" s="114"/>
      <c r="BI254" s="114"/>
    </row>
    <row r="255" spans="1:61" ht="7.4" customHeight="1" x14ac:dyDescent="0.5">
      <c r="A255" s="114"/>
      <c r="B255" s="114"/>
      <c r="C255" s="114"/>
      <c r="D255" s="114"/>
      <c r="E255" s="114"/>
      <c r="F255" s="114"/>
      <c r="G255" s="114"/>
      <c r="H255" s="114"/>
      <c r="I255" s="114"/>
      <c r="J255" s="114"/>
      <c r="K255" s="114"/>
      <c r="L255" s="114"/>
      <c r="M255" s="114"/>
      <c r="N255" s="114"/>
      <c r="O255" s="114"/>
      <c r="P255" s="114"/>
      <c r="Q255" s="114"/>
      <c r="R255" s="114"/>
      <c r="S255" s="114"/>
      <c r="T255" s="114"/>
      <c r="U255" s="114"/>
      <c r="V255" s="114"/>
      <c r="W255" s="114"/>
      <c r="X255" s="114"/>
      <c r="Y255" s="114"/>
      <c r="Z255" s="114"/>
      <c r="AA255" s="114"/>
      <c r="AB255" s="114"/>
      <c r="AC255" s="114"/>
      <c r="AD255" s="114"/>
      <c r="AE255" s="114"/>
      <c r="AF255" s="114"/>
      <c r="AG255" s="114"/>
      <c r="AH255" s="114"/>
      <c r="AI255" s="114"/>
      <c r="AJ255" s="114"/>
      <c r="AK255" s="114"/>
      <c r="AL255" s="114"/>
      <c r="AM255" s="114"/>
      <c r="AN255" s="114"/>
      <c r="AO255" s="114"/>
      <c r="AP255" s="114"/>
      <c r="AQ255" s="114"/>
      <c r="AR255" s="114"/>
      <c r="AS255" s="114"/>
      <c r="AT255" s="114"/>
      <c r="AU255" s="114"/>
      <c r="AV255" s="114"/>
      <c r="AW255" s="114"/>
      <c r="AX255" s="114"/>
      <c r="AY255" s="114"/>
      <c r="AZ255" s="114"/>
      <c r="BA255" s="114"/>
      <c r="BB255" s="114"/>
      <c r="BC255" s="114"/>
      <c r="BD255" s="114"/>
      <c r="BE255" s="114"/>
      <c r="BF255" s="114"/>
      <c r="BG255" s="114"/>
      <c r="BH255" s="114"/>
      <c r="BI255" s="114"/>
    </row>
    <row r="256" spans="1:61" ht="7.4" customHeight="1" x14ac:dyDescent="0.5">
      <c r="A256" s="114"/>
      <c r="B256" s="114"/>
      <c r="C256" s="114"/>
      <c r="D256" s="114"/>
      <c r="E256" s="114"/>
      <c r="F256" s="114"/>
      <c r="G256" s="114"/>
      <c r="H256" s="114"/>
      <c r="I256" s="114"/>
      <c r="J256" s="114"/>
      <c r="K256" s="114"/>
      <c r="L256" s="114"/>
      <c r="M256" s="114"/>
      <c r="N256" s="114"/>
      <c r="O256" s="114"/>
      <c r="P256" s="114"/>
      <c r="Q256" s="114"/>
      <c r="R256" s="114"/>
      <c r="S256" s="114"/>
      <c r="T256" s="114"/>
      <c r="U256" s="114"/>
      <c r="V256" s="114"/>
      <c r="W256" s="114"/>
      <c r="X256" s="114"/>
      <c r="Y256" s="114"/>
      <c r="Z256" s="114"/>
      <c r="AA256" s="114"/>
      <c r="AB256" s="114"/>
      <c r="AC256" s="114"/>
      <c r="AD256" s="114"/>
      <c r="AE256" s="114"/>
      <c r="AF256" s="114"/>
      <c r="AG256" s="114"/>
      <c r="AH256" s="114"/>
      <c r="AI256" s="114"/>
      <c r="AJ256" s="114"/>
      <c r="AK256" s="114"/>
      <c r="AL256" s="114"/>
      <c r="AM256" s="114"/>
      <c r="AN256" s="114"/>
      <c r="AO256" s="114"/>
      <c r="AP256" s="114"/>
      <c r="AQ256" s="114"/>
      <c r="AR256" s="114"/>
      <c r="AS256" s="114"/>
      <c r="AT256" s="114"/>
      <c r="AU256" s="114"/>
      <c r="AV256" s="114"/>
      <c r="AW256" s="114"/>
      <c r="AX256" s="114"/>
      <c r="AY256" s="114"/>
      <c r="AZ256" s="114"/>
      <c r="BA256" s="114"/>
      <c r="BB256" s="114"/>
      <c r="BC256" s="114"/>
      <c r="BD256" s="114"/>
      <c r="BE256" s="114"/>
      <c r="BF256" s="114"/>
      <c r="BG256" s="114"/>
      <c r="BH256" s="114"/>
      <c r="BI256" s="114"/>
    </row>
    <row r="257" spans="1:61" ht="7.4" customHeight="1" x14ac:dyDescent="0.5">
      <c r="A257" s="114"/>
      <c r="B257" s="114"/>
      <c r="C257" s="114"/>
      <c r="D257" s="114"/>
      <c r="E257" s="114"/>
      <c r="F257" s="114"/>
      <c r="G257" s="114"/>
      <c r="H257" s="114"/>
      <c r="I257" s="114"/>
      <c r="J257" s="114"/>
      <c r="K257" s="114"/>
      <c r="L257" s="114"/>
      <c r="M257" s="114"/>
      <c r="N257" s="114"/>
      <c r="O257" s="114"/>
      <c r="P257" s="114"/>
      <c r="Q257" s="114"/>
      <c r="R257" s="114"/>
      <c r="S257" s="114"/>
      <c r="T257" s="114"/>
      <c r="U257" s="114"/>
      <c r="V257" s="114"/>
      <c r="W257" s="114"/>
      <c r="X257" s="114"/>
      <c r="Y257" s="114"/>
      <c r="Z257" s="114"/>
      <c r="AA257" s="114"/>
      <c r="AB257" s="114"/>
      <c r="AC257" s="114"/>
      <c r="AD257" s="114"/>
      <c r="AE257" s="114"/>
      <c r="AF257" s="114"/>
      <c r="AG257" s="114"/>
      <c r="AH257" s="114"/>
      <c r="AI257" s="114"/>
      <c r="AJ257" s="114"/>
      <c r="AK257" s="114"/>
      <c r="AL257" s="114"/>
      <c r="AM257" s="114"/>
      <c r="AN257" s="114"/>
      <c r="AO257" s="114"/>
      <c r="AP257" s="114"/>
      <c r="AQ257" s="114"/>
      <c r="AR257" s="114"/>
      <c r="AS257" s="114"/>
      <c r="AT257" s="114"/>
      <c r="AU257" s="114"/>
      <c r="AV257" s="114"/>
      <c r="AW257" s="114"/>
      <c r="AX257" s="114"/>
      <c r="AY257" s="114"/>
      <c r="AZ257" s="114"/>
      <c r="BA257" s="114"/>
      <c r="BB257" s="114"/>
      <c r="BC257" s="114"/>
      <c r="BD257" s="114"/>
      <c r="BE257" s="114"/>
      <c r="BF257" s="114"/>
      <c r="BG257" s="114"/>
      <c r="BH257" s="114"/>
      <c r="BI257" s="114"/>
    </row>
    <row r="258" spans="1:61" ht="7.4" customHeight="1" x14ac:dyDescent="0.5">
      <c r="A258" s="114"/>
      <c r="B258" s="114"/>
      <c r="C258" s="114"/>
      <c r="D258" s="114"/>
      <c r="E258" s="114"/>
      <c r="F258" s="114"/>
      <c r="G258" s="114"/>
      <c r="H258" s="114"/>
      <c r="I258" s="114"/>
      <c r="J258" s="114"/>
      <c r="K258" s="114"/>
      <c r="L258" s="114"/>
      <c r="M258" s="114"/>
      <c r="N258" s="114"/>
      <c r="O258" s="114"/>
      <c r="P258" s="114"/>
      <c r="Q258" s="114"/>
      <c r="R258" s="114"/>
      <c r="S258" s="114"/>
      <c r="T258" s="114"/>
      <c r="U258" s="114"/>
      <c r="V258" s="114"/>
      <c r="W258" s="114"/>
      <c r="X258" s="114"/>
      <c r="Y258" s="114"/>
      <c r="Z258" s="114"/>
      <c r="AA258" s="114"/>
      <c r="AB258" s="114"/>
      <c r="AC258" s="114"/>
      <c r="AD258" s="114"/>
      <c r="AE258" s="114"/>
      <c r="AF258" s="114"/>
      <c r="AG258" s="114"/>
      <c r="AH258" s="114"/>
      <c r="AI258" s="114"/>
      <c r="AJ258" s="114"/>
      <c r="AK258" s="114"/>
      <c r="AL258" s="114"/>
      <c r="AM258" s="114"/>
      <c r="AN258" s="114"/>
      <c r="AO258" s="114"/>
      <c r="AP258" s="114"/>
      <c r="AQ258" s="114"/>
      <c r="AR258" s="114"/>
      <c r="AS258" s="114"/>
      <c r="AT258" s="114"/>
      <c r="AU258" s="114"/>
      <c r="AV258" s="114"/>
      <c r="AW258" s="114"/>
      <c r="AX258" s="114"/>
      <c r="AY258" s="114"/>
      <c r="AZ258" s="114"/>
      <c r="BA258" s="114"/>
      <c r="BB258" s="114"/>
      <c r="BC258" s="114"/>
      <c r="BD258" s="114"/>
      <c r="BE258" s="114"/>
      <c r="BF258" s="114"/>
      <c r="BG258" s="114"/>
      <c r="BH258" s="114"/>
      <c r="BI258" s="114"/>
    </row>
    <row r="259" spans="1:61" ht="7.4" customHeight="1" x14ac:dyDescent="0.5">
      <c r="A259" s="114"/>
      <c r="B259" s="114"/>
      <c r="C259" s="114"/>
      <c r="D259" s="114"/>
      <c r="E259" s="114"/>
      <c r="F259" s="114"/>
      <c r="G259" s="114"/>
      <c r="H259" s="114"/>
      <c r="I259" s="114"/>
      <c r="J259" s="114"/>
      <c r="K259" s="114"/>
      <c r="L259" s="114"/>
      <c r="M259" s="114"/>
      <c r="N259" s="114"/>
      <c r="O259" s="114"/>
      <c r="P259" s="114"/>
      <c r="Q259" s="114"/>
      <c r="R259" s="114"/>
      <c r="S259" s="114"/>
      <c r="T259" s="114"/>
      <c r="U259" s="114"/>
      <c r="V259" s="114"/>
      <c r="W259" s="114"/>
      <c r="X259" s="114"/>
      <c r="Y259" s="114"/>
      <c r="Z259" s="114"/>
      <c r="AA259" s="114"/>
      <c r="AB259" s="114"/>
      <c r="AC259" s="114"/>
      <c r="AD259" s="114"/>
      <c r="AE259" s="114"/>
      <c r="AF259" s="114"/>
      <c r="AG259" s="114"/>
      <c r="AH259" s="114"/>
      <c r="AI259" s="114"/>
      <c r="AJ259" s="114"/>
      <c r="AK259" s="114"/>
      <c r="AL259" s="114"/>
      <c r="AM259" s="114"/>
      <c r="AN259" s="114"/>
      <c r="AO259" s="114"/>
      <c r="AP259" s="114"/>
      <c r="AQ259" s="114"/>
      <c r="AR259" s="114"/>
      <c r="AS259" s="114"/>
      <c r="AT259" s="114"/>
      <c r="AU259" s="114"/>
      <c r="AV259" s="114"/>
      <c r="AW259" s="114"/>
      <c r="AX259" s="114"/>
      <c r="AY259" s="114"/>
      <c r="AZ259" s="114"/>
      <c r="BA259" s="114"/>
      <c r="BB259" s="114"/>
      <c r="BC259" s="114"/>
      <c r="BD259" s="114"/>
      <c r="BE259" s="114"/>
      <c r="BF259" s="114"/>
      <c r="BG259" s="114"/>
      <c r="BH259" s="114"/>
      <c r="BI259" s="114"/>
    </row>
    <row r="260" spans="1:61" ht="7.4" customHeight="1" x14ac:dyDescent="0.5">
      <c r="A260" s="114"/>
      <c r="B260" s="114"/>
      <c r="C260" s="114"/>
      <c r="D260" s="114"/>
      <c r="E260" s="114"/>
      <c r="F260" s="114"/>
      <c r="G260" s="114"/>
      <c r="H260" s="114"/>
      <c r="I260" s="114"/>
      <c r="J260" s="114"/>
      <c r="K260" s="114"/>
      <c r="L260" s="114"/>
      <c r="M260" s="114"/>
      <c r="N260" s="114"/>
      <c r="O260" s="114"/>
      <c r="P260" s="114"/>
      <c r="Q260" s="114"/>
      <c r="R260" s="114"/>
      <c r="S260" s="114"/>
      <c r="T260" s="114"/>
      <c r="U260" s="114"/>
      <c r="V260" s="114"/>
      <c r="W260" s="114"/>
      <c r="X260" s="114"/>
      <c r="Y260" s="114"/>
      <c r="Z260" s="114"/>
      <c r="AA260" s="114"/>
      <c r="AB260" s="114"/>
      <c r="AC260" s="114"/>
      <c r="AD260" s="114"/>
      <c r="AE260" s="114"/>
      <c r="AF260" s="114"/>
      <c r="AG260" s="114"/>
      <c r="AH260" s="114"/>
      <c r="AI260" s="114"/>
      <c r="AJ260" s="114"/>
      <c r="AK260" s="114"/>
      <c r="AL260" s="114"/>
      <c r="AM260" s="114"/>
      <c r="AN260" s="114"/>
      <c r="AO260" s="114"/>
      <c r="AP260" s="114"/>
      <c r="AQ260" s="114"/>
      <c r="AR260" s="114"/>
      <c r="AS260" s="114"/>
      <c r="AT260" s="114"/>
      <c r="AU260" s="114"/>
      <c r="AV260" s="114"/>
      <c r="AW260" s="114"/>
      <c r="AX260" s="114"/>
      <c r="AY260" s="114"/>
      <c r="AZ260" s="114"/>
      <c r="BA260" s="114"/>
      <c r="BB260" s="114"/>
      <c r="BC260" s="114"/>
      <c r="BD260" s="114"/>
      <c r="BE260" s="114"/>
      <c r="BF260" s="114"/>
      <c r="BG260" s="114"/>
      <c r="BH260" s="114"/>
      <c r="BI260" s="114"/>
    </row>
    <row r="261" spans="1:61" ht="7.4" customHeight="1" x14ac:dyDescent="0.5">
      <c r="A261" s="114"/>
      <c r="B261" s="114"/>
      <c r="C261" s="114"/>
      <c r="D261" s="114"/>
      <c r="E261" s="114"/>
      <c r="F261" s="114"/>
      <c r="G261" s="114"/>
      <c r="H261" s="114"/>
      <c r="I261" s="114"/>
      <c r="J261" s="114"/>
      <c r="K261" s="114"/>
      <c r="L261" s="114"/>
      <c r="M261" s="114"/>
      <c r="N261" s="114"/>
      <c r="O261" s="114"/>
      <c r="P261" s="114"/>
      <c r="Q261" s="114"/>
      <c r="R261" s="114"/>
      <c r="S261" s="114"/>
      <c r="T261" s="114"/>
      <c r="U261" s="114"/>
      <c r="V261" s="114"/>
      <c r="W261" s="114"/>
      <c r="X261" s="114"/>
      <c r="Y261" s="114"/>
      <c r="Z261" s="114"/>
      <c r="AA261" s="114"/>
      <c r="AB261" s="114"/>
      <c r="AC261" s="114"/>
      <c r="AD261" s="114"/>
      <c r="AE261" s="114"/>
      <c r="AF261" s="114"/>
      <c r="AG261" s="114"/>
      <c r="AH261" s="114"/>
      <c r="AI261" s="114"/>
      <c r="AJ261" s="114"/>
      <c r="AK261" s="114"/>
      <c r="AL261" s="114"/>
      <c r="AM261" s="114"/>
      <c r="AN261" s="114"/>
      <c r="AO261" s="114"/>
      <c r="AP261" s="114"/>
      <c r="AQ261" s="114"/>
      <c r="AR261" s="114"/>
      <c r="AS261" s="114"/>
      <c r="AT261" s="114"/>
      <c r="AU261" s="114"/>
      <c r="AV261" s="114"/>
      <c r="AW261" s="114"/>
      <c r="AX261" s="114"/>
      <c r="AY261" s="114"/>
      <c r="AZ261" s="114"/>
      <c r="BA261" s="114"/>
      <c r="BB261" s="114"/>
      <c r="BC261" s="114"/>
      <c r="BD261" s="114"/>
      <c r="BE261" s="114"/>
      <c r="BF261" s="114"/>
      <c r="BG261" s="114"/>
      <c r="BH261" s="114"/>
      <c r="BI261" s="114"/>
    </row>
    <row r="262" spans="1:61" ht="7.4" customHeight="1" x14ac:dyDescent="0.5">
      <c r="A262" s="114"/>
      <c r="B262" s="114"/>
      <c r="C262" s="114"/>
      <c r="D262" s="114"/>
      <c r="E262" s="114"/>
      <c r="F262" s="114"/>
      <c r="G262" s="114"/>
      <c r="H262" s="114"/>
      <c r="I262" s="114"/>
      <c r="J262" s="114"/>
      <c r="K262" s="114"/>
      <c r="L262" s="114"/>
      <c r="M262" s="114"/>
      <c r="N262" s="114"/>
      <c r="O262" s="114"/>
      <c r="P262" s="114"/>
      <c r="Q262" s="114"/>
      <c r="R262" s="114"/>
      <c r="S262" s="114"/>
      <c r="T262" s="114"/>
      <c r="U262" s="114"/>
      <c r="V262" s="114"/>
      <c r="W262" s="114"/>
      <c r="X262" s="114"/>
      <c r="Y262" s="114"/>
      <c r="Z262" s="114"/>
      <c r="AA262" s="114"/>
      <c r="AB262" s="114"/>
      <c r="AC262" s="114"/>
      <c r="AD262" s="114"/>
      <c r="AE262" s="114"/>
      <c r="AF262" s="114"/>
      <c r="AG262" s="114"/>
      <c r="AH262" s="114"/>
      <c r="AI262" s="114"/>
      <c r="AJ262" s="114"/>
      <c r="AK262" s="114"/>
      <c r="AL262" s="114"/>
      <c r="AM262" s="114"/>
      <c r="AN262" s="114"/>
      <c r="AO262" s="114"/>
      <c r="AP262" s="114"/>
      <c r="AQ262" s="114"/>
      <c r="AR262" s="114"/>
      <c r="AS262" s="114"/>
      <c r="AT262" s="114"/>
      <c r="AU262" s="114"/>
      <c r="AV262" s="114"/>
      <c r="AW262" s="114"/>
      <c r="AX262" s="114"/>
      <c r="AY262" s="114"/>
      <c r="AZ262" s="114"/>
      <c r="BA262" s="114"/>
      <c r="BB262" s="114"/>
      <c r="BC262" s="114"/>
      <c r="BD262" s="114"/>
      <c r="BE262" s="114"/>
      <c r="BF262" s="114"/>
      <c r="BG262" s="114"/>
      <c r="BH262" s="114"/>
      <c r="BI262" s="114"/>
    </row>
    <row r="263" spans="1:61" ht="7.4" customHeight="1" x14ac:dyDescent="0.5">
      <c r="A263" s="114"/>
      <c r="B263" s="114"/>
      <c r="C263" s="114"/>
      <c r="D263" s="114"/>
      <c r="E263" s="114"/>
      <c r="F263" s="114"/>
      <c r="G263" s="114"/>
      <c r="H263" s="114"/>
      <c r="I263" s="114"/>
      <c r="J263" s="114"/>
      <c r="K263" s="114"/>
      <c r="L263" s="114"/>
      <c r="M263" s="114"/>
      <c r="N263" s="114"/>
      <c r="O263" s="114"/>
      <c r="P263" s="114"/>
      <c r="Q263" s="114"/>
      <c r="R263" s="114"/>
      <c r="S263" s="114"/>
      <c r="T263" s="114"/>
      <c r="U263" s="114"/>
      <c r="V263" s="114"/>
      <c r="W263" s="114"/>
      <c r="X263" s="114"/>
      <c r="Y263" s="114"/>
      <c r="Z263" s="114"/>
      <c r="AA263" s="114"/>
      <c r="AB263" s="114"/>
      <c r="AC263" s="114"/>
      <c r="AD263" s="114"/>
      <c r="AE263" s="114"/>
      <c r="AF263" s="114"/>
      <c r="AG263" s="114"/>
      <c r="AH263" s="114"/>
      <c r="AI263" s="114"/>
      <c r="AJ263" s="114"/>
      <c r="AK263" s="114"/>
      <c r="AL263" s="114"/>
      <c r="AM263" s="114"/>
      <c r="AN263" s="114"/>
      <c r="AO263" s="114"/>
      <c r="AP263" s="114"/>
      <c r="AQ263" s="114"/>
      <c r="AR263" s="114"/>
      <c r="AS263" s="114"/>
      <c r="AT263" s="114"/>
      <c r="AU263" s="114"/>
      <c r="AV263" s="114"/>
      <c r="AW263" s="114"/>
      <c r="AX263" s="114"/>
      <c r="AY263" s="114"/>
      <c r="AZ263" s="114"/>
      <c r="BA263" s="114"/>
      <c r="BB263" s="114"/>
      <c r="BC263" s="114"/>
      <c r="BD263" s="114"/>
      <c r="BE263" s="114"/>
      <c r="BF263" s="114"/>
      <c r="BG263" s="114"/>
      <c r="BH263" s="114"/>
      <c r="BI263" s="114"/>
    </row>
    <row r="264" spans="1:61" ht="7.4" customHeight="1" x14ac:dyDescent="0.5">
      <c r="A264" s="114"/>
      <c r="B264" s="114"/>
      <c r="C264" s="114"/>
      <c r="D264" s="114"/>
      <c r="E264" s="114"/>
      <c r="F264" s="114"/>
      <c r="G264" s="114"/>
      <c r="H264" s="114"/>
      <c r="I264" s="114"/>
      <c r="J264" s="114"/>
      <c r="K264" s="114"/>
      <c r="L264" s="114"/>
      <c r="M264" s="114"/>
      <c r="N264" s="114"/>
      <c r="O264" s="114"/>
      <c r="P264" s="114"/>
      <c r="Q264" s="114"/>
      <c r="R264" s="114"/>
      <c r="S264" s="114"/>
      <c r="T264" s="114"/>
      <c r="U264" s="114"/>
      <c r="V264" s="114"/>
      <c r="W264" s="114"/>
      <c r="X264" s="114"/>
      <c r="Y264" s="114"/>
      <c r="Z264" s="114"/>
      <c r="AA264" s="114"/>
      <c r="AB264" s="114"/>
      <c r="AC264" s="114"/>
      <c r="AD264" s="114"/>
      <c r="AE264" s="114"/>
      <c r="AF264" s="114"/>
      <c r="AG264" s="114"/>
      <c r="AH264" s="114"/>
      <c r="AI264" s="114"/>
      <c r="AJ264" s="114"/>
      <c r="AK264" s="114"/>
      <c r="AL264" s="114"/>
      <c r="AM264" s="114"/>
      <c r="AN264" s="114"/>
      <c r="AO264" s="114"/>
      <c r="AP264" s="114"/>
      <c r="AQ264" s="114"/>
      <c r="AR264" s="114"/>
      <c r="AS264" s="114"/>
      <c r="AT264" s="114"/>
      <c r="AU264" s="114"/>
      <c r="AV264" s="114"/>
      <c r="AW264" s="114"/>
      <c r="AX264" s="114"/>
      <c r="AY264" s="114"/>
      <c r="AZ264" s="114"/>
      <c r="BA264" s="114"/>
      <c r="BB264" s="114"/>
      <c r="BC264" s="114"/>
      <c r="BD264" s="114"/>
      <c r="BE264" s="114"/>
      <c r="BF264" s="114"/>
      <c r="BG264" s="114"/>
      <c r="BH264" s="114"/>
      <c r="BI264" s="114"/>
    </row>
    <row r="265" spans="1:61" ht="7.4" customHeight="1" x14ac:dyDescent="0.5">
      <c r="A265" s="114"/>
      <c r="B265" s="114"/>
      <c r="C265" s="114"/>
      <c r="D265" s="114"/>
      <c r="E265" s="114"/>
      <c r="F265" s="114"/>
      <c r="G265" s="114"/>
      <c r="H265" s="114"/>
      <c r="I265" s="114"/>
      <c r="J265" s="114"/>
      <c r="K265" s="114"/>
      <c r="L265" s="114"/>
      <c r="M265" s="114"/>
      <c r="N265" s="114"/>
      <c r="O265" s="114"/>
      <c r="P265" s="114"/>
      <c r="Q265" s="114"/>
      <c r="R265" s="114"/>
      <c r="S265" s="114"/>
      <c r="T265" s="114"/>
      <c r="U265" s="114"/>
      <c r="V265" s="114"/>
      <c r="W265" s="114"/>
      <c r="X265" s="114"/>
      <c r="Y265" s="114"/>
      <c r="Z265" s="114"/>
      <c r="AA265" s="114"/>
      <c r="AB265" s="114"/>
      <c r="AC265" s="114"/>
      <c r="AD265" s="114"/>
      <c r="AE265" s="114"/>
      <c r="AF265" s="114"/>
      <c r="AG265" s="114"/>
      <c r="AH265" s="114"/>
      <c r="AI265" s="114"/>
      <c r="AJ265" s="114"/>
      <c r="AK265" s="114"/>
      <c r="AL265" s="114"/>
      <c r="AM265" s="114"/>
      <c r="AN265" s="114"/>
      <c r="AO265" s="114"/>
      <c r="AP265" s="114"/>
      <c r="AQ265" s="114"/>
      <c r="AR265" s="114"/>
      <c r="AS265" s="114"/>
      <c r="AT265" s="114"/>
      <c r="AU265" s="114"/>
      <c r="AV265" s="114"/>
      <c r="AW265" s="114"/>
      <c r="AX265" s="114"/>
      <c r="AY265" s="114"/>
      <c r="AZ265" s="114"/>
      <c r="BA265" s="114"/>
      <c r="BB265" s="114"/>
      <c r="BC265" s="114"/>
      <c r="BD265" s="114"/>
      <c r="BE265" s="114"/>
      <c r="BF265" s="114"/>
      <c r="BG265" s="114"/>
      <c r="BH265" s="114"/>
      <c r="BI265" s="114"/>
    </row>
    <row r="266" spans="1:61" ht="7.4" customHeight="1" x14ac:dyDescent="0.5">
      <c r="A266" s="114"/>
      <c r="B266" s="114"/>
      <c r="C266" s="114"/>
      <c r="D266" s="114"/>
      <c r="E266" s="114"/>
      <c r="F266" s="114"/>
      <c r="G266" s="114"/>
      <c r="H266" s="114"/>
      <c r="I266" s="114"/>
      <c r="J266" s="114"/>
      <c r="K266" s="114"/>
      <c r="L266" s="114"/>
      <c r="M266" s="114"/>
      <c r="N266" s="114"/>
      <c r="O266" s="114"/>
      <c r="P266" s="114"/>
      <c r="Q266" s="114"/>
      <c r="R266" s="114"/>
      <c r="S266" s="114"/>
      <c r="T266" s="114"/>
      <c r="U266" s="114"/>
      <c r="V266" s="114"/>
      <c r="W266" s="114"/>
      <c r="X266" s="114"/>
      <c r="Y266" s="114"/>
      <c r="Z266" s="114"/>
      <c r="AA266" s="114"/>
      <c r="AB266" s="114"/>
      <c r="AC266" s="114"/>
      <c r="AD266" s="114"/>
      <c r="AE266" s="114"/>
      <c r="AF266" s="114"/>
      <c r="AG266" s="114"/>
      <c r="AH266" s="114"/>
      <c r="AI266" s="114"/>
      <c r="AJ266" s="114"/>
      <c r="AK266" s="114"/>
      <c r="AL266" s="114"/>
      <c r="AM266" s="114"/>
      <c r="AN266" s="114"/>
      <c r="AO266" s="114"/>
      <c r="AP266" s="114"/>
      <c r="AQ266" s="114"/>
      <c r="AR266" s="114"/>
      <c r="AS266" s="114"/>
      <c r="AT266" s="114"/>
      <c r="AU266" s="114"/>
      <c r="AV266" s="114"/>
      <c r="AW266" s="114"/>
      <c r="AX266" s="114"/>
      <c r="AY266" s="114"/>
      <c r="AZ266" s="114"/>
      <c r="BA266" s="114"/>
      <c r="BB266" s="114"/>
      <c r="BC266" s="114"/>
      <c r="BD266" s="114"/>
      <c r="BE266" s="114"/>
      <c r="BF266" s="114"/>
      <c r="BG266" s="114"/>
      <c r="BH266" s="114"/>
      <c r="BI266" s="114"/>
    </row>
    <row r="267" spans="1:61" ht="7.4" customHeight="1" x14ac:dyDescent="0.5">
      <c r="A267" s="114"/>
      <c r="B267" s="114"/>
      <c r="C267" s="114"/>
      <c r="D267" s="114"/>
      <c r="E267" s="114"/>
      <c r="F267" s="114"/>
      <c r="G267" s="114"/>
      <c r="H267" s="114"/>
      <c r="I267" s="114"/>
      <c r="J267" s="114"/>
      <c r="K267" s="114"/>
      <c r="L267" s="114"/>
      <c r="M267" s="114"/>
      <c r="N267" s="114"/>
      <c r="O267" s="114"/>
      <c r="P267" s="114"/>
      <c r="Q267" s="114"/>
      <c r="R267" s="114"/>
      <c r="S267" s="114"/>
      <c r="T267" s="114"/>
      <c r="U267" s="114"/>
      <c r="V267" s="114"/>
      <c r="W267" s="114"/>
      <c r="X267" s="114"/>
      <c r="Y267" s="114"/>
      <c r="Z267" s="114"/>
      <c r="AA267" s="114"/>
      <c r="AB267" s="114"/>
      <c r="AC267" s="114"/>
      <c r="AD267" s="114"/>
      <c r="AE267" s="114"/>
      <c r="AF267" s="114"/>
      <c r="AG267" s="114"/>
      <c r="AH267" s="114"/>
      <c r="AI267" s="114"/>
      <c r="AJ267" s="114"/>
      <c r="AK267" s="114"/>
      <c r="AL267" s="114"/>
      <c r="AM267" s="114"/>
      <c r="AN267" s="114"/>
      <c r="AO267" s="114"/>
      <c r="AP267" s="114"/>
      <c r="AQ267" s="114"/>
      <c r="AR267" s="114"/>
      <c r="AS267" s="114"/>
      <c r="AT267" s="114"/>
      <c r="AU267" s="114"/>
      <c r="AV267" s="114"/>
      <c r="AW267" s="114"/>
      <c r="AX267" s="114"/>
      <c r="AY267" s="114"/>
      <c r="AZ267" s="114"/>
      <c r="BA267" s="114"/>
      <c r="BB267" s="114"/>
      <c r="BC267" s="114"/>
      <c r="BD267" s="114"/>
      <c r="BE267" s="114"/>
      <c r="BF267" s="114"/>
      <c r="BG267" s="114"/>
      <c r="BH267" s="114"/>
      <c r="BI267" s="114"/>
    </row>
    <row r="268" spans="1:61" ht="7.4" customHeight="1" x14ac:dyDescent="0.5">
      <c r="A268" s="114"/>
      <c r="B268" s="114"/>
      <c r="C268" s="114"/>
      <c r="D268" s="114"/>
      <c r="E268" s="114"/>
      <c r="F268" s="114"/>
      <c r="G268" s="114"/>
      <c r="H268" s="114"/>
      <c r="I268" s="114"/>
      <c r="J268" s="114"/>
      <c r="K268" s="114"/>
      <c r="L268" s="114"/>
      <c r="M268" s="114"/>
      <c r="N268" s="114"/>
      <c r="O268" s="114"/>
      <c r="P268" s="114"/>
      <c r="Q268" s="114"/>
      <c r="R268" s="114"/>
      <c r="S268" s="114"/>
      <c r="T268" s="114"/>
      <c r="U268" s="114"/>
      <c r="V268" s="114"/>
      <c r="W268" s="114"/>
      <c r="X268" s="114"/>
      <c r="Y268" s="114"/>
      <c r="Z268" s="114"/>
      <c r="AA268" s="114"/>
      <c r="AB268" s="114"/>
      <c r="AC268" s="114"/>
      <c r="AD268" s="114"/>
      <c r="AE268" s="114"/>
      <c r="AF268" s="114"/>
      <c r="AG268" s="114"/>
      <c r="AH268" s="114"/>
      <c r="AI268" s="114"/>
      <c r="AJ268" s="114"/>
      <c r="AK268" s="114"/>
      <c r="AL268" s="114"/>
      <c r="AM268" s="114"/>
      <c r="AN268" s="114"/>
      <c r="AO268" s="114"/>
      <c r="AP268" s="114"/>
      <c r="AQ268" s="114"/>
      <c r="AR268" s="114"/>
      <c r="AS268" s="114"/>
      <c r="AT268" s="114"/>
      <c r="AU268" s="114"/>
      <c r="AV268" s="114"/>
      <c r="AW268" s="114"/>
      <c r="AX268" s="114"/>
      <c r="AY268" s="114"/>
      <c r="AZ268" s="114"/>
      <c r="BA268" s="114"/>
      <c r="BB268" s="114"/>
      <c r="BC268" s="114"/>
      <c r="BD268" s="114"/>
      <c r="BE268" s="114"/>
      <c r="BF268" s="114"/>
      <c r="BG268" s="114"/>
      <c r="BH268" s="114"/>
      <c r="BI268" s="114"/>
    </row>
    <row r="269" spans="1:61" ht="7.4" customHeight="1" x14ac:dyDescent="0.5">
      <c r="A269" s="114"/>
      <c r="B269" s="114"/>
      <c r="C269" s="114"/>
      <c r="D269" s="114"/>
      <c r="E269" s="114"/>
      <c r="F269" s="114"/>
      <c r="G269" s="114"/>
      <c r="H269" s="114"/>
      <c r="I269" s="114"/>
      <c r="J269" s="114"/>
      <c r="K269" s="114"/>
      <c r="L269" s="114"/>
      <c r="M269" s="114"/>
      <c r="N269" s="114"/>
      <c r="O269" s="114"/>
      <c r="P269" s="114"/>
      <c r="Q269" s="114"/>
      <c r="R269" s="114"/>
      <c r="S269" s="114"/>
      <c r="T269" s="114"/>
      <c r="U269" s="114"/>
      <c r="V269" s="114"/>
      <c r="W269" s="114"/>
      <c r="X269" s="114"/>
      <c r="Y269" s="114"/>
      <c r="Z269" s="114"/>
      <c r="AA269" s="114"/>
      <c r="AB269" s="114"/>
      <c r="AC269" s="114"/>
      <c r="AD269" s="114"/>
      <c r="AE269" s="114"/>
      <c r="AF269" s="114"/>
      <c r="AG269" s="114"/>
      <c r="AH269" s="114"/>
      <c r="AI269" s="114"/>
      <c r="AJ269" s="114"/>
      <c r="AK269" s="114"/>
      <c r="AL269" s="114"/>
      <c r="AM269" s="114"/>
      <c r="AN269" s="114"/>
      <c r="AO269" s="114"/>
      <c r="AP269" s="114"/>
      <c r="AQ269" s="114"/>
      <c r="AR269" s="114"/>
      <c r="AS269" s="114"/>
      <c r="AT269" s="114"/>
      <c r="AU269" s="114"/>
      <c r="AV269" s="114"/>
      <c r="AW269" s="114"/>
      <c r="AX269" s="114"/>
      <c r="AY269" s="114"/>
      <c r="AZ269" s="114"/>
      <c r="BA269" s="114"/>
      <c r="BB269" s="114"/>
      <c r="BC269" s="114"/>
      <c r="BD269" s="114"/>
      <c r="BE269" s="114"/>
      <c r="BF269" s="114"/>
      <c r="BG269" s="114"/>
      <c r="BH269" s="114"/>
      <c r="BI269" s="114"/>
    </row>
    <row r="270" spans="1:61" ht="7.4" customHeight="1" x14ac:dyDescent="0.5">
      <c r="A270" s="114"/>
      <c r="B270" s="114"/>
      <c r="C270" s="114"/>
      <c r="D270" s="114"/>
      <c r="E270" s="114"/>
      <c r="F270" s="114"/>
      <c r="G270" s="114"/>
      <c r="H270" s="114"/>
      <c r="I270" s="114"/>
      <c r="J270" s="114"/>
      <c r="K270" s="114"/>
      <c r="L270" s="114"/>
      <c r="M270" s="114"/>
      <c r="N270" s="114"/>
      <c r="O270" s="114"/>
      <c r="P270" s="114"/>
      <c r="Q270" s="114"/>
      <c r="R270" s="114"/>
      <c r="S270" s="114"/>
      <c r="T270" s="114"/>
      <c r="U270" s="114"/>
      <c r="V270" s="114"/>
      <c r="W270" s="114"/>
      <c r="X270" s="114"/>
      <c r="Y270" s="114"/>
      <c r="Z270" s="114"/>
      <c r="AA270" s="114"/>
      <c r="AB270" s="114"/>
      <c r="AC270" s="114"/>
      <c r="AD270" s="114"/>
      <c r="AE270" s="114"/>
      <c r="AF270" s="114"/>
      <c r="AG270" s="114"/>
      <c r="AH270" s="114"/>
      <c r="AI270" s="114"/>
      <c r="AJ270" s="114"/>
      <c r="AK270" s="114"/>
      <c r="AL270" s="114"/>
      <c r="AM270" s="114"/>
      <c r="AN270" s="114"/>
      <c r="AO270" s="114"/>
      <c r="AP270" s="114"/>
      <c r="AQ270" s="114"/>
      <c r="AR270" s="114"/>
      <c r="AS270" s="114"/>
      <c r="AT270" s="114"/>
      <c r="AU270" s="114"/>
      <c r="AV270" s="114"/>
      <c r="AW270" s="114"/>
      <c r="AX270" s="114"/>
      <c r="AY270" s="114"/>
      <c r="AZ270" s="114"/>
      <c r="BA270" s="114"/>
      <c r="BB270" s="114"/>
      <c r="BC270" s="114"/>
      <c r="BD270" s="114"/>
      <c r="BE270" s="114"/>
      <c r="BF270" s="114"/>
      <c r="BG270" s="114"/>
      <c r="BH270" s="114"/>
      <c r="BI270" s="114"/>
    </row>
    <row r="271" spans="1:61" ht="7.4" customHeight="1" x14ac:dyDescent="0.5">
      <c r="A271" s="114"/>
      <c r="B271" s="114"/>
      <c r="C271" s="114"/>
      <c r="D271" s="114"/>
      <c r="E271" s="114"/>
      <c r="F271" s="114"/>
      <c r="G271" s="114"/>
      <c r="H271" s="114"/>
      <c r="I271" s="114"/>
      <c r="J271" s="114"/>
      <c r="K271" s="114"/>
      <c r="L271" s="114"/>
      <c r="M271" s="114"/>
      <c r="N271" s="114"/>
      <c r="O271" s="114"/>
      <c r="P271" s="114"/>
      <c r="Q271" s="114"/>
      <c r="R271" s="114"/>
      <c r="S271" s="114"/>
      <c r="T271" s="114"/>
      <c r="U271" s="114"/>
      <c r="V271" s="114"/>
      <c r="W271" s="114"/>
      <c r="X271" s="114"/>
      <c r="Y271" s="114"/>
      <c r="Z271" s="114"/>
      <c r="AA271" s="114"/>
      <c r="AB271" s="114"/>
      <c r="AC271" s="114"/>
      <c r="AD271" s="114"/>
      <c r="AE271" s="114"/>
      <c r="AF271" s="114"/>
      <c r="AG271" s="114"/>
      <c r="AH271" s="114"/>
      <c r="AI271" s="114"/>
      <c r="AJ271" s="114"/>
      <c r="AK271" s="114"/>
      <c r="AL271" s="114"/>
      <c r="AM271" s="114"/>
      <c r="AN271" s="114"/>
      <c r="AO271" s="114"/>
      <c r="AP271" s="114"/>
      <c r="AQ271" s="114"/>
      <c r="AR271" s="114"/>
      <c r="AS271" s="114"/>
      <c r="AT271" s="114"/>
      <c r="AU271" s="114"/>
      <c r="AV271" s="114"/>
      <c r="AW271" s="114"/>
      <c r="AX271" s="114"/>
      <c r="AY271" s="114"/>
      <c r="AZ271" s="114"/>
      <c r="BA271" s="114"/>
      <c r="BB271" s="114"/>
      <c r="BC271" s="114"/>
      <c r="BD271" s="114"/>
      <c r="BE271" s="114"/>
      <c r="BF271" s="114"/>
      <c r="BG271" s="114"/>
      <c r="BH271" s="114"/>
      <c r="BI271" s="114"/>
    </row>
    <row r="272" spans="1:61" ht="7.4" customHeight="1" x14ac:dyDescent="0.5">
      <c r="A272" s="114"/>
      <c r="B272" s="114"/>
      <c r="C272" s="114"/>
      <c r="D272" s="114"/>
      <c r="E272" s="114"/>
      <c r="F272" s="114"/>
      <c r="G272" s="114"/>
      <c r="H272" s="114"/>
      <c r="I272" s="114"/>
      <c r="J272" s="114"/>
      <c r="K272" s="114"/>
      <c r="L272" s="114"/>
      <c r="M272" s="114"/>
      <c r="N272" s="114"/>
      <c r="O272" s="114"/>
      <c r="P272" s="114"/>
      <c r="Q272" s="114"/>
      <c r="R272" s="114"/>
      <c r="S272" s="114"/>
      <c r="T272" s="114"/>
      <c r="U272" s="114"/>
      <c r="V272" s="114"/>
      <c r="W272" s="114"/>
      <c r="X272" s="114"/>
      <c r="Y272" s="114"/>
      <c r="Z272" s="114"/>
      <c r="AA272" s="114"/>
      <c r="AB272" s="114"/>
      <c r="AC272" s="114"/>
      <c r="AD272" s="114"/>
      <c r="AE272" s="114"/>
      <c r="AF272" s="114"/>
      <c r="AG272" s="114"/>
      <c r="AH272" s="114"/>
      <c r="AI272" s="114"/>
      <c r="AJ272" s="114"/>
      <c r="AK272" s="114"/>
      <c r="AL272" s="114"/>
      <c r="AM272" s="114"/>
      <c r="AN272" s="114"/>
      <c r="AO272" s="114"/>
      <c r="AP272" s="114"/>
      <c r="AQ272" s="114"/>
      <c r="AR272" s="114"/>
      <c r="AS272" s="114"/>
      <c r="AT272" s="114"/>
      <c r="AU272" s="114"/>
      <c r="AV272" s="114"/>
      <c r="AW272" s="114"/>
      <c r="AX272" s="114"/>
      <c r="AY272" s="114"/>
      <c r="AZ272" s="114"/>
      <c r="BA272" s="114"/>
      <c r="BB272" s="114"/>
      <c r="BC272" s="114"/>
      <c r="BD272" s="114"/>
      <c r="BE272" s="114"/>
      <c r="BF272" s="114"/>
      <c r="BG272" s="114"/>
      <c r="BH272" s="114"/>
      <c r="BI272" s="114"/>
    </row>
    <row r="273" spans="1:61" ht="7.4" customHeight="1" x14ac:dyDescent="0.5">
      <c r="A273" s="114"/>
      <c r="B273" s="114"/>
      <c r="C273" s="114"/>
      <c r="D273" s="114"/>
      <c r="E273" s="114"/>
      <c r="F273" s="114"/>
      <c r="G273" s="114"/>
      <c r="H273" s="114"/>
      <c r="I273" s="114"/>
      <c r="J273" s="114"/>
      <c r="K273" s="114"/>
      <c r="L273" s="114"/>
      <c r="M273" s="114"/>
      <c r="N273" s="114"/>
      <c r="O273" s="114"/>
      <c r="P273" s="114"/>
      <c r="Q273" s="114"/>
      <c r="R273" s="114"/>
      <c r="S273" s="114"/>
      <c r="T273" s="114"/>
      <c r="U273" s="114"/>
      <c r="V273" s="114"/>
      <c r="W273" s="114"/>
      <c r="X273" s="114"/>
      <c r="Y273" s="114"/>
      <c r="Z273" s="114"/>
      <c r="AA273" s="114"/>
      <c r="AB273" s="114"/>
      <c r="AC273" s="114"/>
      <c r="AD273" s="114"/>
      <c r="AE273" s="114"/>
      <c r="AF273" s="114"/>
      <c r="AG273" s="114"/>
      <c r="AH273" s="114"/>
      <c r="AI273" s="114"/>
      <c r="AJ273" s="114"/>
      <c r="AK273" s="114"/>
      <c r="AL273" s="114"/>
      <c r="AM273" s="114"/>
      <c r="AN273" s="114"/>
      <c r="AO273" s="114"/>
      <c r="AP273" s="114"/>
      <c r="AQ273" s="114"/>
      <c r="AR273" s="114"/>
      <c r="AS273" s="114"/>
      <c r="AT273" s="114"/>
      <c r="AU273" s="114"/>
      <c r="AV273" s="114"/>
      <c r="AW273" s="114"/>
      <c r="AX273" s="114"/>
      <c r="AY273" s="114"/>
      <c r="AZ273" s="114"/>
      <c r="BA273" s="114"/>
      <c r="BB273" s="114"/>
      <c r="BC273" s="114"/>
      <c r="BD273" s="114"/>
      <c r="BE273" s="114"/>
      <c r="BF273" s="114"/>
      <c r="BG273" s="114"/>
      <c r="BH273" s="114"/>
      <c r="BI273" s="114"/>
    </row>
    <row r="274" spans="1:61" ht="7.4" customHeight="1" x14ac:dyDescent="0.5">
      <c r="A274" s="114"/>
      <c r="B274" s="114"/>
      <c r="C274" s="114"/>
      <c r="D274" s="114"/>
      <c r="E274" s="114"/>
      <c r="F274" s="114"/>
      <c r="G274" s="114"/>
      <c r="H274" s="114"/>
      <c r="I274" s="114"/>
      <c r="J274" s="114"/>
      <c r="K274" s="114"/>
      <c r="L274" s="114"/>
      <c r="M274" s="114"/>
      <c r="N274" s="114"/>
      <c r="O274" s="114"/>
      <c r="P274" s="114"/>
      <c r="Q274" s="114"/>
      <c r="R274" s="114"/>
      <c r="S274" s="114"/>
      <c r="T274" s="114"/>
      <c r="U274" s="114"/>
      <c r="V274" s="114"/>
      <c r="W274" s="114"/>
      <c r="X274" s="114"/>
      <c r="Y274" s="114"/>
      <c r="Z274" s="114"/>
      <c r="AA274" s="114"/>
      <c r="AB274" s="114"/>
      <c r="AC274" s="114"/>
      <c r="AD274" s="114"/>
      <c r="AE274" s="114"/>
      <c r="AF274" s="114"/>
      <c r="AG274" s="114"/>
      <c r="AH274" s="114"/>
      <c r="AI274" s="114"/>
      <c r="AJ274" s="114"/>
      <c r="AK274" s="114"/>
      <c r="AL274" s="114"/>
      <c r="AM274" s="114"/>
      <c r="AN274" s="114"/>
      <c r="AO274" s="114"/>
      <c r="AP274" s="114"/>
      <c r="AQ274" s="114"/>
      <c r="AR274" s="114"/>
      <c r="AS274" s="114"/>
      <c r="AT274" s="114"/>
      <c r="AU274" s="114"/>
      <c r="AV274" s="114"/>
      <c r="AW274" s="114"/>
      <c r="AX274" s="114"/>
      <c r="AY274" s="114"/>
      <c r="AZ274" s="114"/>
      <c r="BA274" s="114"/>
      <c r="BB274" s="114"/>
      <c r="BC274" s="114"/>
      <c r="BD274" s="114"/>
      <c r="BE274" s="114"/>
      <c r="BF274" s="114"/>
      <c r="BG274" s="114"/>
      <c r="BH274" s="114"/>
      <c r="BI274" s="114"/>
    </row>
    <row r="275" spans="1:61" ht="7.4" customHeight="1" x14ac:dyDescent="0.5">
      <c r="A275" s="114"/>
      <c r="B275" s="114"/>
      <c r="C275" s="114"/>
      <c r="D275" s="114"/>
      <c r="E275" s="114"/>
      <c r="F275" s="114"/>
      <c r="G275" s="114"/>
      <c r="H275" s="114"/>
      <c r="I275" s="114"/>
      <c r="J275" s="114"/>
      <c r="K275" s="114"/>
      <c r="L275" s="114"/>
      <c r="M275" s="114"/>
      <c r="N275" s="114"/>
      <c r="O275" s="114"/>
      <c r="P275" s="114"/>
      <c r="Q275" s="114"/>
      <c r="R275" s="114"/>
      <c r="S275" s="114"/>
      <c r="T275" s="114"/>
      <c r="U275" s="114"/>
      <c r="V275" s="114"/>
      <c r="W275" s="114"/>
      <c r="X275" s="114"/>
      <c r="Y275" s="114"/>
      <c r="Z275" s="114"/>
      <c r="AA275" s="114"/>
      <c r="AB275" s="114"/>
      <c r="AC275" s="114"/>
      <c r="AD275" s="114"/>
      <c r="AE275" s="114"/>
      <c r="AF275" s="114"/>
      <c r="AG275" s="114"/>
      <c r="AH275" s="114"/>
      <c r="AI275" s="114"/>
      <c r="AJ275" s="114"/>
      <c r="AK275" s="114"/>
      <c r="AL275" s="114"/>
      <c r="AM275" s="114"/>
      <c r="AN275" s="114"/>
      <c r="AO275" s="114"/>
      <c r="AP275" s="114"/>
      <c r="AQ275" s="114"/>
      <c r="AR275" s="114"/>
      <c r="AS275" s="114"/>
      <c r="AT275" s="114"/>
      <c r="AU275" s="114"/>
      <c r="AV275" s="114"/>
      <c r="AW275" s="114"/>
      <c r="AX275" s="114"/>
      <c r="AY275" s="114"/>
      <c r="AZ275" s="114"/>
      <c r="BA275" s="114"/>
      <c r="BB275" s="114"/>
      <c r="BC275" s="114"/>
      <c r="BD275" s="114"/>
      <c r="BE275" s="114"/>
      <c r="BF275" s="114"/>
      <c r="BG275" s="114"/>
      <c r="BH275" s="114"/>
      <c r="BI275" s="114"/>
    </row>
    <row r="276" spans="1:61" ht="7.4" customHeight="1" x14ac:dyDescent="0.5">
      <c r="A276" s="114"/>
      <c r="B276" s="114"/>
      <c r="C276" s="114"/>
      <c r="D276" s="114"/>
      <c r="E276" s="114"/>
      <c r="F276" s="114"/>
      <c r="G276" s="114"/>
      <c r="H276" s="114"/>
      <c r="I276" s="114"/>
      <c r="J276" s="114"/>
      <c r="K276" s="114"/>
      <c r="L276" s="114"/>
      <c r="M276" s="114"/>
      <c r="N276" s="114"/>
      <c r="O276" s="114"/>
      <c r="P276" s="114"/>
      <c r="Q276" s="114"/>
      <c r="R276" s="114"/>
      <c r="S276" s="114"/>
      <c r="T276" s="114"/>
      <c r="U276" s="114"/>
      <c r="V276" s="114"/>
      <c r="W276" s="114"/>
      <c r="X276" s="114"/>
      <c r="Y276" s="114"/>
      <c r="Z276" s="114"/>
      <c r="AA276" s="114"/>
      <c r="AB276" s="114"/>
      <c r="AC276" s="114"/>
      <c r="AD276" s="114"/>
      <c r="AE276" s="114"/>
      <c r="AF276" s="114"/>
      <c r="AG276" s="114"/>
      <c r="AH276" s="114"/>
      <c r="AI276" s="114"/>
      <c r="AJ276" s="114"/>
      <c r="AK276" s="114"/>
      <c r="AL276" s="114"/>
      <c r="AM276" s="114"/>
      <c r="AN276" s="114"/>
      <c r="AO276" s="114"/>
      <c r="AP276" s="114"/>
      <c r="AQ276" s="114"/>
      <c r="AR276" s="114"/>
      <c r="AS276" s="114"/>
      <c r="AT276" s="114"/>
      <c r="AU276" s="114"/>
      <c r="AV276" s="114"/>
      <c r="AW276" s="114"/>
      <c r="AX276" s="114"/>
      <c r="AY276" s="114"/>
      <c r="AZ276" s="114"/>
      <c r="BA276" s="114"/>
      <c r="BB276" s="114"/>
      <c r="BC276" s="114"/>
      <c r="BD276" s="114"/>
      <c r="BE276" s="114"/>
      <c r="BF276" s="114"/>
      <c r="BG276" s="114"/>
      <c r="BH276" s="114"/>
      <c r="BI276" s="114"/>
    </row>
    <row r="279" spans="1:61" ht="7.4" customHeight="1" x14ac:dyDescent="0.5">
      <c r="BB279" s="321" t="s">
        <v>183</v>
      </c>
      <c r="BC279" s="321"/>
      <c r="BD279" s="321"/>
      <c r="BE279" s="321"/>
      <c r="BF279" s="321"/>
      <c r="BG279" s="321"/>
      <c r="BH279" s="321"/>
      <c r="BI279" s="321"/>
    </row>
    <row r="280" spans="1:61" ht="7.4" customHeight="1" x14ac:dyDescent="0.5">
      <c r="V280" s="25"/>
      <c r="W280" s="25"/>
      <c r="X280" s="25"/>
      <c r="Y280" s="25"/>
      <c r="Z280" s="25"/>
      <c r="AA280" s="25"/>
      <c r="AB280" s="25"/>
      <c r="AC280" s="25"/>
      <c r="AD280" s="25"/>
      <c r="AE280" s="25"/>
      <c r="AF280" s="25"/>
      <c r="AG280" s="25"/>
      <c r="AH280" s="25"/>
      <c r="AI280" s="25"/>
      <c r="AJ280" s="25"/>
      <c r="AK280" s="25"/>
      <c r="AL280" s="25"/>
      <c r="AM280" s="25"/>
      <c r="AN280" s="25"/>
      <c r="AO280" s="25"/>
      <c r="AP280" s="25"/>
      <c r="AQ280" s="25"/>
      <c r="AR280" s="25"/>
      <c r="BB280" s="321"/>
      <c r="BC280" s="321"/>
      <c r="BD280" s="321"/>
      <c r="BE280" s="321"/>
      <c r="BF280" s="321"/>
      <c r="BG280" s="321"/>
      <c r="BH280" s="321"/>
      <c r="BI280" s="321"/>
    </row>
  </sheetData>
  <sheetProtection algorithmName="SHA-512" hashValue="dKHPwOvs3QwAvzbQdRe0CsjFNi2g3sFMqwx60sUx139/UlDj1Yf42Lfr/s695lIsW5G5zy6Lo2NZR/2sABPxHA==" saltValue="IlqvecfJ6EypFDiQQQRxCA==" spinCount="100000" sheet="1" objects="1" scenarios="1" selectLockedCells="1"/>
  <mergeCells count="1041">
    <mergeCell ref="T21:AP22"/>
    <mergeCell ref="B25:AC27"/>
    <mergeCell ref="AE25:BH27"/>
    <mergeCell ref="C28:R30"/>
    <mergeCell ref="T28:AC30"/>
    <mergeCell ref="AF28:AM30"/>
    <mergeCell ref="AO28:BH30"/>
    <mergeCell ref="C17:F18"/>
    <mergeCell ref="G17:X18"/>
    <mergeCell ref="Y17:AC18"/>
    <mergeCell ref="AD17:AS18"/>
    <mergeCell ref="AT17:AW18"/>
    <mergeCell ref="AX17:BH18"/>
    <mergeCell ref="C1:AI9"/>
    <mergeCell ref="AN1:BH2"/>
    <mergeCell ref="AN3:BH4"/>
    <mergeCell ref="AN5:BH6"/>
    <mergeCell ref="AN7:BH8"/>
    <mergeCell ref="A10:AL15"/>
    <mergeCell ref="AN11:AV12"/>
    <mergeCell ref="AX11:BH12"/>
    <mergeCell ref="AN13:AV14"/>
    <mergeCell ref="AX13:BH14"/>
    <mergeCell ref="BT43:CD48"/>
    <mergeCell ref="W45:Z45"/>
    <mergeCell ref="AE45:AH45"/>
    <mergeCell ref="AM45:AP45"/>
    <mergeCell ref="B48:BH50"/>
    <mergeCell ref="CA49:CE49"/>
    <mergeCell ref="AX35:AZ36"/>
    <mergeCell ref="BA35:BB36"/>
    <mergeCell ref="B39:BH41"/>
    <mergeCell ref="C43:G45"/>
    <mergeCell ref="J43:N45"/>
    <mergeCell ref="Q43:T45"/>
    <mergeCell ref="W43:AS44"/>
    <mergeCell ref="AV43:AZ45"/>
    <mergeCell ref="BC43:BG45"/>
    <mergeCell ref="C31:R33"/>
    <mergeCell ref="T31:AC33"/>
    <mergeCell ref="AF31:AM33"/>
    <mergeCell ref="AO31:BH33"/>
    <mergeCell ref="AF34:AM37"/>
    <mergeCell ref="BC34:BH37"/>
    <mergeCell ref="AO35:AV36"/>
    <mergeCell ref="AW35:AW36"/>
    <mergeCell ref="BF51:BH52"/>
    <mergeCell ref="C54:L55"/>
    <mergeCell ref="M54:O55"/>
    <mergeCell ref="P54:R55"/>
    <mergeCell ref="S54:U55"/>
    <mergeCell ref="V54:X55"/>
    <mergeCell ref="Y54:AA55"/>
    <mergeCell ref="AB54:AD55"/>
    <mergeCell ref="AE54:AG55"/>
    <mergeCell ref="AH54:AJ55"/>
    <mergeCell ref="AN51:AP52"/>
    <mergeCell ref="AQ51:AS52"/>
    <mergeCell ref="AT51:AV52"/>
    <mergeCell ref="AW51:AY52"/>
    <mergeCell ref="AZ51:BB52"/>
    <mergeCell ref="BC51:BE52"/>
    <mergeCell ref="CF49:CJ49"/>
    <mergeCell ref="M51:O52"/>
    <mergeCell ref="P51:R52"/>
    <mergeCell ref="S51:U52"/>
    <mergeCell ref="V51:X52"/>
    <mergeCell ref="Y51:AA52"/>
    <mergeCell ref="AB51:AD52"/>
    <mergeCell ref="AE51:AG52"/>
    <mergeCell ref="AH51:AJ52"/>
    <mergeCell ref="AK51:AM52"/>
    <mergeCell ref="BK61:BQ64"/>
    <mergeCell ref="C62:L63"/>
    <mergeCell ref="M62:O63"/>
    <mergeCell ref="P62:R63"/>
    <mergeCell ref="S62:U63"/>
    <mergeCell ref="V62:X63"/>
    <mergeCell ref="Y62:AA63"/>
    <mergeCell ref="AH58:AJ59"/>
    <mergeCell ref="AK58:AM59"/>
    <mergeCell ref="AN58:AP59"/>
    <mergeCell ref="AQ58:AS59"/>
    <mergeCell ref="AT58:AV59"/>
    <mergeCell ref="AW58:AY59"/>
    <mergeCell ref="BC54:BE55"/>
    <mergeCell ref="BF54:BH55"/>
    <mergeCell ref="C58:L59"/>
    <mergeCell ref="M58:O59"/>
    <mergeCell ref="P58:R59"/>
    <mergeCell ref="S58:U59"/>
    <mergeCell ref="V58:X59"/>
    <mergeCell ref="Y58:AA59"/>
    <mergeCell ref="AB58:AD59"/>
    <mergeCell ref="AE58:AG59"/>
    <mergeCell ref="AK54:AM55"/>
    <mergeCell ref="AN54:AP55"/>
    <mergeCell ref="AQ54:AS55"/>
    <mergeCell ref="AT54:AV55"/>
    <mergeCell ref="AW54:AY55"/>
    <mergeCell ref="AZ54:BB55"/>
    <mergeCell ref="AT62:AV63"/>
    <mergeCell ref="AW62:AY63"/>
    <mergeCell ref="AZ62:BB63"/>
    <mergeCell ref="BC62:BE63"/>
    <mergeCell ref="BF62:BH63"/>
    <mergeCell ref="C65:L67"/>
    <mergeCell ref="M66:O67"/>
    <mergeCell ref="P66:R67"/>
    <mergeCell ref="S66:U67"/>
    <mergeCell ref="V66:X67"/>
    <mergeCell ref="AB62:AD63"/>
    <mergeCell ref="AE62:AG63"/>
    <mergeCell ref="AH62:AJ63"/>
    <mergeCell ref="AK62:AM63"/>
    <mergeCell ref="AN62:AP63"/>
    <mergeCell ref="AQ62:AS63"/>
    <mergeCell ref="AZ58:BB59"/>
    <mergeCell ref="BC58:BE59"/>
    <mergeCell ref="BF58:BH59"/>
    <mergeCell ref="AI74:AP75"/>
    <mergeCell ref="AS74:BD75"/>
    <mergeCell ref="BF74:BH77"/>
    <mergeCell ref="BW74:CA75"/>
    <mergeCell ref="CB74:CD75"/>
    <mergeCell ref="AS76:BD77"/>
    <mergeCell ref="BL66:BN67"/>
    <mergeCell ref="BO66:BP67"/>
    <mergeCell ref="B70:U72"/>
    <mergeCell ref="W70:AP72"/>
    <mergeCell ref="AR70:BH72"/>
    <mergeCell ref="X73:AH75"/>
    <mergeCell ref="BL73:BU75"/>
    <mergeCell ref="C74:M75"/>
    <mergeCell ref="N74:R75"/>
    <mergeCell ref="S74:U75"/>
    <mergeCell ref="AQ66:AS67"/>
    <mergeCell ref="AT66:AV67"/>
    <mergeCell ref="AW66:AY67"/>
    <mergeCell ref="AZ66:BB67"/>
    <mergeCell ref="BC66:BE67"/>
    <mergeCell ref="BF66:BH67"/>
    <mergeCell ref="Y66:AA67"/>
    <mergeCell ref="AB66:AD67"/>
    <mergeCell ref="AE66:AG67"/>
    <mergeCell ref="AH66:AJ67"/>
    <mergeCell ref="AK66:AM67"/>
    <mergeCell ref="AN66:AP67"/>
    <mergeCell ref="CX79:CZ80"/>
    <mergeCell ref="DA79:DC80"/>
    <mergeCell ref="DD79:DF80"/>
    <mergeCell ref="AS80:BD81"/>
    <mergeCell ref="BF80:BH81"/>
    <mergeCell ref="C81:L83"/>
    <mergeCell ref="BK81:BM82"/>
    <mergeCell ref="BN81:BP82"/>
    <mergeCell ref="BQ81:BS82"/>
    <mergeCell ref="BT81:BV82"/>
    <mergeCell ref="CF79:CH80"/>
    <mergeCell ref="CI79:CK80"/>
    <mergeCell ref="CL79:CN80"/>
    <mergeCell ref="CO79:CQ80"/>
    <mergeCell ref="CR79:CT80"/>
    <mergeCell ref="CU79:CW80"/>
    <mergeCell ref="BN79:BP80"/>
    <mergeCell ref="BQ79:BS80"/>
    <mergeCell ref="BT79:BV80"/>
    <mergeCell ref="BW79:BY80"/>
    <mergeCell ref="BZ79:CB80"/>
    <mergeCell ref="CC79:CE80"/>
    <mergeCell ref="C77:L79"/>
    <mergeCell ref="X77:AH79"/>
    <mergeCell ref="N78:R79"/>
    <mergeCell ref="S78:U79"/>
    <mergeCell ref="AI78:AP79"/>
    <mergeCell ref="BK79:BM80"/>
    <mergeCell ref="DH81:DS82"/>
    <mergeCell ref="DT81:DU82"/>
    <mergeCell ref="N82:R83"/>
    <mergeCell ref="S82:U83"/>
    <mergeCell ref="X82:AH83"/>
    <mergeCell ref="AI82:AP83"/>
    <mergeCell ref="BK83:BM84"/>
    <mergeCell ref="BN83:BP84"/>
    <mergeCell ref="BQ83:BS84"/>
    <mergeCell ref="BT83:BV84"/>
    <mergeCell ref="CO81:CQ82"/>
    <mergeCell ref="CR81:CT82"/>
    <mergeCell ref="CU81:CW82"/>
    <mergeCell ref="CX81:CZ82"/>
    <mergeCell ref="DA81:DC82"/>
    <mergeCell ref="DD81:DF82"/>
    <mergeCell ref="BW81:BY82"/>
    <mergeCell ref="BZ81:CB82"/>
    <mergeCell ref="CC81:CE82"/>
    <mergeCell ref="CF81:CH82"/>
    <mergeCell ref="CI81:CK82"/>
    <mergeCell ref="CL81:CN82"/>
    <mergeCell ref="CO85:CQ86"/>
    <mergeCell ref="DH83:DI84"/>
    <mergeCell ref="DJ83:DS84"/>
    <mergeCell ref="AS84:BD85"/>
    <mergeCell ref="BF84:BH85"/>
    <mergeCell ref="BK85:BM86"/>
    <mergeCell ref="BN85:BP86"/>
    <mergeCell ref="BQ85:BS86"/>
    <mergeCell ref="BT85:BV86"/>
    <mergeCell ref="BW85:BY86"/>
    <mergeCell ref="CO83:CQ84"/>
    <mergeCell ref="CR83:CT84"/>
    <mergeCell ref="CU83:CW84"/>
    <mergeCell ref="CX83:CZ84"/>
    <mergeCell ref="DA83:DC84"/>
    <mergeCell ref="DD83:DF84"/>
    <mergeCell ref="BW83:BY84"/>
    <mergeCell ref="BZ83:CB84"/>
    <mergeCell ref="CC83:CE84"/>
    <mergeCell ref="CF83:CH84"/>
    <mergeCell ref="CI83:CK84"/>
    <mergeCell ref="CL83:CN84"/>
    <mergeCell ref="CU87:CW88"/>
    <mergeCell ref="CX87:CZ88"/>
    <mergeCell ref="DA87:DC88"/>
    <mergeCell ref="DD87:DF88"/>
    <mergeCell ref="DH87:DS88"/>
    <mergeCell ref="DT87:DU88"/>
    <mergeCell ref="CC87:CE88"/>
    <mergeCell ref="CF87:CH88"/>
    <mergeCell ref="CI87:CK88"/>
    <mergeCell ref="CL87:CN88"/>
    <mergeCell ref="CO87:CQ88"/>
    <mergeCell ref="CR87:CT88"/>
    <mergeCell ref="DJ85:DS86"/>
    <mergeCell ref="X86:AH87"/>
    <mergeCell ref="AI86:AP87"/>
    <mergeCell ref="BK87:BM88"/>
    <mergeCell ref="BN87:BP88"/>
    <mergeCell ref="BQ87:BS88"/>
    <mergeCell ref="BT87:BV88"/>
    <mergeCell ref="BW87:BY88"/>
    <mergeCell ref="BZ87:CB88"/>
    <mergeCell ref="CR85:CT86"/>
    <mergeCell ref="CU85:CW86"/>
    <mergeCell ref="CX85:CZ86"/>
    <mergeCell ref="DA85:DC86"/>
    <mergeCell ref="DD85:DF86"/>
    <mergeCell ref="DH85:DI86"/>
    <mergeCell ref="BZ85:CB86"/>
    <mergeCell ref="CC85:CE86"/>
    <mergeCell ref="CF85:CH86"/>
    <mergeCell ref="CI85:CK86"/>
    <mergeCell ref="CL85:CN86"/>
    <mergeCell ref="CC91:CE92"/>
    <mergeCell ref="CF91:CH92"/>
    <mergeCell ref="CI91:CK92"/>
    <mergeCell ref="CL91:CN92"/>
    <mergeCell ref="CU89:CW90"/>
    <mergeCell ref="CX89:CZ90"/>
    <mergeCell ref="DA89:DC90"/>
    <mergeCell ref="DD89:DF90"/>
    <mergeCell ref="DH89:DS90"/>
    <mergeCell ref="A91:BI92"/>
    <mergeCell ref="BK91:BM92"/>
    <mergeCell ref="BN91:BP92"/>
    <mergeCell ref="BQ91:BS92"/>
    <mergeCell ref="BT91:BV92"/>
    <mergeCell ref="CC89:CE90"/>
    <mergeCell ref="CF89:CH90"/>
    <mergeCell ref="CI89:CK90"/>
    <mergeCell ref="CL89:CN90"/>
    <mergeCell ref="CO89:CQ90"/>
    <mergeCell ref="CR89:CT90"/>
    <mergeCell ref="BK89:BM90"/>
    <mergeCell ref="BN89:BP90"/>
    <mergeCell ref="BQ89:BS90"/>
    <mergeCell ref="BT89:BV90"/>
    <mergeCell ref="BW89:BY90"/>
    <mergeCell ref="BZ89:CB90"/>
    <mergeCell ref="DD93:DF94"/>
    <mergeCell ref="DH93:DV94"/>
    <mergeCell ref="BK105:BP106"/>
    <mergeCell ref="BQ105:BW106"/>
    <mergeCell ref="BX105:CC106"/>
    <mergeCell ref="BK107:BP108"/>
    <mergeCell ref="BQ107:BW108"/>
    <mergeCell ref="BX107:CC108"/>
    <mergeCell ref="CL93:CN94"/>
    <mergeCell ref="CO93:CQ94"/>
    <mergeCell ref="CR93:CT94"/>
    <mergeCell ref="CU93:CW94"/>
    <mergeCell ref="CX93:CZ94"/>
    <mergeCell ref="DA93:DC94"/>
    <mergeCell ref="DH91:DS92"/>
    <mergeCell ref="BK93:BM94"/>
    <mergeCell ref="BN93:BP94"/>
    <mergeCell ref="BQ93:BS94"/>
    <mergeCell ref="BT93:BV94"/>
    <mergeCell ref="BW93:BY94"/>
    <mergeCell ref="BZ93:CB94"/>
    <mergeCell ref="CC93:CE94"/>
    <mergeCell ref="CF93:CH94"/>
    <mergeCell ref="CI93:CK94"/>
    <mergeCell ref="CO91:CQ92"/>
    <mergeCell ref="CR91:CT92"/>
    <mergeCell ref="CU91:CW92"/>
    <mergeCell ref="CX91:CZ92"/>
    <mergeCell ref="DA91:DC92"/>
    <mergeCell ref="DD91:DF92"/>
    <mergeCell ref="BW91:BY92"/>
    <mergeCell ref="BZ91:CB92"/>
    <mergeCell ref="CO111:CT112"/>
    <mergeCell ref="CO113:CT113"/>
    <mergeCell ref="C114:E117"/>
    <mergeCell ref="G114:R117"/>
    <mergeCell ref="T114:AJ117"/>
    <mergeCell ref="AL114:AP117"/>
    <mergeCell ref="BK115:BM116"/>
    <mergeCell ref="BN115:BP116"/>
    <mergeCell ref="T110:AP111"/>
    <mergeCell ref="BK111:BP112"/>
    <mergeCell ref="BQ111:BV112"/>
    <mergeCell ref="BW111:CB112"/>
    <mergeCell ref="CC111:CH112"/>
    <mergeCell ref="CI111:CN112"/>
    <mergeCell ref="BK109:BP110"/>
    <mergeCell ref="BQ109:BV110"/>
    <mergeCell ref="BW109:CB110"/>
    <mergeCell ref="CC109:CH110"/>
    <mergeCell ref="CI109:CN110"/>
    <mergeCell ref="CO109:CT110"/>
    <mergeCell ref="DH115:DK116"/>
    <mergeCell ref="DL115:DT116"/>
    <mergeCell ref="BK118:BM118"/>
    <mergeCell ref="BN118:BP118"/>
    <mergeCell ref="BQ118:BS118"/>
    <mergeCell ref="BT118:BV118"/>
    <mergeCell ref="BW118:BY118"/>
    <mergeCell ref="BZ118:CB118"/>
    <mergeCell ref="CI115:CK116"/>
    <mergeCell ref="CL115:CN116"/>
    <mergeCell ref="CO115:CQ116"/>
    <mergeCell ref="CR115:CT116"/>
    <mergeCell ref="CU115:CW116"/>
    <mergeCell ref="CX115:CZ116"/>
    <mergeCell ref="BQ115:BS116"/>
    <mergeCell ref="BT115:BV116"/>
    <mergeCell ref="BW115:BY116"/>
    <mergeCell ref="BZ115:CB116"/>
    <mergeCell ref="CC115:CE116"/>
    <mergeCell ref="CF115:CH116"/>
    <mergeCell ref="CU118:CW118"/>
    <mergeCell ref="CX118:CZ118"/>
    <mergeCell ref="DA118:DC118"/>
    <mergeCell ref="DD118:DF118"/>
    <mergeCell ref="C119:D120"/>
    <mergeCell ref="G119:R120"/>
    <mergeCell ref="T119:AC120"/>
    <mergeCell ref="AF119:AI120"/>
    <mergeCell ref="AL119:AO120"/>
    <mergeCell ref="CC118:CE118"/>
    <mergeCell ref="CF118:CH118"/>
    <mergeCell ref="CI118:CK118"/>
    <mergeCell ref="CL118:CN118"/>
    <mergeCell ref="CO118:CQ118"/>
    <mergeCell ref="CR118:CT118"/>
    <mergeCell ref="DA115:DC116"/>
    <mergeCell ref="DD115:DF116"/>
    <mergeCell ref="DD119:DF120"/>
    <mergeCell ref="DH119:DK120"/>
    <mergeCell ref="DL119:DS120"/>
    <mergeCell ref="C121:D121"/>
    <mergeCell ref="AL121:AO121"/>
    <mergeCell ref="BK121:BM121"/>
    <mergeCell ref="BN121:BP121"/>
    <mergeCell ref="BQ121:BS121"/>
    <mergeCell ref="CL119:CN120"/>
    <mergeCell ref="CO119:CQ120"/>
    <mergeCell ref="CR119:CT120"/>
    <mergeCell ref="CU119:CW120"/>
    <mergeCell ref="CX119:CZ120"/>
    <mergeCell ref="DA119:DC120"/>
    <mergeCell ref="BT119:BV120"/>
    <mergeCell ref="BW119:BY120"/>
    <mergeCell ref="BZ119:CB120"/>
    <mergeCell ref="CC119:CE120"/>
    <mergeCell ref="CF119:CH120"/>
    <mergeCell ref="CI119:CK120"/>
    <mergeCell ref="BK119:BM120"/>
    <mergeCell ref="BN119:BP120"/>
    <mergeCell ref="BQ119:BS120"/>
    <mergeCell ref="CO122:CQ122"/>
    <mergeCell ref="CR122:CT122"/>
    <mergeCell ref="CU122:CW122"/>
    <mergeCell ref="CX122:CZ122"/>
    <mergeCell ref="DA122:DC122"/>
    <mergeCell ref="DD122:DF122"/>
    <mergeCell ref="BW122:BY122"/>
    <mergeCell ref="BZ122:CB122"/>
    <mergeCell ref="CC122:CE122"/>
    <mergeCell ref="CF122:CH122"/>
    <mergeCell ref="CI122:CK122"/>
    <mergeCell ref="CL122:CN122"/>
    <mergeCell ref="DD121:DF121"/>
    <mergeCell ref="DH121:DK121"/>
    <mergeCell ref="DL121:DS121"/>
    <mergeCell ref="AL122:AO122"/>
    <mergeCell ref="BK122:BM122"/>
    <mergeCell ref="BN122:BP122"/>
    <mergeCell ref="BQ122:BS122"/>
    <mergeCell ref="BT122:BV122"/>
    <mergeCell ref="CL121:CN121"/>
    <mergeCell ref="CO121:CQ121"/>
    <mergeCell ref="CR121:CT121"/>
    <mergeCell ref="CU121:CW121"/>
    <mergeCell ref="CX121:CZ121"/>
    <mergeCell ref="DA121:DC121"/>
    <mergeCell ref="BT121:BV121"/>
    <mergeCell ref="BW121:BY121"/>
    <mergeCell ref="BZ121:CB121"/>
    <mergeCell ref="CC121:CE121"/>
    <mergeCell ref="CF121:CH121"/>
    <mergeCell ref="CI121:CK121"/>
    <mergeCell ref="AL126:AO126"/>
    <mergeCell ref="C127:D128"/>
    <mergeCell ref="G127:R128"/>
    <mergeCell ref="T127:AJ128"/>
    <mergeCell ref="AL127:AO128"/>
    <mergeCell ref="DD123:DF124"/>
    <mergeCell ref="DH123:DK124"/>
    <mergeCell ref="DL123:DS124"/>
    <mergeCell ref="C125:D125"/>
    <mergeCell ref="AL125:AO125"/>
    <mergeCell ref="DH125:DK125"/>
    <mergeCell ref="DL125:DS125"/>
    <mergeCell ref="CL123:CN124"/>
    <mergeCell ref="CO123:CQ124"/>
    <mergeCell ref="CR123:CT124"/>
    <mergeCell ref="CU123:CW124"/>
    <mergeCell ref="CX123:CZ124"/>
    <mergeCell ref="DA123:DC124"/>
    <mergeCell ref="BT123:BV124"/>
    <mergeCell ref="BW123:BY124"/>
    <mergeCell ref="BZ123:CB124"/>
    <mergeCell ref="CC123:CE124"/>
    <mergeCell ref="CF123:CH124"/>
    <mergeCell ref="CI123:CK124"/>
    <mergeCell ref="BK123:BM124"/>
    <mergeCell ref="BN123:BP124"/>
    <mergeCell ref="BQ123:BS124"/>
    <mergeCell ref="C123:D124"/>
    <mergeCell ref="G123:R124"/>
    <mergeCell ref="T123:AC124"/>
    <mergeCell ref="AF123:AI124"/>
    <mergeCell ref="AL123:AO124"/>
    <mergeCell ref="AL130:AO130"/>
    <mergeCell ref="C131:D132"/>
    <mergeCell ref="G131:R132"/>
    <mergeCell ref="T131:AJ132"/>
    <mergeCell ref="AL131:AO132"/>
    <mergeCell ref="DL127:DS128"/>
    <mergeCell ref="C129:D129"/>
    <mergeCell ref="AL129:AO129"/>
    <mergeCell ref="DH129:DK129"/>
    <mergeCell ref="DL129:DS129"/>
    <mergeCell ref="CR127:CT128"/>
    <mergeCell ref="CU127:CW128"/>
    <mergeCell ref="CX127:CZ128"/>
    <mergeCell ref="DA127:DC128"/>
    <mergeCell ref="DD127:DF128"/>
    <mergeCell ref="DH127:DK128"/>
    <mergeCell ref="BZ127:CB128"/>
    <mergeCell ref="CC127:CE128"/>
    <mergeCell ref="CF127:CH128"/>
    <mergeCell ref="CI127:CK128"/>
    <mergeCell ref="CL127:CN128"/>
    <mergeCell ref="CO127:CQ128"/>
    <mergeCell ref="BK127:BM128"/>
    <mergeCell ref="BN127:BP128"/>
    <mergeCell ref="BQ127:BS128"/>
    <mergeCell ref="BT127:BV128"/>
    <mergeCell ref="BW127:BY128"/>
    <mergeCell ref="AL134:AO134"/>
    <mergeCell ref="C135:D136"/>
    <mergeCell ref="G135:R136"/>
    <mergeCell ref="T135:AJ136"/>
    <mergeCell ref="AL135:AO136"/>
    <mergeCell ref="DL131:DS132"/>
    <mergeCell ref="C133:D133"/>
    <mergeCell ref="AL133:AO133"/>
    <mergeCell ref="DH133:DK133"/>
    <mergeCell ref="DL133:DS133"/>
    <mergeCell ref="CR131:CT132"/>
    <mergeCell ref="CU131:CW132"/>
    <mergeCell ref="CX131:CZ132"/>
    <mergeCell ref="DA131:DC132"/>
    <mergeCell ref="DD131:DF132"/>
    <mergeCell ref="DH131:DK132"/>
    <mergeCell ref="BZ131:CB132"/>
    <mergeCell ref="CC131:CE132"/>
    <mergeCell ref="CF131:CH132"/>
    <mergeCell ref="CI131:CK132"/>
    <mergeCell ref="CL131:CN132"/>
    <mergeCell ref="CO131:CQ132"/>
    <mergeCell ref="BK131:BM132"/>
    <mergeCell ref="BN131:BP132"/>
    <mergeCell ref="BQ131:BS132"/>
    <mergeCell ref="BT131:BV132"/>
    <mergeCell ref="BW131:BY132"/>
    <mergeCell ref="C138:D138"/>
    <mergeCell ref="AL138:AO138"/>
    <mergeCell ref="DH138:DK138"/>
    <mergeCell ref="DL138:DS138"/>
    <mergeCell ref="DL135:DS136"/>
    <mergeCell ref="AL137:AO137"/>
    <mergeCell ref="DH137:DK137"/>
    <mergeCell ref="DL137:DS137"/>
    <mergeCell ref="AR135:BG136"/>
    <mergeCell ref="CR135:CT136"/>
    <mergeCell ref="CU135:CW136"/>
    <mergeCell ref="CX135:CZ136"/>
    <mergeCell ref="DA135:DC136"/>
    <mergeCell ref="DD135:DF136"/>
    <mergeCell ref="DH135:DK136"/>
    <mergeCell ref="BZ135:CB136"/>
    <mergeCell ref="CC135:CE136"/>
    <mergeCell ref="CF135:CH136"/>
    <mergeCell ref="CI135:CK136"/>
    <mergeCell ref="CL135:CN136"/>
    <mergeCell ref="CO135:CQ136"/>
    <mergeCell ref="BK135:BM136"/>
    <mergeCell ref="BN135:BP136"/>
    <mergeCell ref="BQ135:BS136"/>
    <mergeCell ref="BT135:BV136"/>
    <mergeCell ref="BW135:BY136"/>
    <mergeCell ref="AL142:AO142"/>
    <mergeCell ref="C143:D144"/>
    <mergeCell ref="G143:R144"/>
    <mergeCell ref="T143:AJ144"/>
    <mergeCell ref="AL143:AO144"/>
    <mergeCell ref="DH139:DK140"/>
    <mergeCell ref="DL139:DS141"/>
    <mergeCell ref="C141:D141"/>
    <mergeCell ref="AL141:AO141"/>
    <mergeCell ref="DH141:DK141"/>
    <mergeCell ref="AR139:BG140"/>
    <mergeCell ref="CO139:CQ140"/>
    <mergeCell ref="CR139:CT140"/>
    <mergeCell ref="CU139:CW140"/>
    <mergeCell ref="CX139:CZ140"/>
    <mergeCell ref="DA139:DC140"/>
    <mergeCell ref="DD139:DF140"/>
    <mergeCell ref="BW139:BY140"/>
    <mergeCell ref="BZ139:CB140"/>
    <mergeCell ref="CC139:CE140"/>
    <mergeCell ref="CF139:CH140"/>
    <mergeCell ref="CI139:CK140"/>
    <mergeCell ref="CL139:CN140"/>
    <mergeCell ref="BK139:BM140"/>
    <mergeCell ref="BN139:BP140"/>
    <mergeCell ref="BQ139:BS140"/>
    <mergeCell ref="BT139:BV140"/>
    <mergeCell ref="C139:D140"/>
    <mergeCell ref="G139:R140"/>
    <mergeCell ref="T139:AJ140"/>
    <mergeCell ref="AL139:AO140"/>
    <mergeCell ref="AL146:AO146"/>
    <mergeCell ref="C147:D148"/>
    <mergeCell ref="G147:R148"/>
    <mergeCell ref="T147:AJ148"/>
    <mergeCell ref="AL147:AO148"/>
    <mergeCell ref="DL143:DS144"/>
    <mergeCell ref="C145:D145"/>
    <mergeCell ref="AL145:AO145"/>
    <mergeCell ref="DH145:DK145"/>
    <mergeCell ref="DL145:DS145"/>
    <mergeCell ref="AR143:BG144"/>
    <mergeCell ref="CR143:CT144"/>
    <mergeCell ref="CU143:CW144"/>
    <mergeCell ref="CX143:CZ144"/>
    <mergeCell ref="DA143:DC144"/>
    <mergeCell ref="DD143:DF144"/>
    <mergeCell ref="DH143:DK144"/>
    <mergeCell ref="BZ143:CB144"/>
    <mergeCell ref="CC143:CE144"/>
    <mergeCell ref="CF143:CH144"/>
    <mergeCell ref="CI143:CK144"/>
    <mergeCell ref="CL143:CN144"/>
    <mergeCell ref="CO143:CQ144"/>
    <mergeCell ref="BK143:BM144"/>
    <mergeCell ref="BN143:BP144"/>
    <mergeCell ref="BQ143:BS144"/>
    <mergeCell ref="BT143:BV144"/>
    <mergeCell ref="BW143:BY144"/>
    <mergeCell ref="AL150:AO150"/>
    <mergeCell ref="C151:D152"/>
    <mergeCell ref="G151:R152"/>
    <mergeCell ref="T151:AJ152"/>
    <mergeCell ref="AL151:AO152"/>
    <mergeCell ref="DL147:DS148"/>
    <mergeCell ref="C149:D149"/>
    <mergeCell ref="AL149:AO149"/>
    <mergeCell ref="DH149:DK149"/>
    <mergeCell ref="DL149:DS149"/>
    <mergeCell ref="AR147:BG148"/>
    <mergeCell ref="CR147:CT148"/>
    <mergeCell ref="CU147:CW148"/>
    <mergeCell ref="CX147:CZ148"/>
    <mergeCell ref="DA147:DC148"/>
    <mergeCell ref="DD147:DF148"/>
    <mergeCell ref="DH147:DK148"/>
    <mergeCell ref="BZ147:CB148"/>
    <mergeCell ref="CC147:CE148"/>
    <mergeCell ref="CF147:CH148"/>
    <mergeCell ref="CI147:CK148"/>
    <mergeCell ref="CL147:CN148"/>
    <mergeCell ref="CO147:CQ148"/>
    <mergeCell ref="BK147:BM148"/>
    <mergeCell ref="BN147:BP148"/>
    <mergeCell ref="BQ147:BS148"/>
    <mergeCell ref="BT147:BV148"/>
    <mergeCell ref="BW147:BY148"/>
    <mergeCell ref="AL154:AO154"/>
    <mergeCell ref="C155:D156"/>
    <mergeCell ref="G155:R156"/>
    <mergeCell ref="T155:AJ156"/>
    <mergeCell ref="AL155:AO156"/>
    <mergeCell ref="DL151:DS152"/>
    <mergeCell ref="C153:D153"/>
    <mergeCell ref="AL153:AO153"/>
    <mergeCell ref="DH153:DK153"/>
    <mergeCell ref="DL153:DS153"/>
    <mergeCell ref="AR151:BG152"/>
    <mergeCell ref="CR151:CT152"/>
    <mergeCell ref="CU151:CW152"/>
    <mergeCell ref="CX151:CZ152"/>
    <mergeCell ref="DA151:DC152"/>
    <mergeCell ref="DD151:DF152"/>
    <mergeCell ref="DH151:DK152"/>
    <mergeCell ref="BZ151:CB152"/>
    <mergeCell ref="CC151:CE152"/>
    <mergeCell ref="CF151:CH152"/>
    <mergeCell ref="CI151:CK152"/>
    <mergeCell ref="CL151:CN152"/>
    <mergeCell ref="CO151:CQ152"/>
    <mergeCell ref="BK151:BM152"/>
    <mergeCell ref="BN151:BP152"/>
    <mergeCell ref="BQ151:BS152"/>
    <mergeCell ref="BT151:BV152"/>
    <mergeCell ref="BW151:BY152"/>
    <mergeCell ref="AL158:AO158"/>
    <mergeCell ref="C159:D160"/>
    <mergeCell ref="G159:R160"/>
    <mergeCell ref="T159:AJ160"/>
    <mergeCell ref="AL159:AO160"/>
    <mergeCell ref="DL155:DS156"/>
    <mergeCell ref="C157:D157"/>
    <mergeCell ref="AL157:AO157"/>
    <mergeCell ref="DH157:DK157"/>
    <mergeCell ref="DL157:DS157"/>
    <mergeCell ref="AR155:BG156"/>
    <mergeCell ref="CR155:CT156"/>
    <mergeCell ref="CU155:CW156"/>
    <mergeCell ref="CX155:CZ156"/>
    <mergeCell ref="DA155:DC156"/>
    <mergeCell ref="DD155:DF156"/>
    <mergeCell ref="DH155:DK156"/>
    <mergeCell ref="BZ155:CB156"/>
    <mergeCell ref="CC155:CE156"/>
    <mergeCell ref="CF155:CH156"/>
    <mergeCell ref="CI155:CK156"/>
    <mergeCell ref="CL155:CN156"/>
    <mergeCell ref="CO155:CQ156"/>
    <mergeCell ref="BK155:BM156"/>
    <mergeCell ref="BN155:BP156"/>
    <mergeCell ref="BQ155:BS156"/>
    <mergeCell ref="BT155:BV156"/>
    <mergeCell ref="BW155:BY156"/>
    <mergeCell ref="C162:D162"/>
    <mergeCell ref="AL162:AO162"/>
    <mergeCell ref="DH162:DK162"/>
    <mergeCell ref="DL162:DS162"/>
    <mergeCell ref="DL159:DS160"/>
    <mergeCell ref="C161:D161"/>
    <mergeCell ref="AL161:AO161"/>
    <mergeCell ref="DH161:DK161"/>
    <mergeCell ref="DL161:DS161"/>
    <mergeCell ref="AR159:BG160"/>
    <mergeCell ref="CR159:CT160"/>
    <mergeCell ref="CU159:CW160"/>
    <mergeCell ref="CX159:CZ160"/>
    <mergeCell ref="DA159:DC160"/>
    <mergeCell ref="DD159:DF160"/>
    <mergeCell ref="DH159:DK160"/>
    <mergeCell ref="BZ159:CB160"/>
    <mergeCell ref="CC159:CE160"/>
    <mergeCell ref="CF159:CH160"/>
    <mergeCell ref="CI159:CK160"/>
    <mergeCell ref="CL159:CN160"/>
    <mergeCell ref="CO159:CQ160"/>
    <mergeCell ref="BK159:BM160"/>
    <mergeCell ref="BN159:BP160"/>
    <mergeCell ref="BQ159:BS160"/>
    <mergeCell ref="BT159:BV160"/>
    <mergeCell ref="BW159:BY160"/>
    <mergeCell ref="C166:D166"/>
    <mergeCell ref="AL166:AO166"/>
    <mergeCell ref="DH166:DK166"/>
    <mergeCell ref="DL166:DS166"/>
    <mergeCell ref="DH163:DK164"/>
    <mergeCell ref="DL163:DS164"/>
    <mergeCell ref="C165:D165"/>
    <mergeCell ref="AL165:AO165"/>
    <mergeCell ref="DH165:DK165"/>
    <mergeCell ref="DL165:DS165"/>
    <mergeCell ref="AR163:BG164"/>
    <mergeCell ref="CO163:CQ164"/>
    <mergeCell ref="CR163:CT164"/>
    <mergeCell ref="CU163:CW164"/>
    <mergeCell ref="CX163:CZ164"/>
    <mergeCell ref="DA163:DC164"/>
    <mergeCell ref="DD163:DF164"/>
    <mergeCell ref="BW163:BY164"/>
    <mergeCell ref="BZ163:CB164"/>
    <mergeCell ref="CC163:CE164"/>
    <mergeCell ref="CF163:CH164"/>
    <mergeCell ref="CI163:CK164"/>
    <mergeCell ref="CL163:CN164"/>
    <mergeCell ref="BK163:BM164"/>
    <mergeCell ref="BN163:BP164"/>
    <mergeCell ref="BQ163:BS164"/>
    <mergeCell ref="BT163:BV164"/>
    <mergeCell ref="C163:D164"/>
    <mergeCell ref="G163:R164"/>
    <mergeCell ref="T163:AJ164"/>
    <mergeCell ref="AL163:AO164"/>
    <mergeCell ref="C170:D170"/>
    <mergeCell ref="AL170:AO170"/>
    <mergeCell ref="DH170:DK170"/>
    <mergeCell ref="DL170:DS170"/>
    <mergeCell ref="DH167:DK168"/>
    <mergeCell ref="DL167:DS168"/>
    <mergeCell ref="C169:D169"/>
    <mergeCell ref="AL169:AO169"/>
    <mergeCell ref="DH169:DK169"/>
    <mergeCell ref="DL169:DS169"/>
    <mergeCell ref="AR167:BG168"/>
    <mergeCell ref="CO167:CQ168"/>
    <mergeCell ref="CR167:CT168"/>
    <mergeCell ref="CU167:CW168"/>
    <mergeCell ref="CX167:CZ168"/>
    <mergeCell ref="DA167:DC168"/>
    <mergeCell ref="DD167:DF168"/>
    <mergeCell ref="BW167:BY168"/>
    <mergeCell ref="BZ167:CB168"/>
    <mergeCell ref="CC167:CE168"/>
    <mergeCell ref="CF167:CH168"/>
    <mergeCell ref="CI167:CK168"/>
    <mergeCell ref="CL167:CN168"/>
    <mergeCell ref="BK167:BM168"/>
    <mergeCell ref="BN167:BP168"/>
    <mergeCell ref="BQ167:BS168"/>
    <mergeCell ref="BT167:BV168"/>
    <mergeCell ref="C167:D168"/>
    <mergeCell ref="G167:R168"/>
    <mergeCell ref="T167:AJ168"/>
    <mergeCell ref="AL167:AO168"/>
    <mergeCell ref="AL174:AO174"/>
    <mergeCell ref="DH174:DK174"/>
    <mergeCell ref="DL174:DS174"/>
    <mergeCell ref="DH171:DK172"/>
    <mergeCell ref="DL171:DS172"/>
    <mergeCell ref="C173:D173"/>
    <mergeCell ref="AL173:AO173"/>
    <mergeCell ref="DH173:DK173"/>
    <mergeCell ref="DL173:DS173"/>
    <mergeCell ref="AR171:BG172"/>
    <mergeCell ref="CO171:CQ172"/>
    <mergeCell ref="CR171:CT172"/>
    <mergeCell ref="CU171:CW172"/>
    <mergeCell ref="CX171:CZ172"/>
    <mergeCell ref="DA171:DC172"/>
    <mergeCell ref="DD171:DF172"/>
    <mergeCell ref="BW171:BY172"/>
    <mergeCell ref="BZ171:CB172"/>
    <mergeCell ref="CC171:CE172"/>
    <mergeCell ref="CF171:CH172"/>
    <mergeCell ref="CI171:CK172"/>
    <mergeCell ref="CL171:CN172"/>
    <mergeCell ref="BK171:BM172"/>
    <mergeCell ref="BN171:BP172"/>
    <mergeCell ref="BQ171:BS172"/>
    <mergeCell ref="BT171:BV172"/>
    <mergeCell ref="C171:D172"/>
    <mergeCell ref="G171:R172"/>
    <mergeCell ref="T171:AJ172"/>
    <mergeCell ref="AL171:AO172"/>
    <mergeCell ref="DL178:DS178"/>
    <mergeCell ref="DH175:DK176"/>
    <mergeCell ref="DL175:DS176"/>
    <mergeCell ref="C177:D177"/>
    <mergeCell ref="AL177:AO177"/>
    <mergeCell ref="DH177:DK177"/>
    <mergeCell ref="DL177:DS177"/>
    <mergeCell ref="AR175:BG176"/>
    <mergeCell ref="CO175:CQ176"/>
    <mergeCell ref="CR175:CT176"/>
    <mergeCell ref="CU175:CW176"/>
    <mergeCell ref="CX175:CZ176"/>
    <mergeCell ref="DA175:DC176"/>
    <mergeCell ref="DD175:DF176"/>
    <mergeCell ref="BW175:BY176"/>
    <mergeCell ref="BZ175:CB176"/>
    <mergeCell ref="CC175:CE176"/>
    <mergeCell ref="CF175:CH176"/>
    <mergeCell ref="CI175:CK176"/>
    <mergeCell ref="CL175:CN176"/>
    <mergeCell ref="BK175:BM176"/>
    <mergeCell ref="BN175:BP176"/>
    <mergeCell ref="BQ175:BS176"/>
    <mergeCell ref="BT175:BV176"/>
    <mergeCell ref="C175:D176"/>
    <mergeCell ref="G175:R176"/>
    <mergeCell ref="T175:AJ176"/>
    <mergeCell ref="AL175:AO176"/>
    <mergeCell ref="DL179:DS180"/>
    <mergeCell ref="C182:D182"/>
    <mergeCell ref="AL182:AO182"/>
    <mergeCell ref="DH182:DK182"/>
    <mergeCell ref="DL182:DS182"/>
    <mergeCell ref="AR179:BG180"/>
    <mergeCell ref="CO179:CQ180"/>
    <mergeCell ref="CR179:CT180"/>
    <mergeCell ref="CU179:CW180"/>
    <mergeCell ref="CX179:CZ180"/>
    <mergeCell ref="DA179:DC180"/>
    <mergeCell ref="DD179:DF180"/>
    <mergeCell ref="BW179:BY180"/>
    <mergeCell ref="BZ179:CB180"/>
    <mergeCell ref="CC179:CE180"/>
    <mergeCell ref="CF179:CH180"/>
    <mergeCell ref="CI179:CK180"/>
    <mergeCell ref="CL179:CN180"/>
    <mergeCell ref="BK179:BM180"/>
    <mergeCell ref="BN179:BP180"/>
    <mergeCell ref="BQ179:BS180"/>
    <mergeCell ref="BT179:BV180"/>
    <mergeCell ref="C179:D180"/>
    <mergeCell ref="G179:R180"/>
    <mergeCell ref="T179:AJ180"/>
    <mergeCell ref="AL179:AO180"/>
    <mergeCell ref="DL186:DS186"/>
    <mergeCell ref="DH183:DK184"/>
    <mergeCell ref="DL183:DS184"/>
    <mergeCell ref="C185:D185"/>
    <mergeCell ref="AL185:AO185"/>
    <mergeCell ref="DH185:DK185"/>
    <mergeCell ref="DL185:DS185"/>
    <mergeCell ref="AR183:BG184"/>
    <mergeCell ref="CO183:CQ184"/>
    <mergeCell ref="CR183:CT184"/>
    <mergeCell ref="CU183:CW184"/>
    <mergeCell ref="CX183:CZ184"/>
    <mergeCell ref="DA183:DC184"/>
    <mergeCell ref="DD183:DF184"/>
    <mergeCell ref="BW183:BY184"/>
    <mergeCell ref="BZ183:CB184"/>
    <mergeCell ref="CC183:CE184"/>
    <mergeCell ref="CF183:CH184"/>
    <mergeCell ref="CI183:CK184"/>
    <mergeCell ref="CL183:CN184"/>
    <mergeCell ref="BK183:BM184"/>
    <mergeCell ref="BN183:BP184"/>
    <mergeCell ref="BQ183:BS184"/>
    <mergeCell ref="BT183:BV184"/>
    <mergeCell ref="C183:D184"/>
    <mergeCell ref="G183:R184"/>
    <mergeCell ref="T183:AJ184"/>
    <mergeCell ref="AL183:AO184"/>
    <mergeCell ref="DL187:DS188"/>
    <mergeCell ref="C189:D189"/>
    <mergeCell ref="AL189:AO189"/>
    <mergeCell ref="DH189:DK189"/>
    <mergeCell ref="DL189:DS189"/>
    <mergeCell ref="AR187:BG188"/>
    <mergeCell ref="CO187:CQ188"/>
    <mergeCell ref="CR187:CT188"/>
    <mergeCell ref="CU187:CW188"/>
    <mergeCell ref="CX187:CZ188"/>
    <mergeCell ref="DA187:DC188"/>
    <mergeCell ref="DD187:DF188"/>
    <mergeCell ref="BW187:BY188"/>
    <mergeCell ref="BZ187:CB188"/>
    <mergeCell ref="CC187:CE188"/>
    <mergeCell ref="CF187:CH188"/>
    <mergeCell ref="CI187:CK188"/>
    <mergeCell ref="CL187:CN188"/>
    <mergeCell ref="BK187:BM188"/>
    <mergeCell ref="BN187:BP188"/>
    <mergeCell ref="BQ187:BS188"/>
    <mergeCell ref="BT187:BV188"/>
    <mergeCell ref="C187:D188"/>
    <mergeCell ref="G187:R188"/>
    <mergeCell ref="T187:AJ188"/>
    <mergeCell ref="AL187:AO188"/>
    <mergeCell ref="DL194:DS194"/>
    <mergeCell ref="C195:D196"/>
    <mergeCell ref="G195:R196"/>
    <mergeCell ref="T195:AJ196"/>
    <mergeCell ref="AL195:AO196"/>
    <mergeCell ref="DH191:DK192"/>
    <mergeCell ref="DL191:DS192"/>
    <mergeCell ref="AL193:AO193"/>
    <mergeCell ref="DH193:DK193"/>
    <mergeCell ref="DL193:DS193"/>
    <mergeCell ref="AR191:BG192"/>
    <mergeCell ref="CO191:CQ192"/>
    <mergeCell ref="CR191:CT192"/>
    <mergeCell ref="CU191:CW192"/>
    <mergeCell ref="CX191:CZ192"/>
    <mergeCell ref="DA191:DC192"/>
    <mergeCell ref="DD191:DF192"/>
    <mergeCell ref="BW191:BY192"/>
    <mergeCell ref="BZ191:CB192"/>
    <mergeCell ref="CC191:CE192"/>
    <mergeCell ref="CF191:CH192"/>
    <mergeCell ref="CI191:CK192"/>
    <mergeCell ref="CL191:CN192"/>
    <mergeCell ref="BK191:BM192"/>
    <mergeCell ref="BN191:BP192"/>
    <mergeCell ref="BQ191:BS192"/>
    <mergeCell ref="BT191:BV192"/>
    <mergeCell ref="DD195:DF196"/>
    <mergeCell ref="DH195:DK196"/>
    <mergeCell ref="DL195:DS196"/>
    <mergeCell ref="C191:D192"/>
    <mergeCell ref="G191:R192"/>
    <mergeCell ref="DL197:DS197"/>
    <mergeCell ref="AR195:BG196"/>
    <mergeCell ref="CL195:CN196"/>
    <mergeCell ref="CO195:CQ196"/>
    <mergeCell ref="CR195:CT196"/>
    <mergeCell ref="CU195:CW196"/>
    <mergeCell ref="CX195:CZ196"/>
    <mergeCell ref="DA195:DC196"/>
    <mergeCell ref="BT195:BV196"/>
    <mergeCell ref="BW195:BY196"/>
    <mergeCell ref="BZ195:CB196"/>
    <mergeCell ref="CC195:CE196"/>
    <mergeCell ref="CF195:CH196"/>
    <mergeCell ref="CI195:CK196"/>
    <mergeCell ref="BK195:BM196"/>
    <mergeCell ref="BN195:BP196"/>
    <mergeCell ref="BQ195:BS196"/>
    <mergeCell ref="DL198:DS198"/>
    <mergeCell ref="C203:D204"/>
    <mergeCell ref="G203:R204"/>
    <mergeCell ref="T203:AJ204"/>
    <mergeCell ref="AL203:AO204"/>
    <mergeCell ref="DD199:DF200"/>
    <mergeCell ref="CL199:CN200"/>
    <mergeCell ref="CO199:CQ200"/>
    <mergeCell ref="CR199:CT200"/>
    <mergeCell ref="CU199:CW200"/>
    <mergeCell ref="CX199:CZ200"/>
    <mergeCell ref="DA199:DC200"/>
    <mergeCell ref="BT199:BV200"/>
    <mergeCell ref="BW199:BY200"/>
    <mergeCell ref="BZ199:CB200"/>
    <mergeCell ref="CC199:CE200"/>
    <mergeCell ref="CF199:CH200"/>
    <mergeCell ref="CI199:CK200"/>
    <mergeCell ref="C199:D200"/>
    <mergeCell ref="G199:R200"/>
    <mergeCell ref="T199:AJ200"/>
    <mergeCell ref="AL199:AO200"/>
    <mergeCell ref="AR199:BG200"/>
    <mergeCell ref="BK199:BM200"/>
    <mergeCell ref="DL207:DS207"/>
    <mergeCell ref="AL209:AO209"/>
    <mergeCell ref="DH209:DK209"/>
    <mergeCell ref="DL209:DS209"/>
    <mergeCell ref="C207:D208"/>
    <mergeCell ref="G207:R208"/>
    <mergeCell ref="T207:AJ208"/>
    <mergeCell ref="AL207:AO208"/>
    <mergeCell ref="BK203:BM204"/>
    <mergeCell ref="AL206:AO206"/>
    <mergeCell ref="DH206:DK206"/>
    <mergeCell ref="DL206:DS206"/>
    <mergeCell ref="DD203:DF204"/>
    <mergeCell ref="DH203:DK204"/>
    <mergeCell ref="DL203:DS204"/>
    <mergeCell ref="AL205:AO205"/>
    <mergeCell ref="DH205:DK205"/>
    <mergeCell ref="DL205:DS205"/>
    <mergeCell ref="AR203:BG204"/>
    <mergeCell ref="CL203:CN204"/>
    <mergeCell ref="CO203:CQ204"/>
    <mergeCell ref="CR203:CT204"/>
    <mergeCell ref="CU203:CW204"/>
    <mergeCell ref="CX203:CZ204"/>
    <mergeCell ref="DA203:DC204"/>
    <mergeCell ref="BT203:BV204"/>
    <mergeCell ref="BW203:BY204"/>
    <mergeCell ref="BZ203:CB204"/>
    <mergeCell ref="CC203:CE204"/>
    <mergeCell ref="CF203:CH204"/>
    <mergeCell ref="CI203:CK204"/>
    <mergeCell ref="BN203:BP204"/>
    <mergeCell ref="AR207:BG208"/>
    <mergeCell ref="A212:BI213"/>
    <mergeCell ref="A215:BI216"/>
    <mergeCell ref="BB279:BI280"/>
    <mergeCell ref="AQ114:BH117"/>
    <mergeCell ref="AR119:BG120"/>
    <mergeCell ref="AR123:BG124"/>
    <mergeCell ref="AR127:BG128"/>
    <mergeCell ref="AR131:BG132"/>
    <mergeCell ref="DH207:DK208"/>
    <mergeCell ref="BQ203:BS204"/>
    <mergeCell ref="BN199:BP200"/>
    <mergeCell ref="BQ199:BS200"/>
    <mergeCell ref="AL198:AO198"/>
    <mergeCell ref="DH198:DK198"/>
    <mergeCell ref="AL197:AO197"/>
    <mergeCell ref="DH197:DK197"/>
    <mergeCell ref="AL194:AO194"/>
    <mergeCell ref="DH194:DK194"/>
    <mergeCell ref="C190:D190"/>
    <mergeCell ref="DH190:DK190"/>
    <mergeCell ref="T191:AJ192"/>
    <mergeCell ref="AL191:AO192"/>
    <mergeCell ref="DH187:DK188"/>
    <mergeCell ref="C186:D186"/>
    <mergeCell ref="AL186:AO186"/>
    <mergeCell ref="DH186:DK186"/>
    <mergeCell ref="DH179:DK180"/>
    <mergeCell ref="C178:D178"/>
    <mergeCell ref="AL178:AO178"/>
    <mergeCell ref="DH178:DK178"/>
    <mergeCell ref="C174:D174"/>
  </mergeCells>
  <dataValidations count="4">
    <dataValidation type="list" allowBlank="1" showInputMessage="1" showErrorMessage="1" sqref="AO35" xr:uid="{8B5D4914-8179-404B-9FD9-09A8E44ED84E}">
      <formula1>$BK$1:$BK$42</formula1>
    </dataValidation>
    <dataValidation type="list" allowBlank="1" showInputMessage="1" showErrorMessage="1" sqref="CI111:CN112" xr:uid="{D1D52453-E9E8-45DC-8AB2-CC1E3CCC7505}">
      <formula1>"EUR,USD,ZAR"</formula1>
    </dataValidation>
    <dataValidation type="list" allowBlank="1" showInputMessage="1" showErrorMessage="1" sqref="AI78 AI74 AI82 AI86 N86" xr:uid="{B97016AA-CCF8-4CE3-BE7F-F9297FFAD4BE}">
      <formula1>"Included,Not Included"</formula1>
    </dataValidation>
    <dataValidation type="list" allowBlank="1" showInputMessage="1" showErrorMessage="1" sqref="N74:R75" xr:uid="{42036A17-E0B2-4633-937E-CE9775C27F08}">
      <formula1>$DW$111:$DW$113</formula1>
    </dataValidation>
  </dataValidations>
  <pageMargins left="0.7" right="0.7" top="0.75" bottom="0.75" header="0.3" footer="0.3"/>
  <pageSetup paperSize="9" scale="79" fitToHeight="0" orientation="portrait" r:id="rId1"/>
  <headerFooter>
    <oddFooter>&amp;R&amp;"Yu Gothic,Regular"&amp;10Page &amp;P of &amp;N</oddFooter>
  </headerFooter>
  <rowBreaks count="2" manualBreakCount="2">
    <brk id="108" max="60" man="1"/>
    <brk id="225" max="60"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3BA23-1FCE-447B-AC75-B4456ECCE989}">
  <sheetPr codeName="Sheet51">
    <tabColor rgb="FF0070C0"/>
  </sheetPr>
  <dimension ref="A1:ED200"/>
  <sheetViews>
    <sheetView view="pageBreakPreview" topLeftCell="A35" zoomScale="85" zoomScaleNormal="100" zoomScaleSheetLayoutView="85" workbookViewId="0">
      <selection activeCell="AO35" sqref="AO35:AX36"/>
    </sheetView>
  </sheetViews>
  <sheetFormatPr defaultColWidth="8.54296875" defaultRowHeight="15" x14ac:dyDescent="0.5"/>
  <cols>
    <col min="1" max="61" width="1.54296875" style="24" customWidth="1"/>
    <col min="62" max="111" width="1.54296875" style="24" hidden="1" customWidth="1"/>
    <col min="112" max="116" width="1.54296875" style="75" hidden="1" customWidth="1"/>
    <col min="117" max="134" width="1.54296875" style="24" hidden="1" customWidth="1"/>
    <col min="135" max="16384" width="8.54296875" style="24"/>
  </cols>
  <sheetData>
    <row r="1" spans="1:63" ht="7.4" customHeight="1" x14ac:dyDescent="0.5">
      <c r="C1" s="333" t="e" vm="8">
        <v>#VALUE!</v>
      </c>
      <c r="D1" s="333"/>
      <c r="E1" s="333"/>
      <c r="F1" s="333"/>
      <c r="G1" s="333"/>
      <c r="H1" s="333"/>
      <c r="I1" s="333"/>
      <c r="J1" s="333"/>
      <c r="K1" s="333"/>
      <c r="L1" s="333"/>
      <c r="M1" s="333"/>
      <c r="N1" s="333"/>
      <c r="O1" s="333"/>
      <c r="P1" s="333"/>
      <c r="Q1" s="333"/>
      <c r="R1" s="333"/>
      <c r="S1" s="333"/>
      <c r="T1" s="333"/>
      <c r="U1" s="333"/>
      <c r="V1" s="333"/>
      <c r="W1" s="333"/>
      <c r="X1" s="333"/>
      <c r="Y1" s="333"/>
      <c r="Z1" s="333"/>
      <c r="AA1" s="333"/>
      <c r="AB1" s="333"/>
      <c r="AC1" s="333"/>
      <c r="AD1" s="333"/>
      <c r="AE1" s="333"/>
      <c r="AF1" s="333"/>
      <c r="AG1" s="333"/>
      <c r="AH1" s="333"/>
      <c r="AI1" s="333"/>
      <c r="AN1" s="405" t="s">
        <v>0</v>
      </c>
      <c r="AO1" s="405"/>
      <c r="AP1" s="405"/>
      <c r="AQ1" s="405"/>
      <c r="AR1" s="405"/>
      <c r="AS1" s="405"/>
      <c r="AT1" s="405"/>
      <c r="AU1" s="405"/>
      <c r="AV1" s="405"/>
      <c r="AW1" s="405"/>
      <c r="AX1" s="405"/>
      <c r="AY1" s="405"/>
      <c r="AZ1" s="405"/>
      <c r="BA1" s="405"/>
      <c r="BB1" s="405"/>
      <c r="BC1" s="405"/>
      <c r="BD1" s="405"/>
      <c r="BE1" s="405"/>
      <c r="BF1" s="405"/>
      <c r="BG1" s="405"/>
      <c r="BH1" s="405"/>
      <c r="BK1" s="24" t="s">
        <v>1</v>
      </c>
    </row>
    <row r="2" spans="1:63" ht="7.4" customHeight="1" x14ac:dyDescent="0.5">
      <c r="C2" s="333"/>
      <c r="D2" s="333"/>
      <c r="E2" s="333"/>
      <c r="F2" s="333"/>
      <c r="G2" s="333"/>
      <c r="H2" s="333"/>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N2" s="405"/>
      <c r="AO2" s="405"/>
      <c r="AP2" s="405"/>
      <c r="AQ2" s="405"/>
      <c r="AR2" s="405"/>
      <c r="AS2" s="405"/>
      <c r="AT2" s="405"/>
      <c r="AU2" s="405"/>
      <c r="AV2" s="405"/>
      <c r="AW2" s="405"/>
      <c r="AX2" s="405"/>
      <c r="AY2" s="405"/>
      <c r="AZ2" s="405"/>
      <c r="BA2" s="405"/>
      <c r="BB2" s="405"/>
      <c r="BC2" s="405"/>
      <c r="BD2" s="405"/>
      <c r="BE2" s="405"/>
      <c r="BF2" s="405"/>
      <c r="BG2" s="405"/>
      <c r="BH2" s="405"/>
      <c r="BK2" s="24" t="s">
        <v>4</v>
      </c>
    </row>
    <row r="3" spans="1:63" ht="7.4" customHeight="1" x14ac:dyDescent="0.5">
      <c r="C3" s="333"/>
      <c r="D3" s="333"/>
      <c r="E3" s="333"/>
      <c r="F3" s="333"/>
      <c r="G3" s="333"/>
      <c r="H3" s="333"/>
      <c r="I3" s="333"/>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N3" s="314" t="s">
        <v>3</v>
      </c>
      <c r="AO3" s="314"/>
      <c r="AP3" s="314"/>
      <c r="AQ3" s="314"/>
      <c r="AR3" s="314"/>
      <c r="AS3" s="314"/>
      <c r="AT3" s="314"/>
      <c r="AU3" s="314"/>
      <c r="AV3" s="314"/>
      <c r="AW3" s="314"/>
      <c r="AX3" s="314"/>
      <c r="AY3" s="314"/>
      <c r="AZ3" s="314"/>
      <c r="BA3" s="314"/>
      <c r="BB3" s="314"/>
      <c r="BC3" s="314"/>
      <c r="BD3" s="314"/>
      <c r="BE3" s="314"/>
      <c r="BF3" s="314"/>
      <c r="BG3" s="314"/>
      <c r="BH3" s="314"/>
      <c r="BK3" s="24" t="s">
        <v>5</v>
      </c>
    </row>
    <row r="4" spans="1:63" ht="7.4" customHeight="1" x14ac:dyDescent="0.5">
      <c r="C4" s="333"/>
      <c r="D4" s="333"/>
      <c r="E4" s="333"/>
      <c r="F4" s="333"/>
      <c r="G4" s="333"/>
      <c r="H4" s="333"/>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N4" s="314"/>
      <c r="AO4" s="314"/>
      <c r="AP4" s="314"/>
      <c r="AQ4" s="314"/>
      <c r="AR4" s="314"/>
      <c r="AS4" s="314"/>
      <c r="AT4" s="314"/>
      <c r="AU4" s="314"/>
      <c r="AV4" s="314"/>
      <c r="AW4" s="314"/>
      <c r="AX4" s="314"/>
      <c r="AY4" s="314"/>
      <c r="AZ4" s="314"/>
      <c r="BA4" s="314"/>
      <c r="BB4" s="314"/>
      <c r="BC4" s="314"/>
      <c r="BD4" s="314"/>
      <c r="BE4" s="314"/>
      <c r="BF4" s="314"/>
      <c r="BG4" s="314"/>
      <c r="BH4" s="314"/>
      <c r="BK4" s="24" t="s">
        <v>123</v>
      </c>
    </row>
    <row r="5" spans="1:63" ht="7.4" customHeight="1" x14ac:dyDescent="0.5">
      <c r="C5" s="333"/>
      <c r="D5" s="333"/>
      <c r="E5" s="333"/>
      <c r="F5" s="333"/>
      <c r="G5" s="333"/>
      <c r="H5" s="333"/>
      <c r="I5" s="333"/>
      <c r="J5" s="333"/>
      <c r="K5" s="333"/>
      <c r="L5" s="333"/>
      <c r="M5" s="333"/>
      <c r="N5" s="333"/>
      <c r="O5" s="333"/>
      <c r="P5" s="333"/>
      <c r="Q5" s="333"/>
      <c r="R5" s="333"/>
      <c r="S5" s="333"/>
      <c r="T5" s="333"/>
      <c r="U5" s="333"/>
      <c r="V5" s="333"/>
      <c r="W5" s="333"/>
      <c r="X5" s="333"/>
      <c r="Y5" s="333"/>
      <c r="Z5" s="333"/>
      <c r="AA5" s="333"/>
      <c r="AB5" s="333"/>
      <c r="AC5" s="333"/>
      <c r="AD5" s="333"/>
      <c r="AE5" s="333"/>
      <c r="AF5" s="333"/>
      <c r="AG5" s="333"/>
      <c r="AH5" s="333"/>
      <c r="AI5" s="333"/>
      <c r="AN5" s="406" t="s">
        <v>6</v>
      </c>
      <c r="AO5" s="314"/>
      <c r="AP5" s="314"/>
      <c r="AQ5" s="314"/>
      <c r="AR5" s="314"/>
      <c r="AS5" s="314"/>
      <c r="AT5" s="314"/>
      <c r="AU5" s="314"/>
      <c r="AV5" s="314"/>
      <c r="AW5" s="314"/>
      <c r="AX5" s="314"/>
      <c r="AY5" s="314"/>
      <c r="AZ5" s="314"/>
      <c r="BA5" s="314"/>
      <c r="BB5" s="314"/>
      <c r="BC5" s="314"/>
      <c r="BD5" s="314"/>
      <c r="BE5" s="314"/>
      <c r="BF5" s="314"/>
      <c r="BG5" s="314"/>
      <c r="BH5" s="314"/>
      <c r="BK5" s="24" t="s">
        <v>8</v>
      </c>
    </row>
    <row r="6" spans="1:63" ht="7.4" customHeight="1" x14ac:dyDescent="0.5">
      <c r="C6" s="333"/>
      <c r="D6" s="333"/>
      <c r="E6" s="333"/>
      <c r="F6" s="333"/>
      <c r="G6" s="333"/>
      <c r="H6" s="333"/>
      <c r="I6" s="333"/>
      <c r="J6" s="333"/>
      <c r="K6" s="333"/>
      <c r="L6" s="333"/>
      <c r="M6" s="333"/>
      <c r="N6" s="333"/>
      <c r="O6" s="333"/>
      <c r="P6" s="333"/>
      <c r="Q6" s="333"/>
      <c r="R6" s="333"/>
      <c r="S6" s="333"/>
      <c r="T6" s="333"/>
      <c r="U6" s="333"/>
      <c r="V6" s="333"/>
      <c r="W6" s="333"/>
      <c r="X6" s="333"/>
      <c r="Y6" s="333"/>
      <c r="Z6" s="333"/>
      <c r="AA6" s="333"/>
      <c r="AB6" s="333"/>
      <c r="AC6" s="333"/>
      <c r="AD6" s="333"/>
      <c r="AE6" s="333"/>
      <c r="AF6" s="333"/>
      <c r="AG6" s="333"/>
      <c r="AH6" s="333"/>
      <c r="AI6" s="333"/>
      <c r="AN6" s="314"/>
      <c r="AO6" s="314"/>
      <c r="AP6" s="314"/>
      <c r="AQ6" s="314"/>
      <c r="AR6" s="314"/>
      <c r="AS6" s="314"/>
      <c r="AT6" s="314"/>
      <c r="AU6" s="314"/>
      <c r="AV6" s="314"/>
      <c r="AW6" s="314"/>
      <c r="AX6" s="314"/>
      <c r="AY6" s="314"/>
      <c r="AZ6" s="314"/>
      <c r="BA6" s="314"/>
      <c r="BB6" s="314"/>
      <c r="BC6" s="314"/>
      <c r="BD6" s="314"/>
      <c r="BE6" s="314"/>
      <c r="BF6" s="314"/>
      <c r="BG6" s="314"/>
      <c r="BH6" s="314"/>
      <c r="BK6" s="24" t="s">
        <v>10</v>
      </c>
    </row>
    <row r="7" spans="1:63" ht="7.4" customHeight="1" x14ac:dyDescent="0.5">
      <c r="C7" s="333"/>
      <c r="D7" s="333"/>
      <c r="E7" s="333"/>
      <c r="F7" s="333"/>
      <c r="G7" s="333"/>
      <c r="H7" s="333"/>
      <c r="I7" s="333"/>
      <c r="J7" s="333"/>
      <c r="K7" s="333"/>
      <c r="L7" s="333"/>
      <c r="M7" s="333"/>
      <c r="N7" s="333"/>
      <c r="O7" s="333"/>
      <c r="P7" s="333"/>
      <c r="Q7" s="333"/>
      <c r="R7" s="333"/>
      <c r="S7" s="333"/>
      <c r="T7" s="333"/>
      <c r="U7" s="333"/>
      <c r="V7" s="333"/>
      <c r="W7" s="333"/>
      <c r="X7" s="333"/>
      <c r="Y7" s="333"/>
      <c r="Z7" s="333"/>
      <c r="AA7" s="333"/>
      <c r="AB7" s="333"/>
      <c r="AC7" s="333"/>
      <c r="AD7" s="333"/>
      <c r="AE7" s="333"/>
      <c r="AF7" s="333"/>
      <c r="AG7" s="333"/>
      <c r="AH7" s="333"/>
      <c r="AI7" s="333"/>
      <c r="AN7" s="405" t="s">
        <v>9</v>
      </c>
      <c r="AO7" s="405"/>
      <c r="AP7" s="405"/>
      <c r="AQ7" s="405"/>
      <c r="AR7" s="405"/>
      <c r="AS7" s="405"/>
      <c r="AT7" s="405"/>
      <c r="AU7" s="405"/>
      <c r="AV7" s="405"/>
      <c r="AW7" s="405"/>
      <c r="AX7" s="405"/>
      <c r="AY7" s="405"/>
      <c r="AZ7" s="405"/>
      <c r="BA7" s="405"/>
      <c r="BB7" s="405"/>
      <c r="BC7" s="405"/>
      <c r="BD7" s="405"/>
      <c r="BE7" s="405"/>
      <c r="BF7" s="405"/>
      <c r="BG7" s="405"/>
      <c r="BH7" s="405"/>
      <c r="BK7" s="24" t="s">
        <v>14</v>
      </c>
    </row>
    <row r="8" spans="1:63" ht="7.4" customHeight="1" x14ac:dyDescent="0.5">
      <c r="C8" s="333"/>
      <c r="D8" s="333"/>
      <c r="E8" s="333"/>
      <c r="F8" s="333"/>
      <c r="G8" s="333"/>
      <c r="H8" s="333"/>
      <c r="I8" s="333"/>
      <c r="J8" s="333"/>
      <c r="K8" s="333"/>
      <c r="L8" s="333"/>
      <c r="M8" s="333"/>
      <c r="N8" s="333"/>
      <c r="O8" s="333"/>
      <c r="P8" s="333"/>
      <c r="Q8" s="333"/>
      <c r="R8" s="333"/>
      <c r="S8" s="333"/>
      <c r="T8" s="333"/>
      <c r="U8" s="333"/>
      <c r="V8" s="333"/>
      <c r="W8" s="333"/>
      <c r="X8" s="333"/>
      <c r="Y8" s="333"/>
      <c r="Z8" s="333"/>
      <c r="AA8" s="333"/>
      <c r="AB8" s="333"/>
      <c r="AC8" s="333"/>
      <c r="AD8" s="333"/>
      <c r="AE8" s="333"/>
      <c r="AF8" s="333"/>
      <c r="AG8" s="333"/>
      <c r="AH8" s="333"/>
      <c r="AI8" s="333"/>
      <c r="AN8" s="405"/>
      <c r="AO8" s="405"/>
      <c r="AP8" s="405"/>
      <c r="AQ8" s="405"/>
      <c r="AR8" s="405"/>
      <c r="AS8" s="405"/>
      <c r="AT8" s="405"/>
      <c r="AU8" s="405"/>
      <c r="AV8" s="405"/>
      <c r="AW8" s="405"/>
      <c r="AX8" s="405"/>
      <c r="AY8" s="405"/>
      <c r="AZ8" s="405"/>
      <c r="BA8" s="405"/>
      <c r="BB8" s="405"/>
      <c r="BC8" s="405"/>
      <c r="BD8" s="405"/>
      <c r="BE8" s="405"/>
      <c r="BF8" s="405"/>
      <c r="BG8" s="405"/>
      <c r="BH8" s="405"/>
      <c r="BK8" s="24" t="s">
        <v>17</v>
      </c>
    </row>
    <row r="9" spans="1:63" ht="7.4" customHeight="1" x14ac:dyDescent="0.5">
      <c r="C9" s="404"/>
      <c r="D9" s="404"/>
      <c r="E9" s="404"/>
      <c r="F9" s="404"/>
      <c r="G9" s="404"/>
      <c r="H9" s="404"/>
      <c r="I9" s="404"/>
      <c r="J9" s="404"/>
      <c r="K9" s="404"/>
      <c r="L9" s="404"/>
      <c r="M9" s="404"/>
      <c r="N9" s="404"/>
      <c r="O9" s="404"/>
      <c r="P9" s="404"/>
      <c r="Q9" s="404"/>
      <c r="R9" s="404"/>
      <c r="S9" s="404"/>
      <c r="T9" s="404"/>
      <c r="U9" s="404"/>
      <c r="V9" s="404"/>
      <c r="W9" s="404"/>
      <c r="X9" s="404"/>
      <c r="Y9" s="404"/>
      <c r="Z9" s="404"/>
      <c r="AA9" s="404"/>
      <c r="AB9" s="404"/>
      <c r="AC9" s="404"/>
      <c r="AD9" s="404"/>
      <c r="AE9" s="404"/>
      <c r="AF9" s="404"/>
      <c r="AG9" s="404"/>
      <c r="AH9" s="404"/>
      <c r="AI9" s="404"/>
      <c r="BK9" s="24" t="s">
        <v>127</v>
      </c>
    </row>
    <row r="10" spans="1:63" ht="7.4" customHeight="1" x14ac:dyDescent="0.5">
      <c r="A10" s="407" t="s">
        <v>13</v>
      </c>
      <c r="B10" s="407"/>
      <c r="C10" s="407"/>
      <c r="D10" s="407"/>
      <c r="E10" s="407"/>
      <c r="F10" s="407"/>
      <c r="G10" s="407"/>
      <c r="H10" s="407"/>
      <c r="I10" s="407"/>
      <c r="J10" s="407"/>
      <c r="K10" s="407"/>
      <c r="L10" s="407"/>
      <c r="M10" s="407"/>
      <c r="N10" s="407"/>
      <c r="O10" s="407"/>
      <c r="P10" s="407"/>
      <c r="Q10" s="407"/>
      <c r="R10" s="407"/>
      <c r="S10" s="407"/>
      <c r="T10" s="407"/>
      <c r="U10" s="407"/>
      <c r="V10" s="407"/>
      <c r="W10" s="407"/>
      <c r="X10" s="407"/>
      <c r="Y10" s="407"/>
      <c r="Z10" s="407"/>
      <c r="AA10" s="407"/>
      <c r="AB10" s="407"/>
      <c r="AC10" s="407"/>
      <c r="AD10" s="407"/>
      <c r="AE10" s="407"/>
      <c r="AF10" s="407"/>
      <c r="AG10" s="407"/>
      <c r="AH10" s="407"/>
      <c r="AI10" s="407"/>
      <c r="AJ10" s="407"/>
      <c r="AK10" s="407"/>
      <c r="AL10" s="407"/>
      <c r="AM10" s="30"/>
      <c r="AN10" s="30"/>
      <c r="AO10" s="30"/>
      <c r="AP10" s="30"/>
      <c r="AQ10" s="30"/>
      <c r="AR10" s="30"/>
      <c r="AS10" s="30"/>
      <c r="AT10" s="30"/>
      <c r="AU10" s="30"/>
      <c r="AV10" s="30"/>
      <c r="AW10" s="30"/>
      <c r="AX10" s="30"/>
      <c r="AY10" s="30"/>
      <c r="AZ10" s="30"/>
      <c r="BA10" s="30"/>
      <c r="BB10" s="30"/>
      <c r="BC10" s="30"/>
      <c r="BD10" s="30"/>
      <c r="BE10" s="30"/>
      <c r="BF10" s="30"/>
      <c r="BG10" s="30"/>
      <c r="BH10" s="30"/>
      <c r="BI10" s="31"/>
      <c r="BK10" s="24" t="s">
        <v>18</v>
      </c>
    </row>
    <row r="11" spans="1:63" ht="7.4" customHeight="1" x14ac:dyDescent="0.5">
      <c r="A11" s="407"/>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407"/>
      <c r="AE11" s="407"/>
      <c r="AF11" s="407"/>
      <c r="AG11" s="407"/>
      <c r="AH11" s="407"/>
      <c r="AI11" s="407"/>
      <c r="AJ11" s="407"/>
      <c r="AK11" s="407"/>
      <c r="AL11" s="407"/>
      <c r="AM11" s="33"/>
      <c r="AN11" s="408" t="s">
        <v>15</v>
      </c>
      <c r="AO11" s="408"/>
      <c r="AP11" s="408"/>
      <c r="AQ11" s="408"/>
      <c r="AR11" s="408"/>
      <c r="AS11" s="408"/>
      <c r="AT11" s="408"/>
      <c r="AU11" s="408"/>
      <c r="AV11" s="408"/>
      <c r="AW11" s="33"/>
      <c r="AX11" s="409" t="s">
        <v>184</v>
      </c>
      <c r="AY11" s="409"/>
      <c r="AZ11" s="409"/>
      <c r="BA11" s="409"/>
      <c r="BB11" s="409"/>
      <c r="BC11" s="409"/>
      <c r="BD11" s="409"/>
      <c r="BE11" s="409"/>
      <c r="BF11" s="409"/>
      <c r="BG11" s="409"/>
      <c r="BH11" s="409"/>
      <c r="BI11" s="34"/>
      <c r="BK11" s="24" t="s">
        <v>21</v>
      </c>
    </row>
    <row r="12" spans="1:63" ht="7.4" customHeight="1" x14ac:dyDescent="0.5">
      <c r="A12" s="407"/>
      <c r="B12" s="407"/>
      <c r="C12" s="407"/>
      <c r="D12" s="407"/>
      <c r="E12" s="407"/>
      <c r="F12" s="407"/>
      <c r="G12" s="407"/>
      <c r="H12" s="407"/>
      <c r="I12" s="407"/>
      <c r="J12" s="407"/>
      <c r="K12" s="407"/>
      <c r="L12" s="407"/>
      <c r="M12" s="407"/>
      <c r="N12" s="407"/>
      <c r="O12" s="407"/>
      <c r="P12" s="407"/>
      <c r="Q12" s="407"/>
      <c r="R12" s="407"/>
      <c r="S12" s="407"/>
      <c r="T12" s="407"/>
      <c r="U12" s="407"/>
      <c r="V12" s="407"/>
      <c r="W12" s="407"/>
      <c r="X12" s="407"/>
      <c r="Y12" s="407"/>
      <c r="Z12" s="407"/>
      <c r="AA12" s="407"/>
      <c r="AB12" s="407"/>
      <c r="AC12" s="407"/>
      <c r="AD12" s="407"/>
      <c r="AE12" s="407"/>
      <c r="AF12" s="407"/>
      <c r="AG12" s="407"/>
      <c r="AH12" s="407"/>
      <c r="AI12" s="407"/>
      <c r="AJ12" s="407"/>
      <c r="AK12" s="407"/>
      <c r="AL12" s="407"/>
      <c r="AM12" s="33"/>
      <c r="AN12" s="408"/>
      <c r="AO12" s="408"/>
      <c r="AP12" s="408"/>
      <c r="AQ12" s="408"/>
      <c r="AR12" s="408"/>
      <c r="AS12" s="408"/>
      <c r="AT12" s="408"/>
      <c r="AU12" s="408"/>
      <c r="AV12" s="408"/>
      <c r="AW12" s="33"/>
      <c r="AX12" s="409"/>
      <c r="AY12" s="409"/>
      <c r="AZ12" s="409"/>
      <c r="BA12" s="409"/>
      <c r="BB12" s="409"/>
      <c r="BC12" s="409"/>
      <c r="BD12" s="409"/>
      <c r="BE12" s="409"/>
      <c r="BF12" s="409"/>
      <c r="BG12" s="409"/>
      <c r="BH12" s="409"/>
      <c r="BI12" s="34"/>
      <c r="BK12" s="24" t="s">
        <v>22</v>
      </c>
    </row>
    <row r="13" spans="1:63" ht="7.4" customHeight="1" x14ac:dyDescent="0.5">
      <c r="A13" s="407"/>
      <c r="B13" s="407"/>
      <c r="C13" s="407"/>
      <c r="D13" s="407"/>
      <c r="E13" s="407"/>
      <c r="F13" s="407"/>
      <c r="G13" s="407"/>
      <c r="H13" s="407"/>
      <c r="I13" s="407"/>
      <c r="J13" s="407"/>
      <c r="K13" s="407"/>
      <c r="L13" s="407"/>
      <c r="M13" s="407"/>
      <c r="N13" s="407"/>
      <c r="O13" s="407"/>
      <c r="P13" s="407"/>
      <c r="Q13" s="407"/>
      <c r="R13" s="407"/>
      <c r="S13" s="407"/>
      <c r="T13" s="407"/>
      <c r="U13" s="407"/>
      <c r="V13" s="407"/>
      <c r="W13" s="407"/>
      <c r="X13" s="407"/>
      <c r="Y13" s="407"/>
      <c r="Z13" s="407"/>
      <c r="AA13" s="407"/>
      <c r="AB13" s="407"/>
      <c r="AC13" s="407"/>
      <c r="AD13" s="407"/>
      <c r="AE13" s="407"/>
      <c r="AF13" s="407"/>
      <c r="AG13" s="407"/>
      <c r="AH13" s="407"/>
      <c r="AI13" s="407"/>
      <c r="AJ13" s="407"/>
      <c r="AK13" s="407"/>
      <c r="AL13" s="407"/>
      <c r="AM13" s="33"/>
      <c r="AN13" s="408" t="s">
        <v>19</v>
      </c>
      <c r="AO13" s="408"/>
      <c r="AP13" s="408"/>
      <c r="AQ13" s="408"/>
      <c r="AR13" s="408"/>
      <c r="AS13" s="408"/>
      <c r="AT13" s="408"/>
      <c r="AU13" s="408"/>
      <c r="AV13" s="408"/>
      <c r="AW13" s="33"/>
      <c r="AX13" s="410" t="s">
        <v>20</v>
      </c>
      <c r="AY13" s="410"/>
      <c r="AZ13" s="410"/>
      <c r="BA13" s="410"/>
      <c r="BB13" s="410"/>
      <c r="BC13" s="410"/>
      <c r="BD13" s="410"/>
      <c r="BE13" s="410"/>
      <c r="BF13" s="410"/>
      <c r="BG13" s="410"/>
      <c r="BH13" s="410"/>
      <c r="BI13" s="34"/>
      <c r="BK13" s="24" t="s">
        <v>23</v>
      </c>
    </row>
    <row r="14" spans="1:63" ht="7.4" customHeight="1" x14ac:dyDescent="0.5">
      <c r="A14" s="407"/>
      <c r="B14" s="407"/>
      <c r="C14" s="407"/>
      <c r="D14" s="407"/>
      <c r="E14" s="407"/>
      <c r="F14" s="407"/>
      <c r="G14" s="407"/>
      <c r="H14" s="407"/>
      <c r="I14" s="407"/>
      <c r="J14" s="407"/>
      <c r="K14" s="407"/>
      <c r="L14" s="407"/>
      <c r="M14" s="407"/>
      <c r="N14" s="407"/>
      <c r="O14" s="407"/>
      <c r="P14" s="407"/>
      <c r="Q14" s="407"/>
      <c r="R14" s="407"/>
      <c r="S14" s="407"/>
      <c r="T14" s="407"/>
      <c r="U14" s="407"/>
      <c r="V14" s="407"/>
      <c r="W14" s="407"/>
      <c r="X14" s="407"/>
      <c r="Y14" s="407"/>
      <c r="Z14" s="407"/>
      <c r="AA14" s="407"/>
      <c r="AB14" s="407"/>
      <c r="AC14" s="407"/>
      <c r="AD14" s="407"/>
      <c r="AE14" s="407"/>
      <c r="AF14" s="407"/>
      <c r="AG14" s="407"/>
      <c r="AH14" s="407"/>
      <c r="AI14" s="407"/>
      <c r="AJ14" s="407"/>
      <c r="AK14" s="407"/>
      <c r="AL14" s="407"/>
      <c r="AM14" s="33"/>
      <c r="AN14" s="408"/>
      <c r="AO14" s="408"/>
      <c r="AP14" s="408"/>
      <c r="AQ14" s="408"/>
      <c r="AR14" s="408"/>
      <c r="AS14" s="408"/>
      <c r="AT14" s="408"/>
      <c r="AU14" s="408"/>
      <c r="AV14" s="408"/>
      <c r="AW14" s="33"/>
      <c r="AX14" s="410"/>
      <c r="AY14" s="410"/>
      <c r="AZ14" s="410"/>
      <c r="BA14" s="410"/>
      <c r="BB14" s="410"/>
      <c r="BC14" s="410"/>
      <c r="BD14" s="410"/>
      <c r="BE14" s="410"/>
      <c r="BF14" s="410"/>
      <c r="BG14" s="410"/>
      <c r="BH14" s="410"/>
      <c r="BI14" s="34"/>
      <c r="BK14" s="24" t="s">
        <v>24</v>
      </c>
    </row>
    <row r="15" spans="1:63" ht="7.4" customHeight="1" x14ac:dyDescent="0.5">
      <c r="A15" s="407"/>
      <c r="B15" s="407"/>
      <c r="C15" s="407"/>
      <c r="D15" s="407"/>
      <c r="E15" s="407"/>
      <c r="F15" s="407"/>
      <c r="G15" s="407"/>
      <c r="H15" s="407"/>
      <c r="I15" s="407"/>
      <c r="J15" s="407"/>
      <c r="K15" s="407"/>
      <c r="L15" s="407"/>
      <c r="M15" s="407"/>
      <c r="N15" s="407"/>
      <c r="O15" s="407"/>
      <c r="P15" s="407"/>
      <c r="Q15" s="407"/>
      <c r="R15" s="407"/>
      <c r="S15" s="407"/>
      <c r="T15" s="407"/>
      <c r="U15" s="407"/>
      <c r="V15" s="407"/>
      <c r="W15" s="407"/>
      <c r="X15" s="407"/>
      <c r="Y15" s="407"/>
      <c r="Z15" s="407"/>
      <c r="AA15" s="407"/>
      <c r="AB15" s="407"/>
      <c r="AC15" s="407"/>
      <c r="AD15" s="407"/>
      <c r="AE15" s="407"/>
      <c r="AF15" s="407"/>
      <c r="AG15" s="407"/>
      <c r="AH15" s="407"/>
      <c r="AI15" s="407"/>
      <c r="AJ15" s="407"/>
      <c r="AK15" s="407"/>
      <c r="AL15" s="407"/>
      <c r="AM15" s="36"/>
      <c r="AN15" s="36"/>
      <c r="AO15" s="36"/>
      <c r="AP15" s="36"/>
      <c r="AQ15" s="36"/>
      <c r="AR15" s="36"/>
      <c r="AS15" s="36"/>
      <c r="AT15" s="36"/>
      <c r="AU15" s="36"/>
      <c r="AV15" s="36"/>
      <c r="AW15" s="36"/>
      <c r="AX15" s="36"/>
      <c r="AY15" s="36"/>
      <c r="AZ15" s="36"/>
      <c r="BA15" s="36"/>
      <c r="BB15" s="36"/>
      <c r="BC15" s="36"/>
      <c r="BD15" s="36"/>
      <c r="BE15" s="36"/>
      <c r="BF15" s="36"/>
      <c r="BG15" s="36"/>
      <c r="BH15" s="36"/>
      <c r="BI15" s="37"/>
      <c r="BK15" s="24" t="s">
        <v>185</v>
      </c>
    </row>
    <row r="16" spans="1:63" ht="7.4" customHeight="1" x14ac:dyDescent="0.5">
      <c r="A16" s="58"/>
      <c r="B16" s="59"/>
      <c r="C16" s="59"/>
      <c r="D16" s="59"/>
      <c r="E16" s="59"/>
      <c r="F16" s="59"/>
      <c r="G16" s="59"/>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60"/>
    </row>
    <row r="17" spans="1:92" ht="7.4" customHeight="1" x14ac:dyDescent="0.5">
      <c r="A17" s="61"/>
      <c r="B17" s="62"/>
      <c r="C17" s="400" t="s">
        <v>25</v>
      </c>
      <c r="D17" s="400"/>
      <c r="E17" s="400"/>
      <c r="F17" s="400"/>
      <c r="G17" s="401"/>
      <c r="H17" s="401"/>
      <c r="I17" s="401"/>
      <c r="J17" s="401"/>
      <c r="K17" s="401"/>
      <c r="L17" s="401"/>
      <c r="M17" s="401"/>
      <c r="N17" s="401"/>
      <c r="O17" s="401"/>
      <c r="P17" s="401"/>
      <c r="Q17" s="401"/>
      <c r="R17" s="401"/>
      <c r="S17" s="401"/>
      <c r="T17" s="401"/>
      <c r="U17" s="401"/>
      <c r="V17" s="401"/>
      <c r="W17" s="401"/>
      <c r="X17" s="401"/>
      <c r="Y17" s="400" t="s">
        <v>26</v>
      </c>
      <c r="Z17" s="400"/>
      <c r="AA17" s="400"/>
      <c r="AB17" s="400"/>
      <c r="AC17" s="400"/>
      <c r="AD17" s="401"/>
      <c r="AE17" s="401"/>
      <c r="AF17" s="401"/>
      <c r="AG17" s="401"/>
      <c r="AH17" s="401"/>
      <c r="AI17" s="401"/>
      <c r="AJ17" s="401"/>
      <c r="AK17" s="401"/>
      <c r="AL17" s="401"/>
      <c r="AM17" s="401"/>
      <c r="AN17" s="401"/>
      <c r="AO17" s="401"/>
      <c r="AP17" s="401"/>
      <c r="AQ17" s="401"/>
      <c r="AR17" s="401"/>
      <c r="AS17" s="401"/>
      <c r="AT17" s="400" t="s">
        <v>27</v>
      </c>
      <c r="AU17" s="400"/>
      <c r="AV17" s="400"/>
      <c r="AW17" s="400"/>
      <c r="AX17" s="402">
        <f ca="1">TODAY()</f>
        <v>45960</v>
      </c>
      <c r="AY17" s="402"/>
      <c r="AZ17" s="402"/>
      <c r="BA17" s="402"/>
      <c r="BB17" s="402"/>
      <c r="BC17" s="402"/>
      <c r="BD17" s="402"/>
      <c r="BE17" s="402"/>
      <c r="BF17" s="402"/>
      <c r="BG17" s="402"/>
      <c r="BH17" s="402"/>
      <c r="BI17" s="63"/>
    </row>
    <row r="18" spans="1:92" ht="7.4" customHeight="1" x14ac:dyDescent="0.5">
      <c r="A18" s="61"/>
      <c r="B18" s="62"/>
      <c r="C18" s="400"/>
      <c r="D18" s="400"/>
      <c r="E18" s="400"/>
      <c r="F18" s="400"/>
      <c r="G18" s="401"/>
      <c r="H18" s="401"/>
      <c r="I18" s="401"/>
      <c r="J18" s="401"/>
      <c r="K18" s="401"/>
      <c r="L18" s="401"/>
      <c r="M18" s="401"/>
      <c r="N18" s="401"/>
      <c r="O18" s="401"/>
      <c r="P18" s="401"/>
      <c r="Q18" s="401"/>
      <c r="R18" s="401"/>
      <c r="S18" s="401"/>
      <c r="T18" s="401"/>
      <c r="U18" s="401"/>
      <c r="V18" s="401"/>
      <c r="W18" s="401"/>
      <c r="X18" s="401"/>
      <c r="Y18" s="400"/>
      <c r="Z18" s="400"/>
      <c r="AA18" s="400"/>
      <c r="AB18" s="400"/>
      <c r="AC18" s="400"/>
      <c r="AD18" s="401"/>
      <c r="AE18" s="401"/>
      <c r="AF18" s="401"/>
      <c r="AG18" s="401"/>
      <c r="AH18" s="401"/>
      <c r="AI18" s="401"/>
      <c r="AJ18" s="401"/>
      <c r="AK18" s="401"/>
      <c r="AL18" s="401"/>
      <c r="AM18" s="401"/>
      <c r="AN18" s="401"/>
      <c r="AO18" s="401"/>
      <c r="AP18" s="401"/>
      <c r="AQ18" s="401"/>
      <c r="AR18" s="401"/>
      <c r="AS18" s="401"/>
      <c r="AT18" s="400"/>
      <c r="AU18" s="400"/>
      <c r="AV18" s="400"/>
      <c r="AW18" s="400"/>
      <c r="AX18" s="402"/>
      <c r="AY18" s="402"/>
      <c r="AZ18" s="402"/>
      <c r="BA18" s="402"/>
      <c r="BB18" s="402"/>
      <c r="BC18" s="402"/>
      <c r="BD18" s="402"/>
      <c r="BE18" s="402"/>
      <c r="BF18" s="402"/>
      <c r="BG18" s="402"/>
      <c r="BH18" s="402"/>
      <c r="BI18" s="63"/>
    </row>
    <row r="19" spans="1:92" ht="7.4" customHeight="1" x14ac:dyDescent="0.5">
      <c r="A19" s="64"/>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6"/>
    </row>
    <row r="20" spans="1:92" ht="7.4" customHeight="1" x14ac:dyDescent="0.5">
      <c r="A20" s="38"/>
      <c r="B20" s="39"/>
      <c r="C20" s="39"/>
      <c r="D20" s="39"/>
      <c r="E20" s="39"/>
      <c r="F20" s="39"/>
      <c r="G20" s="39"/>
      <c r="H20" s="39"/>
      <c r="I20" s="39"/>
      <c r="J20" s="39"/>
      <c r="K20" s="39"/>
      <c r="L20" s="39"/>
      <c r="M20" s="39"/>
      <c r="N20" s="39"/>
      <c r="O20" s="39"/>
      <c r="P20" s="39"/>
      <c r="Q20" s="39"/>
      <c r="R20" s="39"/>
      <c r="S20" s="39"/>
      <c r="T20" s="67"/>
      <c r="U20" s="68"/>
      <c r="V20" s="68"/>
      <c r="W20" s="68"/>
      <c r="X20" s="68"/>
      <c r="Y20" s="68"/>
      <c r="Z20" s="68"/>
      <c r="AA20" s="68"/>
      <c r="AB20" s="68"/>
      <c r="AC20" s="68"/>
      <c r="AD20" s="68"/>
      <c r="AE20" s="68"/>
      <c r="AF20" s="68"/>
      <c r="AG20" s="68"/>
      <c r="AH20" s="68"/>
      <c r="AI20" s="68"/>
      <c r="AJ20" s="68"/>
      <c r="AK20" s="68"/>
      <c r="AL20" s="68"/>
      <c r="AM20" s="68"/>
      <c r="AN20" s="68"/>
      <c r="AO20" s="68"/>
      <c r="AP20" s="69"/>
      <c r="AQ20" s="39"/>
      <c r="AR20" s="39"/>
      <c r="AS20" s="39"/>
      <c r="AT20" s="39"/>
      <c r="AU20" s="39"/>
      <c r="AV20" s="39"/>
      <c r="AW20" s="39"/>
      <c r="AX20" s="39"/>
      <c r="AY20" s="39"/>
      <c r="AZ20" s="39"/>
      <c r="BA20" s="39"/>
      <c r="BB20" s="39"/>
      <c r="BC20" s="39"/>
      <c r="BD20" s="39"/>
      <c r="BE20" s="39"/>
      <c r="BF20" s="39"/>
      <c r="BG20" s="39"/>
      <c r="BH20" s="39"/>
      <c r="BI20" s="40"/>
    </row>
    <row r="21" spans="1:92" ht="7.4" customHeight="1" x14ac:dyDescent="0.5">
      <c r="A21" s="42"/>
      <c r="T21" s="70"/>
      <c r="U21" s="335" t="str">
        <f>"Roof Top Flush Railless ("&amp;AO35&amp;")"</f>
        <v>Roof Top Flush Railless (IBR)</v>
      </c>
      <c r="V21" s="335"/>
      <c r="W21" s="335"/>
      <c r="X21" s="335"/>
      <c r="Y21" s="335"/>
      <c r="Z21" s="335"/>
      <c r="AA21" s="335"/>
      <c r="AB21" s="335"/>
      <c r="AC21" s="335"/>
      <c r="AD21" s="335"/>
      <c r="AE21" s="335"/>
      <c r="AF21" s="335"/>
      <c r="AG21" s="335"/>
      <c r="AH21" s="335"/>
      <c r="AI21" s="335"/>
      <c r="AJ21" s="335"/>
      <c r="AK21" s="335"/>
      <c r="AL21" s="335"/>
      <c r="AM21" s="335"/>
      <c r="AN21" s="335"/>
      <c r="AO21" s="335"/>
      <c r="AP21" s="71"/>
      <c r="BI21" s="41"/>
    </row>
    <row r="22" spans="1:92" ht="7.4" customHeight="1" x14ac:dyDescent="0.5">
      <c r="A22" s="42"/>
      <c r="T22" s="70"/>
      <c r="U22" s="335"/>
      <c r="V22" s="335"/>
      <c r="W22" s="335"/>
      <c r="X22" s="335"/>
      <c r="Y22" s="335"/>
      <c r="Z22" s="335"/>
      <c r="AA22" s="335"/>
      <c r="AB22" s="335"/>
      <c r="AC22" s="335"/>
      <c r="AD22" s="335"/>
      <c r="AE22" s="335"/>
      <c r="AF22" s="335"/>
      <c r="AG22" s="335"/>
      <c r="AH22" s="335"/>
      <c r="AI22" s="335"/>
      <c r="AJ22" s="335"/>
      <c r="AK22" s="335"/>
      <c r="AL22" s="335"/>
      <c r="AM22" s="335"/>
      <c r="AN22" s="335"/>
      <c r="AO22" s="335"/>
      <c r="AP22" s="71"/>
      <c r="BI22" s="41"/>
    </row>
    <row r="23" spans="1:92" ht="7.4" customHeight="1" x14ac:dyDescent="0.5">
      <c r="A23" s="42"/>
      <c r="T23" s="72"/>
      <c r="U23" s="73"/>
      <c r="V23" s="73"/>
      <c r="W23" s="73"/>
      <c r="X23" s="73"/>
      <c r="Y23" s="73"/>
      <c r="Z23" s="73"/>
      <c r="AA23" s="73"/>
      <c r="AB23" s="73"/>
      <c r="AC23" s="73"/>
      <c r="AD23" s="73"/>
      <c r="AE23" s="73"/>
      <c r="AF23" s="73"/>
      <c r="AG23" s="73"/>
      <c r="AH23" s="73"/>
      <c r="AI23" s="73"/>
      <c r="AJ23" s="73"/>
      <c r="AK23" s="73"/>
      <c r="AL23" s="73"/>
      <c r="AM23" s="73"/>
      <c r="AN23" s="73"/>
      <c r="AO23" s="73"/>
      <c r="AP23" s="74"/>
      <c r="BI23" s="41"/>
    </row>
    <row r="24" spans="1:92" ht="7.4" customHeight="1" x14ac:dyDescent="0.5">
      <c r="A24" s="42"/>
      <c r="BI24" s="41"/>
    </row>
    <row r="25" spans="1:92" ht="7.4" customHeight="1" x14ac:dyDescent="0.5">
      <c r="A25" s="42"/>
      <c r="B25" s="299" t="s">
        <v>59</v>
      </c>
      <c r="C25" s="363"/>
      <c r="D25" s="363"/>
      <c r="E25" s="363"/>
      <c r="F25" s="363"/>
      <c r="G25" s="363"/>
      <c r="H25" s="363"/>
      <c r="I25" s="363"/>
      <c r="J25" s="363"/>
      <c r="K25" s="363"/>
      <c r="L25" s="363"/>
      <c r="M25" s="363"/>
      <c r="N25" s="363"/>
      <c r="O25" s="363"/>
      <c r="P25" s="363"/>
      <c r="Q25" s="363"/>
      <c r="R25" s="363"/>
      <c r="S25" s="363"/>
      <c r="T25" s="363"/>
      <c r="U25" s="363"/>
      <c r="V25" s="363"/>
      <c r="W25" s="363"/>
      <c r="X25" s="363"/>
      <c r="Y25" s="363"/>
      <c r="Z25" s="363"/>
      <c r="AA25" s="363"/>
      <c r="AB25" s="363"/>
      <c r="AC25" s="364"/>
      <c r="AE25" s="299" t="s">
        <v>60</v>
      </c>
      <c r="AF25" s="363"/>
      <c r="AG25" s="363"/>
      <c r="AH25" s="363"/>
      <c r="AI25" s="363"/>
      <c r="AJ25" s="363"/>
      <c r="AK25" s="363"/>
      <c r="AL25" s="363"/>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4"/>
      <c r="BI25" s="41"/>
    </row>
    <row r="26" spans="1:92" ht="7.4" customHeight="1" x14ac:dyDescent="0.5">
      <c r="A26" s="42"/>
      <c r="B26" s="365"/>
      <c r="C26" s="366"/>
      <c r="D26" s="366"/>
      <c r="E26" s="366"/>
      <c r="F26" s="366"/>
      <c r="G26" s="366"/>
      <c r="H26" s="366"/>
      <c r="I26" s="366"/>
      <c r="J26" s="366"/>
      <c r="K26" s="366"/>
      <c r="L26" s="366"/>
      <c r="M26" s="366"/>
      <c r="N26" s="366"/>
      <c r="O26" s="366"/>
      <c r="P26" s="366"/>
      <c r="Q26" s="366"/>
      <c r="R26" s="366"/>
      <c r="S26" s="366"/>
      <c r="T26" s="366"/>
      <c r="U26" s="366"/>
      <c r="V26" s="366"/>
      <c r="W26" s="366"/>
      <c r="X26" s="366"/>
      <c r="Y26" s="366"/>
      <c r="Z26" s="366"/>
      <c r="AA26" s="366"/>
      <c r="AB26" s="366"/>
      <c r="AC26" s="367"/>
      <c r="AE26" s="365"/>
      <c r="AF26" s="366"/>
      <c r="AG26" s="366"/>
      <c r="AH26" s="366"/>
      <c r="AI26" s="366"/>
      <c r="AJ26" s="366"/>
      <c r="AK26" s="366"/>
      <c r="AL26" s="366"/>
      <c r="AM26" s="366"/>
      <c r="AN26" s="366"/>
      <c r="AO26" s="366"/>
      <c r="AP26" s="366"/>
      <c r="AQ26" s="366"/>
      <c r="AR26" s="366"/>
      <c r="AS26" s="366"/>
      <c r="AT26" s="366"/>
      <c r="AU26" s="366"/>
      <c r="AV26" s="366"/>
      <c r="AW26" s="366"/>
      <c r="AX26" s="366"/>
      <c r="AY26" s="366"/>
      <c r="AZ26" s="366"/>
      <c r="BA26" s="366"/>
      <c r="BB26" s="366"/>
      <c r="BC26" s="366"/>
      <c r="BD26" s="366"/>
      <c r="BE26" s="366"/>
      <c r="BF26" s="366"/>
      <c r="BG26" s="366"/>
      <c r="BH26" s="367"/>
      <c r="BI26" s="41"/>
    </row>
    <row r="27" spans="1:92" ht="7.4" customHeight="1" x14ac:dyDescent="0.5">
      <c r="A27" s="42"/>
      <c r="B27" s="368"/>
      <c r="C27" s="369"/>
      <c r="D27" s="369"/>
      <c r="E27" s="369"/>
      <c r="F27" s="369"/>
      <c r="G27" s="369"/>
      <c r="H27" s="369"/>
      <c r="I27" s="369"/>
      <c r="J27" s="369"/>
      <c r="K27" s="369"/>
      <c r="L27" s="369"/>
      <c r="M27" s="369"/>
      <c r="N27" s="369"/>
      <c r="O27" s="369"/>
      <c r="P27" s="369"/>
      <c r="Q27" s="369"/>
      <c r="R27" s="369"/>
      <c r="S27" s="369"/>
      <c r="T27" s="369"/>
      <c r="U27" s="369"/>
      <c r="V27" s="369"/>
      <c r="W27" s="369"/>
      <c r="X27" s="369"/>
      <c r="Y27" s="369"/>
      <c r="Z27" s="369"/>
      <c r="AA27" s="369"/>
      <c r="AB27" s="369"/>
      <c r="AC27" s="370"/>
      <c r="AE27" s="368"/>
      <c r="AF27" s="369"/>
      <c r="AG27" s="369"/>
      <c r="AH27" s="369"/>
      <c r="AI27" s="369"/>
      <c r="AJ27" s="369"/>
      <c r="AK27" s="369"/>
      <c r="AL27" s="369"/>
      <c r="AM27" s="369"/>
      <c r="AN27" s="369"/>
      <c r="AO27" s="369"/>
      <c r="AP27" s="369"/>
      <c r="AQ27" s="369"/>
      <c r="AR27" s="369"/>
      <c r="AS27" s="369"/>
      <c r="AT27" s="369"/>
      <c r="AU27" s="369"/>
      <c r="AV27" s="369"/>
      <c r="AW27" s="369"/>
      <c r="AX27" s="369"/>
      <c r="AY27" s="369"/>
      <c r="AZ27" s="369"/>
      <c r="BA27" s="369"/>
      <c r="BB27" s="369"/>
      <c r="BC27" s="369"/>
      <c r="BD27" s="369"/>
      <c r="BE27" s="369"/>
      <c r="BF27" s="369"/>
      <c r="BG27" s="369"/>
      <c r="BH27" s="370"/>
      <c r="BI27" s="41"/>
    </row>
    <row r="28" spans="1:92" ht="7.4" customHeight="1" x14ac:dyDescent="0.5">
      <c r="A28" s="42"/>
      <c r="B28" s="58"/>
      <c r="C28" s="503" t="s">
        <v>61</v>
      </c>
      <c r="D28" s="503"/>
      <c r="E28" s="503"/>
      <c r="F28" s="503"/>
      <c r="G28" s="503"/>
      <c r="H28" s="503"/>
      <c r="I28" s="503"/>
      <c r="J28" s="503"/>
      <c r="K28" s="503"/>
      <c r="L28" s="503"/>
      <c r="M28" s="503"/>
      <c r="N28" s="503"/>
      <c r="O28" s="503"/>
      <c r="P28" s="503"/>
      <c r="Q28" s="503"/>
      <c r="R28" s="504"/>
      <c r="S28" s="39"/>
      <c r="T28" s="380" t="str">
        <f>(J43*BC43)/1000 &amp; " kWp"</f>
        <v>60 kWp</v>
      </c>
      <c r="U28" s="380"/>
      <c r="V28" s="380"/>
      <c r="W28" s="380"/>
      <c r="X28" s="380"/>
      <c r="Y28" s="380"/>
      <c r="Z28" s="380"/>
      <c r="AA28" s="380"/>
      <c r="AB28" s="380"/>
      <c r="AC28" s="381"/>
      <c r="AD28" s="108"/>
      <c r="AE28" s="137"/>
      <c r="AF28" s="503" t="s">
        <v>62</v>
      </c>
      <c r="AG28" s="503"/>
      <c r="AH28" s="503"/>
      <c r="AI28" s="503"/>
      <c r="AJ28" s="503"/>
      <c r="AK28" s="503"/>
      <c r="AL28" s="503"/>
      <c r="AM28" s="504"/>
      <c r="AN28" s="77"/>
      <c r="AO28" s="534" t="str">
        <f>IF(OR($AO$35="Corrugated (Rib Surface)",$AO$35="IBR (Rib Surface)"),"Portrait","Landscape")</f>
        <v>Landscape</v>
      </c>
      <c r="AP28" s="534"/>
      <c r="AQ28" s="534"/>
      <c r="AR28" s="534"/>
      <c r="AS28" s="534"/>
      <c r="AT28" s="534"/>
      <c r="AU28" s="534"/>
      <c r="AV28" s="534"/>
      <c r="AW28" s="534"/>
      <c r="AX28" s="534"/>
      <c r="AY28" s="534"/>
      <c r="AZ28" s="534"/>
      <c r="BA28" s="534"/>
      <c r="BB28" s="534"/>
      <c r="BC28" s="534"/>
      <c r="BD28" s="534"/>
      <c r="BE28" s="534"/>
      <c r="BF28" s="534"/>
      <c r="BG28" s="534"/>
      <c r="BH28" s="535"/>
      <c r="BI28" s="124"/>
    </row>
    <row r="29" spans="1:92" ht="7.4" customHeight="1" x14ac:dyDescent="0.5">
      <c r="A29" s="42"/>
      <c r="B29" s="61"/>
      <c r="C29" s="400"/>
      <c r="D29" s="400"/>
      <c r="E29" s="400"/>
      <c r="F29" s="400"/>
      <c r="G29" s="400"/>
      <c r="H29" s="400"/>
      <c r="I29" s="400"/>
      <c r="J29" s="400"/>
      <c r="K29" s="400"/>
      <c r="L29" s="400"/>
      <c r="M29" s="400"/>
      <c r="N29" s="400"/>
      <c r="O29" s="400"/>
      <c r="P29" s="400"/>
      <c r="Q29" s="400"/>
      <c r="R29" s="448"/>
      <c r="T29" s="382"/>
      <c r="U29" s="382"/>
      <c r="V29" s="382"/>
      <c r="W29" s="382"/>
      <c r="X29" s="382"/>
      <c r="Y29" s="382"/>
      <c r="Z29" s="382"/>
      <c r="AA29" s="382"/>
      <c r="AB29" s="382"/>
      <c r="AC29" s="383"/>
      <c r="AD29" s="25"/>
      <c r="AE29" s="139"/>
      <c r="AF29" s="400"/>
      <c r="AG29" s="400"/>
      <c r="AH29" s="400"/>
      <c r="AI29" s="400"/>
      <c r="AJ29" s="400"/>
      <c r="AK29" s="400"/>
      <c r="AL29" s="400"/>
      <c r="AM29" s="448"/>
      <c r="AN29" s="25"/>
      <c r="AO29" s="316"/>
      <c r="AP29" s="316"/>
      <c r="AQ29" s="316"/>
      <c r="AR29" s="316"/>
      <c r="AS29" s="316"/>
      <c r="AT29" s="316"/>
      <c r="AU29" s="316"/>
      <c r="AV29" s="316"/>
      <c r="AW29" s="316"/>
      <c r="AX29" s="316"/>
      <c r="AY29" s="316"/>
      <c r="AZ29" s="316"/>
      <c r="BA29" s="316"/>
      <c r="BB29" s="316"/>
      <c r="BC29" s="316"/>
      <c r="BD29" s="316"/>
      <c r="BE29" s="316"/>
      <c r="BF29" s="316"/>
      <c r="BG29" s="316"/>
      <c r="BH29" s="317"/>
      <c r="BI29" s="41"/>
    </row>
    <row r="30" spans="1:92" ht="7.4" customHeight="1" x14ac:dyDescent="0.5">
      <c r="A30" s="42"/>
      <c r="B30" s="61"/>
      <c r="C30" s="400"/>
      <c r="D30" s="400"/>
      <c r="E30" s="400"/>
      <c r="F30" s="400"/>
      <c r="G30" s="400"/>
      <c r="H30" s="400"/>
      <c r="I30" s="400"/>
      <c r="J30" s="400"/>
      <c r="K30" s="400"/>
      <c r="L30" s="400"/>
      <c r="M30" s="400"/>
      <c r="N30" s="400"/>
      <c r="O30" s="400"/>
      <c r="P30" s="400"/>
      <c r="Q30" s="400"/>
      <c r="R30" s="448"/>
      <c r="T30" s="388"/>
      <c r="U30" s="388"/>
      <c r="V30" s="388"/>
      <c r="W30" s="388"/>
      <c r="X30" s="388"/>
      <c r="Y30" s="388"/>
      <c r="Z30" s="388"/>
      <c r="AA30" s="388"/>
      <c r="AB30" s="388"/>
      <c r="AC30" s="389"/>
      <c r="AD30" s="25"/>
      <c r="AE30" s="139"/>
      <c r="AF30" s="400"/>
      <c r="AG30" s="400"/>
      <c r="AH30" s="400"/>
      <c r="AI30" s="400"/>
      <c r="AJ30" s="400"/>
      <c r="AK30" s="400"/>
      <c r="AL30" s="400"/>
      <c r="AM30" s="448"/>
      <c r="AN30" s="79"/>
      <c r="AO30" s="536"/>
      <c r="AP30" s="536"/>
      <c r="AQ30" s="536"/>
      <c r="AR30" s="536"/>
      <c r="AS30" s="536"/>
      <c r="AT30" s="536"/>
      <c r="AU30" s="536"/>
      <c r="AV30" s="536"/>
      <c r="AW30" s="536"/>
      <c r="AX30" s="536"/>
      <c r="AY30" s="536"/>
      <c r="AZ30" s="536"/>
      <c r="BA30" s="536"/>
      <c r="BB30" s="536"/>
      <c r="BC30" s="536"/>
      <c r="BD30" s="536"/>
      <c r="BE30" s="536"/>
      <c r="BF30" s="536"/>
      <c r="BG30" s="536"/>
      <c r="BH30" s="537"/>
      <c r="BI30" s="41"/>
    </row>
    <row r="31" spans="1:92" ht="7.4" customHeight="1" x14ac:dyDescent="0.5">
      <c r="A31" s="42"/>
      <c r="B31" s="61"/>
      <c r="C31" s="400" t="s">
        <v>65</v>
      </c>
      <c r="D31" s="400"/>
      <c r="E31" s="400"/>
      <c r="F31" s="400"/>
      <c r="G31" s="400"/>
      <c r="H31" s="400"/>
      <c r="I31" s="400"/>
      <c r="J31" s="400"/>
      <c r="K31" s="400"/>
      <c r="L31" s="400"/>
      <c r="M31" s="400"/>
      <c r="N31" s="400"/>
      <c r="O31" s="400"/>
      <c r="P31" s="400"/>
      <c r="Q31" s="400"/>
      <c r="R31" s="448"/>
      <c r="S31" s="39"/>
      <c r="T31" s="489" t="s">
        <v>186</v>
      </c>
      <c r="U31" s="489"/>
      <c r="V31" s="489"/>
      <c r="W31" s="489"/>
      <c r="X31" s="489"/>
      <c r="Y31" s="489"/>
      <c r="Z31" s="489"/>
      <c r="AA31" s="489"/>
      <c r="AB31" s="489"/>
      <c r="AC31" s="490"/>
      <c r="AD31" s="25"/>
      <c r="AE31" s="139"/>
      <c r="AF31" s="400" t="s">
        <v>67</v>
      </c>
      <c r="AG31" s="400"/>
      <c r="AH31" s="400"/>
      <c r="AI31" s="400"/>
      <c r="AJ31" s="400"/>
      <c r="AK31" s="400"/>
      <c r="AL31" s="400"/>
      <c r="AM31" s="448"/>
      <c r="AN31" s="77"/>
      <c r="AO31" s="489" t="s">
        <v>176</v>
      </c>
      <c r="AP31" s="489"/>
      <c r="AQ31" s="489"/>
      <c r="AR31" s="489"/>
      <c r="AS31" s="489"/>
      <c r="AT31" s="489"/>
      <c r="AU31" s="489"/>
      <c r="AV31" s="489"/>
      <c r="AW31" s="489"/>
      <c r="AX31" s="489"/>
      <c r="AY31" s="489"/>
      <c r="AZ31" s="489"/>
      <c r="BA31" s="489"/>
      <c r="BB31" s="489"/>
      <c r="BC31" s="489"/>
      <c r="BD31" s="489"/>
      <c r="BE31" s="489"/>
      <c r="BF31" s="489"/>
      <c r="BG31" s="489"/>
      <c r="BH31" s="490"/>
      <c r="BI31" s="41"/>
    </row>
    <row r="32" spans="1:92" ht="7.4" customHeight="1" x14ac:dyDescent="0.5">
      <c r="A32" s="42"/>
      <c r="B32" s="61"/>
      <c r="C32" s="400"/>
      <c r="D32" s="400"/>
      <c r="E32" s="400"/>
      <c r="F32" s="400"/>
      <c r="G32" s="400"/>
      <c r="H32" s="400"/>
      <c r="I32" s="400"/>
      <c r="J32" s="400"/>
      <c r="K32" s="400"/>
      <c r="L32" s="400"/>
      <c r="M32" s="400"/>
      <c r="N32" s="400"/>
      <c r="O32" s="400"/>
      <c r="P32" s="400"/>
      <c r="Q32" s="400"/>
      <c r="R32" s="448"/>
      <c r="T32" s="405"/>
      <c r="U32" s="405"/>
      <c r="V32" s="405"/>
      <c r="W32" s="405"/>
      <c r="X32" s="405"/>
      <c r="Y32" s="405"/>
      <c r="Z32" s="405"/>
      <c r="AA32" s="405"/>
      <c r="AB32" s="405"/>
      <c r="AC32" s="411"/>
      <c r="AD32" s="25"/>
      <c r="AE32" s="139"/>
      <c r="AF32" s="400"/>
      <c r="AG32" s="400"/>
      <c r="AH32" s="400"/>
      <c r="AI32" s="400"/>
      <c r="AJ32" s="400"/>
      <c r="AK32" s="400"/>
      <c r="AL32" s="400"/>
      <c r="AM32" s="448"/>
      <c r="AN32" s="25"/>
      <c r="AO32" s="405"/>
      <c r="AP32" s="405"/>
      <c r="AQ32" s="405"/>
      <c r="AR32" s="405"/>
      <c r="AS32" s="405"/>
      <c r="AT32" s="405"/>
      <c r="AU32" s="405"/>
      <c r="AV32" s="405"/>
      <c r="AW32" s="405"/>
      <c r="AX32" s="405"/>
      <c r="AY32" s="405"/>
      <c r="AZ32" s="405"/>
      <c r="BA32" s="405"/>
      <c r="BB32" s="405"/>
      <c r="BC32" s="405"/>
      <c r="BD32" s="405"/>
      <c r="BE32" s="405"/>
      <c r="BF32" s="405"/>
      <c r="BG32" s="405"/>
      <c r="BH32" s="411"/>
      <c r="BI32" s="41"/>
      <c r="BN32" s="79"/>
      <c r="BO32" s="79"/>
      <c r="BP32" s="79"/>
      <c r="BQ32" s="79"/>
      <c r="BR32" s="79"/>
      <c r="BS32" s="79"/>
      <c r="BT32" s="79"/>
      <c r="BU32" s="79"/>
      <c r="BV32" s="79"/>
      <c r="BW32" s="79"/>
      <c r="BX32" s="79"/>
      <c r="BY32" s="79"/>
      <c r="BZ32" s="79"/>
      <c r="CA32" s="79"/>
      <c r="CB32" s="79"/>
      <c r="CC32" s="79"/>
      <c r="CE32" s="141"/>
      <c r="CF32" s="141"/>
      <c r="CG32" s="141"/>
      <c r="CH32" s="141"/>
      <c r="CI32" s="141"/>
      <c r="CJ32" s="141"/>
      <c r="CK32" s="141"/>
      <c r="CL32" s="141"/>
      <c r="CM32" s="141"/>
      <c r="CN32" s="141"/>
    </row>
    <row r="33" spans="1:92" ht="7.4" customHeight="1" x14ac:dyDescent="0.5">
      <c r="A33" s="42"/>
      <c r="B33" s="64"/>
      <c r="C33" s="487"/>
      <c r="D33" s="487"/>
      <c r="E33" s="487"/>
      <c r="F33" s="487"/>
      <c r="G33" s="487"/>
      <c r="H33" s="487"/>
      <c r="I33" s="487"/>
      <c r="J33" s="487"/>
      <c r="K33" s="487"/>
      <c r="L33" s="487"/>
      <c r="M33" s="487"/>
      <c r="N33" s="487"/>
      <c r="O33" s="487"/>
      <c r="P33" s="487"/>
      <c r="Q33" s="487"/>
      <c r="R33" s="488"/>
      <c r="S33" s="51"/>
      <c r="T33" s="491"/>
      <c r="U33" s="491"/>
      <c r="V33" s="491"/>
      <c r="W33" s="491"/>
      <c r="X33" s="491"/>
      <c r="Y33" s="491"/>
      <c r="Z33" s="491"/>
      <c r="AA33" s="491"/>
      <c r="AB33" s="491"/>
      <c r="AC33" s="492"/>
      <c r="AD33" s="25"/>
      <c r="AE33" s="139"/>
      <c r="AF33" s="400"/>
      <c r="AG33" s="400"/>
      <c r="AH33" s="400"/>
      <c r="AI33" s="400"/>
      <c r="AJ33" s="400"/>
      <c r="AK33" s="400"/>
      <c r="AL33" s="400"/>
      <c r="AM33" s="448"/>
      <c r="AN33" s="135"/>
      <c r="AO33" s="491"/>
      <c r="AP33" s="491"/>
      <c r="AQ33" s="491"/>
      <c r="AR33" s="491"/>
      <c r="AS33" s="491"/>
      <c r="AT33" s="491"/>
      <c r="AU33" s="491"/>
      <c r="AV33" s="491"/>
      <c r="AW33" s="491"/>
      <c r="AX33" s="491"/>
      <c r="AY33" s="491"/>
      <c r="AZ33" s="491"/>
      <c r="BA33" s="491"/>
      <c r="BB33" s="491"/>
      <c r="BC33" s="491"/>
      <c r="BD33" s="491"/>
      <c r="BE33" s="491"/>
      <c r="BF33" s="491"/>
      <c r="BG33" s="491"/>
      <c r="BH33" s="492"/>
      <c r="BI33" s="41"/>
      <c r="BN33" s="79"/>
      <c r="BO33" s="79"/>
      <c r="BP33" s="79"/>
      <c r="BQ33" s="79"/>
      <c r="BR33" s="79"/>
      <c r="BS33" s="79"/>
      <c r="BT33" s="79"/>
      <c r="BU33" s="79"/>
      <c r="BV33" s="79"/>
      <c r="BW33" s="79"/>
      <c r="BX33" s="79"/>
      <c r="BY33" s="79"/>
      <c r="BZ33" s="79"/>
      <c r="CA33" s="79"/>
      <c r="CB33" s="79"/>
      <c r="CC33" s="79"/>
      <c r="CE33" s="141"/>
      <c r="CF33" s="141"/>
      <c r="CG33" s="141"/>
      <c r="CH33" s="141"/>
      <c r="CI33" s="141"/>
      <c r="CJ33" s="141"/>
      <c r="CK33" s="141"/>
      <c r="CL33" s="141"/>
      <c r="CM33" s="141"/>
      <c r="CN33" s="141"/>
    </row>
    <row r="34" spans="1:92" ht="7.4" customHeight="1" x14ac:dyDescent="0.5">
      <c r="A34" s="42"/>
      <c r="C34" s="79"/>
      <c r="D34" s="79"/>
      <c r="E34" s="79"/>
      <c r="F34" s="79"/>
      <c r="G34" s="79"/>
      <c r="H34" s="79"/>
      <c r="I34" s="79"/>
      <c r="J34" s="79"/>
      <c r="K34" s="79"/>
      <c r="L34" s="79"/>
      <c r="M34" s="79"/>
      <c r="N34" s="79"/>
      <c r="O34" s="79"/>
      <c r="P34" s="79"/>
      <c r="Q34" s="79"/>
      <c r="R34" s="79"/>
      <c r="T34" s="141"/>
      <c r="U34" s="141"/>
      <c r="V34" s="141"/>
      <c r="W34" s="141"/>
      <c r="X34" s="141"/>
      <c r="Y34" s="141"/>
      <c r="Z34" s="141"/>
      <c r="AA34" s="141"/>
      <c r="AB34" s="141"/>
      <c r="AC34" s="141"/>
      <c r="AD34" s="108"/>
      <c r="AE34" s="142"/>
      <c r="AF34" s="400" t="s">
        <v>132</v>
      </c>
      <c r="AG34" s="400"/>
      <c r="AH34" s="400"/>
      <c r="AI34" s="400"/>
      <c r="AJ34" s="400"/>
      <c r="AK34" s="400"/>
      <c r="AL34" s="400"/>
      <c r="AM34" s="448"/>
      <c r="AN34" s="79"/>
      <c r="AO34" s="79"/>
      <c r="AP34" s="79"/>
      <c r="AQ34" s="79"/>
      <c r="AR34" s="79"/>
      <c r="AS34" s="79"/>
      <c r="AT34" s="79"/>
      <c r="AU34" s="79"/>
      <c r="AV34" s="79"/>
      <c r="AW34" s="79"/>
      <c r="AX34" s="79"/>
      <c r="AY34" s="79"/>
      <c r="AZ34" s="79"/>
      <c r="BA34" s="79"/>
      <c r="BB34" s="79"/>
      <c r="BC34" s="79"/>
      <c r="BD34" s="79"/>
      <c r="BE34" s="79"/>
      <c r="BF34" s="79"/>
      <c r="BG34" s="79"/>
      <c r="BH34" s="124"/>
      <c r="BI34" s="124"/>
      <c r="BN34" s="79"/>
      <c r="BO34" s="79"/>
      <c r="BP34" s="79"/>
      <c r="BQ34" s="79"/>
      <c r="BR34" s="79"/>
      <c r="BS34" s="79"/>
      <c r="BT34" s="79"/>
      <c r="BU34" s="79"/>
      <c r="BV34" s="79"/>
      <c r="BW34" s="79"/>
      <c r="BX34" s="79"/>
      <c r="BY34" s="79"/>
      <c r="BZ34" s="79"/>
      <c r="CA34" s="79"/>
      <c r="CB34" s="79"/>
      <c r="CC34" s="79"/>
      <c r="CE34" s="141"/>
      <c r="CF34" s="141"/>
      <c r="CG34" s="141"/>
      <c r="CH34" s="141"/>
      <c r="CI34" s="141"/>
      <c r="CJ34" s="141"/>
      <c r="CK34" s="141"/>
      <c r="CL34" s="141"/>
      <c r="CM34" s="141"/>
      <c r="CN34" s="141"/>
    </row>
    <row r="35" spans="1:92" ht="7.4" customHeight="1" x14ac:dyDescent="0.5">
      <c r="A35" s="42"/>
      <c r="C35" s="79"/>
      <c r="D35" s="79"/>
      <c r="E35" s="79"/>
      <c r="F35" s="79"/>
      <c r="G35" s="79"/>
      <c r="H35" s="79"/>
      <c r="I35" s="79"/>
      <c r="J35" s="79"/>
      <c r="K35" s="79"/>
      <c r="L35" s="79"/>
      <c r="M35" s="79"/>
      <c r="N35" s="79"/>
      <c r="O35" s="79"/>
      <c r="P35" s="79"/>
      <c r="Q35" s="79"/>
      <c r="R35" s="79"/>
      <c r="T35" s="141"/>
      <c r="U35" s="141"/>
      <c r="V35" s="141"/>
      <c r="W35" s="141"/>
      <c r="X35" s="141"/>
      <c r="Y35" s="141"/>
      <c r="Z35" s="141"/>
      <c r="AA35" s="141"/>
      <c r="AB35" s="141"/>
      <c r="AC35" s="141"/>
      <c r="AD35" s="25"/>
      <c r="AE35" s="139"/>
      <c r="AF35" s="400"/>
      <c r="AG35" s="400"/>
      <c r="AH35" s="400"/>
      <c r="AI35" s="400"/>
      <c r="AJ35" s="400"/>
      <c r="AK35" s="400"/>
      <c r="AL35" s="400"/>
      <c r="AM35" s="448"/>
      <c r="AN35" s="25"/>
      <c r="AO35" s="541" t="s">
        <v>14</v>
      </c>
      <c r="AP35" s="541"/>
      <c r="AQ35" s="541"/>
      <c r="AR35" s="541"/>
      <c r="AS35" s="541"/>
      <c r="AT35" s="541"/>
      <c r="AU35" s="541"/>
      <c r="AV35" s="541"/>
      <c r="AW35" s="541"/>
      <c r="AX35" s="541"/>
      <c r="AY35" s="25"/>
      <c r="AZ35" s="108"/>
      <c r="BA35" s="259"/>
      <c r="BB35" s="79"/>
      <c r="BC35" s="79"/>
      <c r="BD35" s="79"/>
      <c r="BE35" s="79"/>
      <c r="BF35" s="79"/>
      <c r="BG35" s="79"/>
      <c r="BH35" s="124"/>
      <c r="BI35" s="41"/>
      <c r="BN35" s="79"/>
      <c r="BO35" s="79"/>
      <c r="BP35" s="79"/>
      <c r="BQ35" s="79"/>
      <c r="BR35" s="79"/>
      <c r="BS35" s="79"/>
      <c r="BT35" s="79"/>
      <c r="BU35" s="79"/>
      <c r="BV35" s="79"/>
      <c r="BW35" s="79"/>
      <c r="BX35" s="79"/>
      <c r="BY35" s="79"/>
      <c r="BZ35" s="79"/>
      <c r="CA35" s="79"/>
      <c r="CB35" s="79"/>
      <c r="CC35" s="79"/>
      <c r="CE35" s="141"/>
      <c r="CF35" s="141"/>
      <c r="CG35" s="141"/>
      <c r="CH35" s="141"/>
      <c r="CI35" s="141"/>
      <c r="CJ35" s="141"/>
      <c r="CK35" s="141"/>
      <c r="CL35" s="141"/>
      <c r="CM35" s="141"/>
      <c r="CN35" s="141"/>
    </row>
    <row r="36" spans="1:92" ht="7.4" customHeight="1" x14ac:dyDescent="0.5">
      <c r="A36" s="42"/>
      <c r="C36" s="79"/>
      <c r="D36" s="79"/>
      <c r="E36" s="79"/>
      <c r="F36" s="79"/>
      <c r="G36" s="79"/>
      <c r="H36" s="79"/>
      <c r="I36" s="79"/>
      <c r="J36" s="79"/>
      <c r="K36" s="79"/>
      <c r="L36" s="79"/>
      <c r="M36" s="79"/>
      <c r="N36" s="79"/>
      <c r="O36" s="79"/>
      <c r="P36" s="79"/>
      <c r="Q36" s="79"/>
      <c r="R36" s="79"/>
      <c r="T36" s="141"/>
      <c r="U36" s="141"/>
      <c r="V36" s="141"/>
      <c r="W36" s="141"/>
      <c r="X36" s="141"/>
      <c r="Y36" s="141"/>
      <c r="Z36" s="141"/>
      <c r="AA36" s="141"/>
      <c r="AB36" s="141"/>
      <c r="AC36" s="141"/>
      <c r="AD36" s="25"/>
      <c r="AE36" s="139"/>
      <c r="AF36" s="400"/>
      <c r="AG36" s="400"/>
      <c r="AH36" s="400"/>
      <c r="AI36" s="400"/>
      <c r="AJ36" s="400"/>
      <c r="AK36" s="400"/>
      <c r="AL36" s="400"/>
      <c r="AM36" s="448"/>
      <c r="AN36" s="25"/>
      <c r="AO36" s="541"/>
      <c r="AP36" s="541"/>
      <c r="AQ36" s="541"/>
      <c r="AR36" s="541"/>
      <c r="AS36" s="541"/>
      <c r="AT36" s="541"/>
      <c r="AU36" s="541"/>
      <c r="AV36" s="541"/>
      <c r="AW36" s="541"/>
      <c r="AX36" s="541"/>
      <c r="AY36" s="25"/>
      <c r="AZ36" s="108"/>
      <c r="BA36" s="259"/>
      <c r="BB36" s="79"/>
      <c r="BC36" s="79"/>
      <c r="BD36" s="79"/>
      <c r="BE36" s="79"/>
      <c r="BF36" s="79"/>
      <c r="BG36" s="79"/>
      <c r="BH36" s="124"/>
      <c r="BI36" s="41"/>
    </row>
    <row r="37" spans="1:92" ht="7.4" customHeight="1" x14ac:dyDescent="0.5">
      <c r="A37" s="42"/>
      <c r="C37" s="79"/>
      <c r="D37" s="79"/>
      <c r="E37" s="79"/>
      <c r="F37" s="79"/>
      <c r="G37" s="79"/>
      <c r="H37" s="79"/>
      <c r="I37" s="79"/>
      <c r="J37" s="79"/>
      <c r="K37" s="79"/>
      <c r="L37" s="79"/>
      <c r="M37" s="79"/>
      <c r="N37" s="79"/>
      <c r="O37" s="79"/>
      <c r="P37" s="79"/>
      <c r="Q37" s="79"/>
      <c r="R37" s="79"/>
      <c r="T37" s="141"/>
      <c r="U37" s="141"/>
      <c r="V37" s="141"/>
      <c r="W37" s="141"/>
      <c r="X37" s="141"/>
      <c r="Y37" s="141"/>
      <c r="Z37" s="141"/>
      <c r="AA37" s="141"/>
      <c r="AB37" s="141"/>
      <c r="AC37" s="141"/>
      <c r="AD37" s="25"/>
      <c r="AE37" s="145"/>
      <c r="AF37" s="487"/>
      <c r="AG37" s="487"/>
      <c r="AH37" s="487"/>
      <c r="AI37" s="487"/>
      <c r="AJ37" s="487"/>
      <c r="AK37" s="487"/>
      <c r="AL37" s="487"/>
      <c r="AM37" s="488"/>
      <c r="AN37" s="135"/>
      <c r="AO37" s="135"/>
      <c r="AP37" s="135"/>
      <c r="AQ37" s="51"/>
      <c r="AR37" s="51"/>
      <c r="AS37" s="135"/>
      <c r="AT37" s="135"/>
      <c r="AU37" s="135"/>
      <c r="AV37" s="135"/>
      <c r="AW37" s="135"/>
      <c r="AX37" s="135"/>
      <c r="AY37" s="135"/>
      <c r="AZ37" s="135"/>
      <c r="BA37" s="135"/>
      <c r="BB37" s="135"/>
      <c r="BC37" s="135"/>
      <c r="BD37" s="135"/>
      <c r="BE37" s="135"/>
      <c r="BF37" s="135"/>
      <c r="BG37" s="135"/>
      <c r="BH37" s="158"/>
      <c r="BI37" s="41"/>
    </row>
    <row r="38" spans="1:92" ht="7.4" customHeight="1" x14ac:dyDescent="0.5">
      <c r="A38" s="42"/>
      <c r="X38" s="25"/>
      <c r="Y38" s="25"/>
      <c r="Z38" s="25"/>
      <c r="AA38" s="25"/>
      <c r="AB38" s="25"/>
      <c r="AC38" s="25"/>
      <c r="AD38" s="25"/>
      <c r="AE38" s="25"/>
      <c r="AF38" s="25"/>
      <c r="AG38" s="25"/>
      <c r="AH38" s="25"/>
      <c r="AI38" s="25"/>
      <c r="AJ38" s="25"/>
      <c r="AL38" s="79"/>
      <c r="AM38" s="79"/>
      <c r="AN38" s="79"/>
      <c r="AO38" s="79"/>
      <c r="AP38" s="79"/>
      <c r="AQ38" s="79"/>
      <c r="AR38" s="79"/>
      <c r="AS38" s="79"/>
      <c r="AV38" s="79"/>
      <c r="AW38" s="79"/>
      <c r="AX38" s="79"/>
      <c r="AY38" s="79"/>
      <c r="AZ38" s="79"/>
      <c r="BA38" s="79"/>
      <c r="BB38" s="79"/>
      <c r="BC38" s="79"/>
      <c r="BD38" s="79"/>
      <c r="BE38" s="79"/>
      <c r="BF38" s="79"/>
      <c r="BG38" s="79"/>
      <c r="BH38" s="79"/>
      <c r="BI38" s="41"/>
    </row>
    <row r="39" spans="1:92" ht="7.4" customHeight="1" x14ac:dyDescent="0.5">
      <c r="A39" s="42"/>
      <c r="B39" s="299" t="s">
        <v>73</v>
      </c>
      <c r="C39" s="363"/>
      <c r="D39" s="363"/>
      <c r="E39" s="363"/>
      <c r="F39" s="363"/>
      <c r="G39" s="363"/>
      <c r="H39" s="363"/>
      <c r="I39" s="363"/>
      <c r="J39" s="363"/>
      <c r="K39" s="363"/>
      <c r="L39" s="363"/>
      <c r="M39" s="363"/>
      <c r="N39" s="363"/>
      <c r="O39" s="363"/>
      <c r="P39" s="363"/>
      <c r="Q39" s="363"/>
      <c r="R39" s="363"/>
      <c r="S39" s="363"/>
      <c r="T39" s="363"/>
      <c r="U39" s="363"/>
      <c r="V39" s="363"/>
      <c r="W39" s="363"/>
      <c r="X39" s="363"/>
      <c r="Y39" s="363"/>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363"/>
      <c r="BC39" s="363"/>
      <c r="BD39" s="363"/>
      <c r="BE39" s="363"/>
      <c r="BF39" s="363"/>
      <c r="BG39" s="363"/>
      <c r="BH39" s="364"/>
      <c r="BI39" s="41"/>
    </row>
    <row r="40" spans="1:92" ht="7.4" customHeight="1" x14ac:dyDescent="0.5">
      <c r="A40" s="42"/>
      <c r="B40" s="365"/>
      <c r="C40" s="366"/>
      <c r="D40" s="366"/>
      <c r="E40" s="366"/>
      <c r="F40" s="366"/>
      <c r="G40" s="366"/>
      <c r="H40" s="366"/>
      <c r="I40" s="366"/>
      <c r="J40" s="366"/>
      <c r="K40" s="366"/>
      <c r="L40" s="366"/>
      <c r="M40" s="366"/>
      <c r="N40" s="366"/>
      <c r="O40" s="366"/>
      <c r="P40" s="366"/>
      <c r="Q40" s="366"/>
      <c r="R40" s="366"/>
      <c r="S40" s="366"/>
      <c r="T40" s="366"/>
      <c r="U40" s="366"/>
      <c r="V40" s="366"/>
      <c r="W40" s="366"/>
      <c r="X40" s="366"/>
      <c r="Y40" s="366"/>
      <c r="Z40" s="366"/>
      <c r="AA40" s="366"/>
      <c r="AB40" s="366"/>
      <c r="AC40" s="366"/>
      <c r="AD40" s="366"/>
      <c r="AE40" s="366"/>
      <c r="AF40" s="366"/>
      <c r="AG40" s="366"/>
      <c r="AH40" s="366"/>
      <c r="AI40" s="366"/>
      <c r="AJ40" s="366"/>
      <c r="AK40" s="366"/>
      <c r="AL40" s="366"/>
      <c r="AM40" s="366"/>
      <c r="AN40" s="366"/>
      <c r="AO40" s="366"/>
      <c r="AP40" s="366"/>
      <c r="AQ40" s="366"/>
      <c r="AR40" s="366"/>
      <c r="AS40" s="366"/>
      <c r="AT40" s="366"/>
      <c r="AU40" s="366"/>
      <c r="AV40" s="366"/>
      <c r="AW40" s="366"/>
      <c r="AX40" s="366"/>
      <c r="AY40" s="366"/>
      <c r="AZ40" s="366"/>
      <c r="BA40" s="366"/>
      <c r="BB40" s="366"/>
      <c r="BC40" s="366"/>
      <c r="BD40" s="366"/>
      <c r="BE40" s="366"/>
      <c r="BF40" s="366"/>
      <c r="BG40" s="366"/>
      <c r="BH40" s="367"/>
      <c r="BI40" s="41"/>
    </row>
    <row r="41" spans="1:92" ht="7.4" customHeight="1" x14ac:dyDescent="0.5">
      <c r="A41" s="42"/>
      <c r="B41" s="368"/>
      <c r="C41" s="369"/>
      <c r="D41" s="369"/>
      <c r="E41" s="369"/>
      <c r="F41" s="369"/>
      <c r="G41" s="369"/>
      <c r="H41" s="369"/>
      <c r="I41" s="369"/>
      <c r="J41" s="369"/>
      <c r="K41" s="369"/>
      <c r="L41" s="369"/>
      <c r="M41" s="369"/>
      <c r="N41" s="369"/>
      <c r="O41" s="369"/>
      <c r="P41" s="369"/>
      <c r="Q41" s="369"/>
      <c r="R41" s="369"/>
      <c r="S41" s="369"/>
      <c r="T41" s="369"/>
      <c r="U41" s="369"/>
      <c r="V41" s="369"/>
      <c r="W41" s="369"/>
      <c r="X41" s="369"/>
      <c r="Y41" s="369"/>
      <c r="Z41" s="369"/>
      <c r="AA41" s="369"/>
      <c r="AB41" s="369"/>
      <c r="AC41" s="369"/>
      <c r="AD41" s="369"/>
      <c r="AE41" s="369"/>
      <c r="AF41" s="369"/>
      <c r="AG41" s="369"/>
      <c r="AH41" s="369"/>
      <c r="AI41" s="369"/>
      <c r="AJ41" s="369"/>
      <c r="AK41" s="369"/>
      <c r="AL41" s="369"/>
      <c r="AM41" s="369"/>
      <c r="AN41" s="369"/>
      <c r="AO41" s="369"/>
      <c r="AP41" s="369"/>
      <c r="AQ41" s="369"/>
      <c r="AR41" s="369"/>
      <c r="AS41" s="369"/>
      <c r="AT41" s="369"/>
      <c r="AU41" s="369"/>
      <c r="AV41" s="369"/>
      <c r="AW41" s="369"/>
      <c r="AX41" s="369"/>
      <c r="AY41" s="369"/>
      <c r="AZ41" s="369"/>
      <c r="BA41" s="369"/>
      <c r="BB41" s="369"/>
      <c r="BC41" s="369"/>
      <c r="BD41" s="369"/>
      <c r="BE41" s="369"/>
      <c r="BF41" s="369"/>
      <c r="BG41" s="369"/>
      <c r="BH41" s="370"/>
      <c r="BI41" s="41"/>
    </row>
    <row r="42" spans="1:92" ht="7.4" customHeight="1" x14ac:dyDescent="0.5">
      <c r="A42" s="42"/>
      <c r="B42" s="58"/>
      <c r="C42" s="59"/>
      <c r="D42" s="59"/>
      <c r="E42" s="59"/>
      <c r="F42" s="59"/>
      <c r="G42" s="59"/>
      <c r="H42" s="60"/>
      <c r="I42" s="38"/>
      <c r="J42" s="39"/>
      <c r="K42" s="39"/>
      <c r="L42" s="39"/>
      <c r="M42" s="39"/>
      <c r="N42" s="39"/>
      <c r="O42" s="39"/>
      <c r="P42" s="58"/>
      <c r="Q42" s="59"/>
      <c r="R42" s="59"/>
      <c r="S42" s="148"/>
      <c r="T42" s="148"/>
      <c r="U42" s="149"/>
      <c r="V42" s="39"/>
      <c r="W42" s="89"/>
      <c r="X42" s="89"/>
      <c r="Y42" s="89"/>
      <c r="Z42" s="89"/>
      <c r="AA42" s="39"/>
      <c r="AB42" s="39"/>
      <c r="AC42" s="89"/>
      <c r="AD42" s="89"/>
      <c r="AE42" s="89"/>
      <c r="AF42" s="89"/>
      <c r="AG42" s="89"/>
      <c r="AH42" s="39"/>
      <c r="AI42" s="77"/>
      <c r="AJ42" s="77"/>
      <c r="AK42" s="77"/>
      <c r="AL42" s="77"/>
      <c r="AM42" s="77"/>
      <c r="AN42" s="77"/>
      <c r="AO42" s="77"/>
      <c r="AP42" s="77"/>
      <c r="AQ42" s="39"/>
      <c r="AR42" s="39"/>
      <c r="AS42" s="77"/>
      <c r="AT42" s="77"/>
      <c r="AU42" s="58"/>
      <c r="AV42" s="59"/>
      <c r="AW42" s="59"/>
      <c r="AX42" s="148"/>
      <c r="AY42" s="148"/>
      <c r="AZ42" s="148"/>
      <c r="BA42" s="150"/>
      <c r="BB42" s="39"/>
      <c r="BC42" s="39"/>
      <c r="BD42" s="39"/>
      <c r="BE42" s="77"/>
      <c r="BF42" s="77"/>
      <c r="BG42" s="77"/>
      <c r="BH42" s="138"/>
      <c r="BI42" s="41"/>
    </row>
    <row r="43" spans="1:92" ht="7.4" customHeight="1" x14ac:dyDescent="0.5">
      <c r="A43" s="42"/>
      <c r="B43" s="61"/>
      <c r="C43" s="344" t="s">
        <v>74</v>
      </c>
      <c r="D43" s="344"/>
      <c r="E43" s="344"/>
      <c r="F43" s="344"/>
      <c r="G43" s="344"/>
      <c r="H43" s="63"/>
      <c r="I43" s="42"/>
      <c r="J43" s="311">
        <f>M54*M58+P54*P58+S54*S58+V54*V58+Y54*Y58+AB54*AB58+AE54*AE58+AH54*AH58+AK54*AK58+AN54*AN58+AQ54*AQ58+AT54*AT58+AW54*AW58+AZ54*AZ58+BC54*BC58+BF54*BF58</f>
        <v>100</v>
      </c>
      <c r="K43" s="311"/>
      <c r="L43" s="311"/>
      <c r="M43" s="311"/>
      <c r="N43" s="311"/>
      <c r="P43" s="61"/>
      <c r="Q43" s="344" t="s">
        <v>75</v>
      </c>
      <c r="R43" s="344"/>
      <c r="S43" s="344"/>
      <c r="T43" s="344"/>
      <c r="U43" s="151"/>
      <c r="W43" s="453" t="s">
        <v>134</v>
      </c>
      <c r="X43" s="453"/>
      <c r="Y43" s="453"/>
      <c r="Z43" s="453"/>
      <c r="AA43" s="453"/>
      <c r="AB43" s="453"/>
      <c r="AC43" s="453"/>
      <c r="AD43" s="453"/>
      <c r="AE43" s="453"/>
      <c r="AF43" s="453"/>
      <c r="AG43" s="453"/>
      <c r="AH43" s="453"/>
      <c r="AI43" s="453"/>
      <c r="AJ43" s="453"/>
      <c r="AK43" s="453"/>
      <c r="AL43" s="453"/>
      <c r="AM43" s="453"/>
      <c r="AN43" s="453"/>
      <c r="AO43" s="453"/>
      <c r="AP43" s="453"/>
      <c r="AQ43" s="453"/>
      <c r="AR43" s="453"/>
      <c r="AS43" s="453"/>
      <c r="AT43" s="79"/>
      <c r="AU43" s="61"/>
      <c r="AV43" s="400" t="s">
        <v>77</v>
      </c>
      <c r="AW43" s="400"/>
      <c r="AX43" s="400"/>
      <c r="AY43" s="400"/>
      <c r="AZ43" s="400"/>
      <c r="BA43" s="152"/>
      <c r="BC43" s="471">
        <v>600</v>
      </c>
      <c r="BD43" s="471"/>
      <c r="BE43" s="471"/>
      <c r="BF43" s="471"/>
      <c r="BG43" s="471"/>
      <c r="BH43" s="124"/>
      <c r="BI43" s="41"/>
    </row>
    <row r="44" spans="1:92" ht="7.4" customHeight="1" x14ac:dyDescent="0.5">
      <c r="A44" s="42"/>
      <c r="B44" s="61"/>
      <c r="C44" s="344"/>
      <c r="D44" s="344"/>
      <c r="E44" s="344"/>
      <c r="F44" s="344"/>
      <c r="G44" s="344"/>
      <c r="H44" s="63"/>
      <c r="I44" s="42"/>
      <c r="J44" s="311"/>
      <c r="K44" s="311"/>
      <c r="L44" s="311"/>
      <c r="M44" s="311"/>
      <c r="N44" s="311"/>
      <c r="P44" s="61"/>
      <c r="Q44" s="344"/>
      <c r="R44" s="344"/>
      <c r="S44" s="344"/>
      <c r="T44" s="344"/>
      <c r="U44" s="151"/>
      <c r="W44" s="453"/>
      <c r="X44" s="453"/>
      <c r="Y44" s="453"/>
      <c r="Z44" s="453"/>
      <c r="AA44" s="453"/>
      <c r="AB44" s="453"/>
      <c r="AC44" s="453"/>
      <c r="AD44" s="453"/>
      <c r="AE44" s="453"/>
      <c r="AF44" s="453"/>
      <c r="AG44" s="453"/>
      <c r="AH44" s="453"/>
      <c r="AI44" s="453"/>
      <c r="AJ44" s="453"/>
      <c r="AK44" s="453"/>
      <c r="AL44" s="453"/>
      <c r="AM44" s="453"/>
      <c r="AN44" s="453"/>
      <c r="AO44" s="453"/>
      <c r="AP44" s="453"/>
      <c r="AQ44" s="453"/>
      <c r="AR44" s="453"/>
      <c r="AS44" s="453"/>
      <c r="AT44" s="79"/>
      <c r="AU44" s="61"/>
      <c r="AV44" s="400"/>
      <c r="AW44" s="400"/>
      <c r="AX44" s="400"/>
      <c r="AY44" s="400"/>
      <c r="AZ44" s="400"/>
      <c r="BA44" s="152"/>
      <c r="BC44" s="471"/>
      <c r="BD44" s="471"/>
      <c r="BE44" s="471"/>
      <c r="BF44" s="471"/>
      <c r="BG44" s="471"/>
      <c r="BH44" s="124"/>
      <c r="BI44" s="41"/>
      <c r="BU44" s="237"/>
    </row>
    <row r="45" spans="1:92" ht="7.4" customHeight="1" x14ac:dyDescent="0.5">
      <c r="A45" s="42"/>
      <c r="B45" s="61"/>
      <c r="C45" s="344"/>
      <c r="D45" s="344"/>
      <c r="E45" s="344"/>
      <c r="F45" s="344"/>
      <c r="G45" s="344"/>
      <c r="H45" s="63"/>
      <c r="I45" s="42"/>
      <c r="J45" s="311"/>
      <c r="K45" s="311"/>
      <c r="L45" s="311"/>
      <c r="M45" s="311"/>
      <c r="N45" s="311"/>
      <c r="P45" s="61"/>
      <c r="Q45" s="344"/>
      <c r="R45" s="344"/>
      <c r="S45" s="344"/>
      <c r="T45" s="344"/>
      <c r="U45" s="151"/>
      <c r="W45" s="472">
        <v>2278</v>
      </c>
      <c r="X45" s="472"/>
      <c r="Y45" s="472"/>
      <c r="Z45" s="472"/>
      <c r="AA45" s="153" t="s">
        <v>78</v>
      </c>
      <c r="AB45" s="153"/>
      <c r="AC45" s="154"/>
      <c r="AD45" s="154"/>
      <c r="AE45" s="472">
        <v>1134</v>
      </c>
      <c r="AF45" s="472"/>
      <c r="AG45" s="472"/>
      <c r="AH45" s="472"/>
      <c r="AI45" s="155" t="s">
        <v>79</v>
      </c>
      <c r="AJ45" s="155"/>
      <c r="AK45" s="155"/>
      <c r="AL45" s="155"/>
      <c r="AM45" s="472">
        <v>30</v>
      </c>
      <c r="AN45" s="472"/>
      <c r="AO45" s="472"/>
      <c r="AP45" s="472"/>
      <c r="AQ45" s="153" t="s">
        <v>80</v>
      </c>
      <c r="AR45" s="153"/>
      <c r="AS45" s="155"/>
      <c r="AT45" s="79"/>
      <c r="AU45" s="61"/>
      <c r="AV45" s="400"/>
      <c r="AW45" s="400"/>
      <c r="AX45" s="400"/>
      <c r="AY45" s="400"/>
      <c r="AZ45" s="400"/>
      <c r="BA45" s="152"/>
      <c r="BC45" s="471"/>
      <c r="BD45" s="471"/>
      <c r="BE45" s="471"/>
      <c r="BF45" s="471"/>
      <c r="BG45" s="471"/>
      <c r="BH45" s="124"/>
      <c r="BI45" s="41"/>
    </row>
    <row r="46" spans="1:92" ht="7.4" customHeight="1" x14ac:dyDescent="0.5">
      <c r="A46" s="42"/>
      <c r="B46" s="64"/>
      <c r="C46" s="65"/>
      <c r="D46" s="65"/>
      <c r="E46" s="65"/>
      <c r="F46" s="65"/>
      <c r="G46" s="65"/>
      <c r="H46" s="66"/>
      <c r="I46" s="50"/>
      <c r="J46" s="51"/>
      <c r="K46" s="51"/>
      <c r="L46" s="51"/>
      <c r="M46" s="51"/>
      <c r="N46" s="51"/>
      <c r="O46" s="51"/>
      <c r="P46" s="64"/>
      <c r="Q46" s="65"/>
      <c r="R46" s="65"/>
      <c r="S46" s="96"/>
      <c r="T46" s="96"/>
      <c r="U46" s="156"/>
      <c r="V46" s="51"/>
      <c r="W46" s="97"/>
      <c r="X46" s="97"/>
      <c r="Y46" s="97"/>
      <c r="Z46" s="97"/>
      <c r="AA46" s="51"/>
      <c r="AB46" s="51"/>
      <c r="AC46" s="97"/>
      <c r="AD46" s="97"/>
      <c r="AE46" s="97"/>
      <c r="AF46" s="97"/>
      <c r="AG46" s="97"/>
      <c r="AH46" s="51"/>
      <c r="AI46" s="135"/>
      <c r="AJ46" s="135"/>
      <c r="AK46" s="135"/>
      <c r="AL46" s="135"/>
      <c r="AM46" s="135"/>
      <c r="AN46" s="135"/>
      <c r="AO46" s="135"/>
      <c r="AP46" s="135"/>
      <c r="AQ46" s="51"/>
      <c r="AR46" s="51"/>
      <c r="AS46" s="135"/>
      <c r="AT46" s="135"/>
      <c r="AU46" s="64"/>
      <c r="AV46" s="65"/>
      <c r="AW46" s="65"/>
      <c r="AX46" s="96"/>
      <c r="AY46" s="96"/>
      <c r="AZ46" s="96"/>
      <c r="BA46" s="157"/>
      <c r="BB46" s="51"/>
      <c r="BC46" s="51"/>
      <c r="BD46" s="51"/>
      <c r="BE46" s="135"/>
      <c r="BF46" s="135"/>
      <c r="BG46" s="135"/>
      <c r="BH46" s="158"/>
      <c r="BI46" s="41"/>
    </row>
    <row r="47" spans="1:92" ht="7.4" customHeight="1" x14ac:dyDescent="0.5">
      <c r="A47" s="42"/>
      <c r="X47" s="25"/>
      <c r="Y47" s="25"/>
      <c r="Z47" s="25"/>
      <c r="AA47" s="25"/>
      <c r="AB47" s="25"/>
      <c r="AC47" s="25"/>
      <c r="AD47" s="25"/>
      <c r="AE47" s="25"/>
      <c r="AF47" s="25"/>
      <c r="AG47" s="25"/>
      <c r="AI47" s="79"/>
      <c r="AJ47" s="79"/>
      <c r="AK47" s="79"/>
      <c r="AL47" s="79"/>
      <c r="AM47" s="79"/>
      <c r="AN47" s="79"/>
      <c r="AO47" s="79"/>
      <c r="AP47" s="79"/>
      <c r="AS47" s="79"/>
      <c r="AT47" s="79"/>
      <c r="AU47" s="79"/>
      <c r="AV47" s="79"/>
      <c r="AW47" s="79"/>
      <c r="AX47" s="79"/>
      <c r="AY47" s="79"/>
      <c r="AZ47" s="79"/>
      <c r="BA47" s="79"/>
      <c r="BB47" s="79"/>
      <c r="BC47" s="79"/>
      <c r="BD47" s="79"/>
      <c r="BE47" s="79"/>
      <c r="BF47" s="79"/>
      <c r="BG47" s="79"/>
      <c r="BH47" s="79"/>
      <c r="BI47" s="41"/>
    </row>
    <row r="48" spans="1:92" ht="7.4" customHeight="1" x14ac:dyDescent="0.5">
      <c r="A48" s="42"/>
      <c r="B48" s="243"/>
      <c r="C48" s="363" t="s">
        <v>81</v>
      </c>
      <c r="D48" s="363"/>
      <c r="E48" s="363"/>
      <c r="F48" s="363"/>
      <c r="G48" s="363"/>
      <c r="H48" s="363"/>
      <c r="I48" s="363"/>
      <c r="J48" s="363"/>
      <c r="K48" s="363"/>
      <c r="L48" s="363"/>
      <c r="M48" s="363"/>
      <c r="N48" s="363"/>
      <c r="O48" s="363"/>
      <c r="P48" s="363"/>
      <c r="Q48" s="363"/>
      <c r="R48" s="363"/>
      <c r="S48" s="363"/>
      <c r="T48" s="363"/>
      <c r="U48" s="363"/>
      <c r="V48" s="363"/>
      <c r="W48" s="363"/>
      <c r="X48" s="363"/>
      <c r="Y48" s="363"/>
      <c r="Z48" s="363"/>
      <c r="AA48" s="363"/>
      <c r="AB48" s="363"/>
      <c r="AC48" s="363"/>
      <c r="AD48" s="363"/>
      <c r="AE48" s="363"/>
      <c r="AF48" s="363"/>
      <c r="AG48" s="363"/>
      <c r="AH48" s="363"/>
      <c r="AI48" s="363"/>
      <c r="AJ48" s="363"/>
      <c r="AK48" s="363"/>
      <c r="AL48" s="363"/>
      <c r="AM48" s="363"/>
      <c r="AN48" s="363"/>
      <c r="AO48" s="363"/>
      <c r="AP48" s="363"/>
      <c r="AQ48" s="363"/>
      <c r="AR48" s="363"/>
      <c r="AS48" s="363"/>
      <c r="AT48" s="363"/>
      <c r="AU48" s="363"/>
      <c r="AV48" s="363"/>
      <c r="AW48" s="363"/>
      <c r="AX48" s="363"/>
      <c r="AY48" s="363"/>
      <c r="AZ48" s="363"/>
      <c r="BA48" s="363"/>
      <c r="BB48" s="363"/>
      <c r="BC48" s="363"/>
      <c r="BD48" s="363"/>
      <c r="BE48" s="363"/>
      <c r="BF48" s="363"/>
      <c r="BG48" s="363"/>
      <c r="BH48" s="242"/>
      <c r="BI48" s="41"/>
    </row>
    <row r="49" spans="1:61" ht="7.4" customHeight="1" x14ac:dyDescent="0.5">
      <c r="A49" s="42"/>
      <c r="B49" s="241"/>
      <c r="C49" s="366"/>
      <c r="D49" s="366"/>
      <c r="E49" s="366"/>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240"/>
      <c r="BI49" s="41"/>
    </row>
    <row r="50" spans="1:61" ht="7.4" customHeight="1" x14ac:dyDescent="0.5">
      <c r="A50" s="42"/>
      <c r="B50" s="239"/>
      <c r="C50" s="369"/>
      <c r="D50" s="369"/>
      <c r="E50" s="369"/>
      <c r="F50" s="369"/>
      <c r="G50" s="369"/>
      <c r="H50" s="369"/>
      <c r="I50" s="369"/>
      <c r="J50" s="369"/>
      <c r="K50" s="369"/>
      <c r="L50" s="369"/>
      <c r="M50" s="369"/>
      <c r="N50" s="369"/>
      <c r="O50" s="369"/>
      <c r="P50" s="369"/>
      <c r="Q50" s="369"/>
      <c r="R50" s="369"/>
      <c r="S50" s="369"/>
      <c r="T50" s="369"/>
      <c r="U50" s="369"/>
      <c r="V50" s="369"/>
      <c r="W50" s="369"/>
      <c r="X50" s="369"/>
      <c r="Y50" s="369"/>
      <c r="Z50" s="369"/>
      <c r="AA50" s="369"/>
      <c r="AB50" s="369"/>
      <c r="AC50" s="369"/>
      <c r="AD50" s="369"/>
      <c r="AE50" s="369"/>
      <c r="AF50" s="369"/>
      <c r="AG50" s="369"/>
      <c r="AH50" s="369"/>
      <c r="AI50" s="369"/>
      <c r="AJ50" s="369"/>
      <c r="AK50" s="369"/>
      <c r="AL50" s="369"/>
      <c r="AM50" s="369"/>
      <c r="AN50" s="369"/>
      <c r="AO50" s="369"/>
      <c r="AP50" s="369"/>
      <c r="AQ50" s="369"/>
      <c r="AR50" s="369"/>
      <c r="AS50" s="369"/>
      <c r="AT50" s="369"/>
      <c r="AU50" s="369"/>
      <c r="AV50" s="369"/>
      <c r="AW50" s="369"/>
      <c r="AX50" s="369"/>
      <c r="AY50" s="369"/>
      <c r="AZ50" s="369"/>
      <c r="BA50" s="369"/>
      <c r="BB50" s="369"/>
      <c r="BC50" s="369"/>
      <c r="BD50" s="369"/>
      <c r="BE50" s="369"/>
      <c r="BF50" s="369"/>
      <c r="BG50" s="369"/>
      <c r="BH50" s="238"/>
      <c r="BI50" s="41"/>
    </row>
    <row r="51" spans="1:61" ht="7.4" customHeight="1" x14ac:dyDescent="0.5">
      <c r="A51" s="42"/>
      <c r="B51" s="61"/>
      <c r="C51" s="159"/>
      <c r="D51" s="159"/>
      <c r="E51" s="159"/>
      <c r="F51" s="159"/>
      <c r="G51" s="159"/>
      <c r="H51" s="159"/>
      <c r="I51" s="159"/>
      <c r="J51" s="159"/>
      <c r="K51" s="159"/>
      <c r="L51" s="151"/>
      <c r="M51" s="473">
        <v>1</v>
      </c>
      <c r="N51" s="474"/>
      <c r="O51" s="475"/>
      <c r="P51" s="473">
        <v>2</v>
      </c>
      <c r="Q51" s="474"/>
      <c r="R51" s="475"/>
      <c r="S51" s="473">
        <v>3</v>
      </c>
      <c r="T51" s="474"/>
      <c r="U51" s="475"/>
      <c r="V51" s="473">
        <v>4</v>
      </c>
      <c r="W51" s="474"/>
      <c r="X51" s="475"/>
      <c r="Y51" s="473">
        <v>5</v>
      </c>
      <c r="Z51" s="474"/>
      <c r="AA51" s="475"/>
      <c r="AB51" s="473">
        <v>6</v>
      </c>
      <c r="AC51" s="474"/>
      <c r="AD51" s="475"/>
      <c r="AE51" s="473">
        <v>7</v>
      </c>
      <c r="AF51" s="474"/>
      <c r="AG51" s="475"/>
      <c r="AH51" s="473">
        <v>8</v>
      </c>
      <c r="AI51" s="474"/>
      <c r="AJ51" s="475"/>
      <c r="AK51" s="473">
        <v>9</v>
      </c>
      <c r="AL51" s="474"/>
      <c r="AM51" s="475"/>
      <c r="AN51" s="473">
        <v>10</v>
      </c>
      <c r="AO51" s="474"/>
      <c r="AP51" s="475"/>
      <c r="AQ51" s="473">
        <v>11</v>
      </c>
      <c r="AR51" s="474"/>
      <c r="AS51" s="475"/>
      <c r="AT51" s="473">
        <v>12</v>
      </c>
      <c r="AU51" s="474"/>
      <c r="AV51" s="475"/>
      <c r="AW51" s="473">
        <v>13</v>
      </c>
      <c r="AX51" s="474"/>
      <c r="AY51" s="475"/>
      <c r="AZ51" s="473">
        <v>14</v>
      </c>
      <c r="BA51" s="474"/>
      <c r="BB51" s="475"/>
      <c r="BC51" s="473">
        <v>15</v>
      </c>
      <c r="BD51" s="474"/>
      <c r="BE51" s="475"/>
      <c r="BF51" s="473">
        <v>16</v>
      </c>
      <c r="BG51" s="474"/>
      <c r="BH51" s="475"/>
      <c r="BI51" s="41"/>
    </row>
    <row r="52" spans="1:61" ht="7.4" customHeight="1" x14ac:dyDescent="0.5">
      <c r="A52" s="42"/>
      <c r="B52" s="61"/>
      <c r="C52" s="159"/>
      <c r="D52" s="159"/>
      <c r="E52" s="159"/>
      <c r="F52" s="159"/>
      <c r="G52" s="159"/>
      <c r="H52" s="159"/>
      <c r="I52" s="159"/>
      <c r="J52" s="159"/>
      <c r="K52" s="159"/>
      <c r="L52" s="151"/>
      <c r="M52" s="473"/>
      <c r="N52" s="474"/>
      <c r="O52" s="475"/>
      <c r="P52" s="473"/>
      <c r="Q52" s="474"/>
      <c r="R52" s="475"/>
      <c r="S52" s="473"/>
      <c r="T52" s="474"/>
      <c r="U52" s="475"/>
      <c r="V52" s="473"/>
      <c r="W52" s="474"/>
      <c r="X52" s="475"/>
      <c r="Y52" s="473"/>
      <c r="Z52" s="474"/>
      <c r="AA52" s="475"/>
      <c r="AB52" s="473"/>
      <c r="AC52" s="474"/>
      <c r="AD52" s="475"/>
      <c r="AE52" s="473"/>
      <c r="AF52" s="474"/>
      <c r="AG52" s="475"/>
      <c r="AH52" s="473"/>
      <c r="AI52" s="474"/>
      <c r="AJ52" s="475"/>
      <c r="AK52" s="473"/>
      <c r="AL52" s="474"/>
      <c r="AM52" s="475"/>
      <c r="AN52" s="473"/>
      <c r="AO52" s="474"/>
      <c r="AP52" s="475"/>
      <c r="AQ52" s="473"/>
      <c r="AR52" s="474"/>
      <c r="AS52" s="475"/>
      <c r="AT52" s="473"/>
      <c r="AU52" s="474"/>
      <c r="AV52" s="475"/>
      <c r="AW52" s="473"/>
      <c r="AX52" s="474"/>
      <c r="AY52" s="475"/>
      <c r="AZ52" s="473"/>
      <c r="BA52" s="474"/>
      <c r="BB52" s="475"/>
      <c r="BC52" s="473"/>
      <c r="BD52" s="474"/>
      <c r="BE52" s="475"/>
      <c r="BF52" s="473"/>
      <c r="BG52" s="474"/>
      <c r="BH52" s="475"/>
      <c r="BI52" s="41"/>
    </row>
    <row r="53" spans="1:61" ht="7.4" customHeight="1" x14ac:dyDescent="0.5">
      <c r="A53" s="42"/>
      <c r="B53" s="61"/>
      <c r="C53" s="159"/>
      <c r="D53" s="159"/>
      <c r="E53" s="159"/>
      <c r="F53" s="159"/>
      <c r="G53" s="62"/>
      <c r="H53" s="160"/>
      <c r="I53" s="160"/>
      <c r="J53" s="160"/>
      <c r="K53" s="160"/>
      <c r="L53" s="152"/>
      <c r="M53" s="81"/>
      <c r="N53" s="77"/>
      <c r="O53" s="40"/>
      <c r="P53" s="81"/>
      <c r="Q53" s="77"/>
      <c r="R53" s="40"/>
      <c r="S53" s="81"/>
      <c r="T53" s="77"/>
      <c r="U53" s="40"/>
      <c r="V53" s="81"/>
      <c r="W53" s="77"/>
      <c r="X53" s="40"/>
      <c r="Y53" s="81"/>
      <c r="Z53" s="77"/>
      <c r="AA53" s="40"/>
      <c r="AB53" s="81"/>
      <c r="AC53" s="77"/>
      <c r="AD53" s="40"/>
      <c r="AE53" s="81"/>
      <c r="AF53" s="77"/>
      <c r="AG53" s="40"/>
      <c r="AH53" s="81"/>
      <c r="AI53" s="77"/>
      <c r="AJ53" s="40"/>
      <c r="AK53" s="81"/>
      <c r="AL53" s="77"/>
      <c r="AM53" s="40"/>
      <c r="AN53" s="81"/>
      <c r="AO53" s="77"/>
      <c r="AP53" s="40"/>
      <c r="AQ53" s="81"/>
      <c r="AR53" s="77"/>
      <c r="AS53" s="40"/>
      <c r="AT53" s="81"/>
      <c r="AU53" s="77"/>
      <c r="AV53" s="40"/>
      <c r="AW53" s="81"/>
      <c r="AX53" s="77"/>
      <c r="AY53" s="40"/>
      <c r="AZ53" s="81"/>
      <c r="BA53" s="77"/>
      <c r="BB53" s="40"/>
      <c r="BC53" s="81"/>
      <c r="BD53" s="77"/>
      <c r="BE53" s="40"/>
      <c r="BF53" s="81"/>
      <c r="BG53" s="77"/>
      <c r="BH53" s="40"/>
      <c r="BI53" s="41"/>
    </row>
    <row r="54" spans="1:61" ht="7.4" customHeight="1" x14ac:dyDescent="0.5">
      <c r="A54" s="42"/>
      <c r="B54" s="61"/>
      <c r="C54" s="469" t="str">
        <f>IF($AO$28="Landscape","Columns","Rows")</f>
        <v>Columns</v>
      </c>
      <c r="D54" s="469"/>
      <c r="E54" s="469"/>
      <c r="F54" s="469"/>
      <c r="G54" s="469"/>
      <c r="H54" s="469"/>
      <c r="I54" s="469"/>
      <c r="J54" s="469"/>
      <c r="K54" s="469"/>
      <c r="L54" s="470"/>
      <c r="M54" s="349">
        <v>10</v>
      </c>
      <c r="N54" s="318"/>
      <c r="O54" s="350"/>
      <c r="P54" s="349">
        <v>0</v>
      </c>
      <c r="Q54" s="318"/>
      <c r="R54" s="350"/>
      <c r="S54" s="349">
        <v>0</v>
      </c>
      <c r="T54" s="318"/>
      <c r="U54" s="350"/>
      <c r="V54" s="349">
        <v>0</v>
      </c>
      <c r="W54" s="318"/>
      <c r="X54" s="350"/>
      <c r="Y54" s="349">
        <v>0</v>
      </c>
      <c r="Z54" s="318"/>
      <c r="AA54" s="350"/>
      <c r="AB54" s="349">
        <v>0</v>
      </c>
      <c r="AC54" s="318"/>
      <c r="AD54" s="350"/>
      <c r="AE54" s="349">
        <v>0</v>
      </c>
      <c r="AF54" s="318"/>
      <c r="AG54" s="350"/>
      <c r="AH54" s="349">
        <v>0</v>
      </c>
      <c r="AI54" s="318"/>
      <c r="AJ54" s="350"/>
      <c r="AK54" s="349">
        <v>0</v>
      </c>
      <c r="AL54" s="318"/>
      <c r="AM54" s="350"/>
      <c r="AN54" s="349">
        <v>0</v>
      </c>
      <c r="AO54" s="318"/>
      <c r="AP54" s="350"/>
      <c r="AQ54" s="349">
        <v>0</v>
      </c>
      <c r="AR54" s="318"/>
      <c r="AS54" s="350"/>
      <c r="AT54" s="349">
        <v>0</v>
      </c>
      <c r="AU54" s="318"/>
      <c r="AV54" s="350"/>
      <c r="AW54" s="349">
        <v>0</v>
      </c>
      <c r="AX54" s="318"/>
      <c r="AY54" s="350"/>
      <c r="AZ54" s="349">
        <v>0</v>
      </c>
      <c r="BA54" s="318"/>
      <c r="BB54" s="350"/>
      <c r="BC54" s="349">
        <v>0</v>
      </c>
      <c r="BD54" s="318"/>
      <c r="BE54" s="350"/>
      <c r="BF54" s="349">
        <v>0</v>
      </c>
      <c r="BG54" s="318"/>
      <c r="BH54" s="350"/>
      <c r="BI54" s="41"/>
    </row>
    <row r="55" spans="1:61" ht="7.4" customHeight="1" x14ac:dyDescent="0.5">
      <c r="A55" s="42"/>
      <c r="B55" s="61"/>
      <c r="C55" s="469"/>
      <c r="D55" s="469"/>
      <c r="E55" s="469"/>
      <c r="F55" s="469"/>
      <c r="G55" s="469"/>
      <c r="H55" s="469"/>
      <c r="I55" s="469"/>
      <c r="J55" s="469"/>
      <c r="K55" s="469"/>
      <c r="L55" s="470"/>
      <c r="M55" s="349"/>
      <c r="N55" s="318"/>
      <c r="O55" s="350"/>
      <c r="P55" s="349"/>
      <c r="Q55" s="318"/>
      <c r="R55" s="350"/>
      <c r="S55" s="349"/>
      <c r="T55" s="318"/>
      <c r="U55" s="350"/>
      <c r="V55" s="349"/>
      <c r="W55" s="318"/>
      <c r="X55" s="350"/>
      <c r="Y55" s="349"/>
      <c r="Z55" s="318"/>
      <c r="AA55" s="350"/>
      <c r="AB55" s="349"/>
      <c r="AC55" s="318"/>
      <c r="AD55" s="350"/>
      <c r="AE55" s="349"/>
      <c r="AF55" s="318"/>
      <c r="AG55" s="350"/>
      <c r="AH55" s="349"/>
      <c r="AI55" s="318"/>
      <c r="AJ55" s="350"/>
      <c r="AK55" s="349"/>
      <c r="AL55" s="318"/>
      <c r="AM55" s="350"/>
      <c r="AN55" s="349"/>
      <c r="AO55" s="318"/>
      <c r="AP55" s="350"/>
      <c r="AQ55" s="349"/>
      <c r="AR55" s="318"/>
      <c r="AS55" s="350"/>
      <c r="AT55" s="349"/>
      <c r="AU55" s="318"/>
      <c r="AV55" s="350"/>
      <c r="AW55" s="349"/>
      <c r="AX55" s="318"/>
      <c r="AY55" s="350"/>
      <c r="AZ55" s="349"/>
      <c r="BA55" s="318"/>
      <c r="BB55" s="350"/>
      <c r="BC55" s="349"/>
      <c r="BD55" s="318"/>
      <c r="BE55" s="350"/>
      <c r="BF55" s="349"/>
      <c r="BG55" s="318"/>
      <c r="BH55" s="350"/>
      <c r="BI55" s="41"/>
    </row>
    <row r="56" spans="1:61" ht="7.4" customHeight="1" x14ac:dyDescent="0.5">
      <c r="A56" s="42"/>
      <c r="B56" s="61"/>
      <c r="C56" s="159"/>
      <c r="D56" s="159"/>
      <c r="E56" s="159"/>
      <c r="F56" s="159"/>
      <c r="G56" s="62"/>
      <c r="H56" s="160"/>
      <c r="I56" s="160"/>
      <c r="J56" s="160"/>
      <c r="K56" s="160"/>
      <c r="L56" s="152"/>
      <c r="M56" s="220"/>
      <c r="N56" s="134"/>
      <c r="O56" s="85"/>
      <c r="P56" s="220"/>
      <c r="Q56" s="134"/>
      <c r="R56" s="85"/>
      <c r="S56" s="220"/>
      <c r="T56" s="134"/>
      <c r="U56" s="85"/>
      <c r="V56" s="220"/>
      <c r="W56" s="134"/>
      <c r="X56" s="85"/>
      <c r="Y56" s="220"/>
      <c r="Z56" s="134"/>
      <c r="AA56" s="85"/>
      <c r="AB56" s="220"/>
      <c r="AC56" s="134"/>
      <c r="AD56" s="85"/>
      <c r="AE56" s="220"/>
      <c r="AF56" s="134"/>
      <c r="AG56" s="85"/>
      <c r="AH56" s="220"/>
      <c r="AI56" s="134"/>
      <c r="AJ56" s="85"/>
      <c r="AK56" s="220"/>
      <c r="AL56" s="134"/>
      <c r="AM56" s="85"/>
      <c r="AN56" s="220"/>
      <c r="AO56" s="134"/>
      <c r="AP56" s="85"/>
      <c r="AQ56" s="220"/>
      <c r="AR56" s="134"/>
      <c r="AS56" s="85"/>
      <c r="AT56" s="220"/>
      <c r="AU56" s="134"/>
      <c r="AV56" s="85"/>
      <c r="AW56" s="220"/>
      <c r="AX56" s="134"/>
      <c r="AY56" s="85"/>
      <c r="AZ56" s="220"/>
      <c r="BA56" s="134"/>
      <c r="BB56" s="85"/>
      <c r="BC56" s="220"/>
      <c r="BD56" s="134"/>
      <c r="BE56" s="85"/>
      <c r="BF56" s="220"/>
      <c r="BG56" s="134"/>
      <c r="BH56" s="85"/>
      <c r="BI56" s="41"/>
    </row>
    <row r="57" spans="1:61" ht="7.4" customHeight="1" x14ac:dyDescent="0.5">
      <c r="A57" s="42"/>
      <c r="B57" s="61"/>
      <c r="C57" s="159"/>
      <c r="D57" s="159"/>
      <c r="E57" s="159"/>
      <c r="F57" s="159"/>
      <c r="G57" s="62"/>
      <c r="H57" s="160"/>
      <c r="I57" s="160"/>
      <c r="J57" s="160"/>
      <c r="K57" s="160"/>
      <c r="L57" s="152"/>
      <c r="M57" s="260"/>
      <c r="N57" s="212"/>
      <c r="O57" s="76"/>
      <c r="P57" s="260"/>
      <c r="Q57" s="212"/>
      <c r="R57" s="76"/>
      <c r="S57" s="260"/>
      <c r="T57" s="212"/>
      <c r="U57" s="76"/>
      <c r="V57" s="260"/>
      <c r="W57" s="212"/>
      <c r="X57" s="76"/>
      <c r="Y57" s="260"/>
      <c r="Z57" s="212"/>
      <c r="AA57" s="76"/>
      <c r="AB57" s="260"/>
      <c r="AC57" s="212"/>
      <c r="AD57" s="76"/>
      <c r="AE57" s="260"/>
      <c r="AF57" s="212"/>
      <c r="AG57" s="76"/>
      <c r="AH57" s="260"/>
      <c r="AI57" s="212"/>
      <c r="AJ57" s="76"/>
      <c r="AK57" s="260"/>
      <c r="AL57" s="212"/>
      <c r="AM57" s="76"/>
      <c r="AN57" s="260"/>
      <c r="AO57" s="212"/>
      <c r="AP57" s="76"/>
      <c r="AQ57" s="260"/>
      <c r="AR57" s="212"/>
      <c r="AS57" s="76"/>
      <c r="AT57" s="260"/>
      <c r="AU57" s="212"/>
      <c r="AV57" s="76"/>
      <c r="AW57" s="260"/>
      <c r="AX57" s="212"/>
      <c r="AY57" s="76"/>
      <c r="AZ57" s="260"/>
      <c r="BA57" s="212"/>
      <c r="BB57" s="76"/>
      <c r="BC57" s="260"/>
      <c r="BD57" s="212"/>
      <c r="BE57" s="76"/>
      <c r="BF57" s="260"/>
      <c r="BG57" s="212"/>
      <c r="BH57" s="76"/>
      <c r="BI57" s="41"/>
    </row>
    <row r="58" spans="1:61" ht="7.4" customHeight="1" x14ac:dyDescent="0.5">
      <c r="A58" s="42"/>
      <c r="B58" s="61"/>
      <c r="C58" s="469" t="str">
        <f>IF($AO$28="Landscape","Modules/Column","Modules/Row")</f>
        <v>Modules/Column</v>
      </c>
      <c r="D58" s="469"/>
      <c r="E58" s="469"/>
      <c r="F58" s="469"/>
      <c r="G58" s="469"/>
      <c r="H58" s="469"/>
      <c r="I58" s="469"/>
      <c r="J58" s="469"/>
      <c r="K58" s="469"/>
      <c r="L58" s="470"/>
      <c r="M58" s="349">
        <v>10</v>
      </c>
      <c r="N58" s="318"/>
      <c r="O58" s="350"/>
      <c r="P58" s="349">
        <v>0</v>
      </c>
      <c r="Q58" s="318"/>
      <c r="R58" s="350"/>
      <c r="S58" s="349">
        <v>0</v>
      </c>
      <c r="T58" s="318"/>
      <c r="U58" s="350"/>
      <c r="V58" s="349">
        <v>0</v>
      </c>
      <c r="W58" s="318"/>
      <c r="X58" s="350"/>
      <c r="Y58" s="349">
        <v>0</v>
      </c>
      <c r="Z58" s="318"/>
      <c r="AA58" s="350"/>
      <c r="AB58" s="349">
        <v>0</v>
      </c>
      <c r="AC58" s="318"/>
      <c r="AD58" s="350"/>
      <c r="AE58" s="349">
        <v>0</v>
      </c>
      <c r="AF58" s="318"/>
      <c r="AG58" s="350"/>
      <c r="AH58" s="349">
        <v>0</v>
      </c>
      <c r="AI58" s="318"/>
      <c r="AJ58" s="350"/>
      <c r="AK58" s="349">
        <v>0</v>
      </c>
      <c r="AL58" s="318"/>
      <c r="AM58" s="350"/>
      <c r="AN58" s="349">
        <v>0</v>
      </c>
      <c r="AO58" s="318"/>
      <c r="AP58" s="350"/>
      <c r="AQ58" s="349">
        <v>0</v>
      </c>
      <c r="AR58" s="318"/>
      <c r="AS58" s="350"/>
      <c r="AT58" s="349">
        <v>0</v>
      </c>
      <c r="AU58" s="318"/>
      <c r="AV58" s="350"/>
      <c r="AW58" s="349">
        <v>0</v>
      </c>
      <c r="AX58" s="318"/>
      <c r="AY58" s="350"/>
      <c r="AZ58" s="349">
        <v>0</v>
      </c>
      <c r="BA58" s="318"/>
      <c r="BB58" s="350"/>
      <c r="BC58" s="349">
        <v>0</v>
      </c>
      <c r="BD58" s="318"/>
      <c r="BE58" s="350"/>
      <c r="BF58" s="349">
        <v>0</v>
      </c>
      <c r="BG58" s="318"/>
      <c r="BH58" s="350"/>
      <c r="BI58" s="41"/>
    </row>
    <row r="59" spans="1:61" ht="7.4" customHeight="1" x14ac:dyDescent="0.5">
      <c r="A59" s="42"/>
      <c r="B59" s="61"/>
      <c r="C59" s="469"/>
      <c r="D59" s="469"/>
      <c r="E59" s="469"/>
      <c r="F59" s="469"/>
      <c r="G59" s="469"/>
      <c r="H59" s="469"/>
      <c r="I59" s="469"/>
      <c r="J59" s="469"/>
      <c r="K59" s="469"/>
      <c r="L59" s="470"/>
      <c r="M59" s="349"/>
      <c r="N59" s="318"/>
      <c r="O59" s="350"/>
      <c r="P59" s="349"/>
      <c r="Q59" s="318"/>
      <c r="R59" s="350"/>
      <c r="S59" s="349"/>
      <c r="T59" s="318"/>
      <c r="U59" s="350"/>
      <c r="V59" s="349"/>
      <c r="W59" s="318"/>
      <c r="X59" s="350"/>
      <c r="Y59" s="349"/>
      <c r="Z59" s="318"/>
      <c r="AA59" s="350"/>
      <c r="AB59" s="349"/>
      <c r="AC59" s="318"/>
      <c r="AD59" s="350"/>
      <c r="AE59" s="349"/>
      <c r="AF59" s="318"/>
      <c r="AG59" s="350"/>
      <c r="AH59" s="349"/>
      <c r="AI59" s="318"/>
      <c r="AJ59" s="350"/>
      <c r="AK59" s="349"/>
      <c r="AL59" s="318"/>
      <c r="AM59" s="350"/>
      <c r="AN59" s="349"/>
      <c r="AO59" s="318"/>
      <c r="AP59" s="350"/>
      <c r="AQ59" s="349"/>
      <c r="AR59" s="318"/>
      <c r="AS59" s="350"/>
      <c r="AT59" s="349"/>
      <c r="AU59" s="318"/>
      <c r="AV59" s="350"/>
      <c r="AW59" s="349"/>
      <c r="AX59" s="318"/>
      <c r="AY59" s="350"/>
      <c r="AZ59" s="349"/>
      <c r="BA59" s="318"/>
      <c r="BB59" s="350"/>
      <c r="BC59" s="349"/>
      <c r="BD59" s="318"/>
      <c r="BE59" s="350"/>
      <c r="BF59" s="349"/>
      <c r="BG59" s="318"/>
      <c r="BH59" s="350"/>
      <c r="BI59" s="41"/>
    </row>
    <row r="60" spans="1:61" ht="7.4" customHeight="1" x14ac:dyDescent="0.5">
      <c r="A60" s="42"/>
      <c r="B60" s="64"/>
      <c r="C60" s="96"/>
      <c r="D60" s="96"/>
      <c r="E60" s="96"/>
      <c r="F60" s="96"/>
      <c r="G60" s="65"/>
      <c r="H60" s="173"/>
      <c r="I60" s="173"/>
      <c r="J60" s="173"/>
      <c r="K60" s="173"/>
      <c r="L60" s="157"/>
      <c r="M60" s="174"/>
      <c r="N60" s="135"/>
      <c r="O60" s="52"/>
      <c r="P60" s="174"/>
      <c r="Q60" s="135"/>
      <c r="R60" s="52"/>
      <c r="S60" s="174"/>
      <c r="T60" s="135"/>
      <c r="U60" s="52"/>
      <c r="V60" s="174"/>
      <c r="W60" s="135"/>
      <c r="X60" s="52"/>
      <c r="Y60" s="174"/>
      <c r="Z60" s="135"/>
      <c r="AA60" s="52"/>
      <c r="AB60" s="174"/>
      <c r="AC60" s="135"/>
      <c r="AD60" s="52"/>
      <c r="AE60" s="174"/>
      <c r="AF60" s="135"/>
      <c r="AG60" s="52"/>
      <c r="AH60" s="174"/>
      <c r="AI60" s="135"/>
      <c r="AJ60" s="52"/>
      <c r="AK60" s="174"/>
      <c r="AL60" s="135"/>
      <c r="AM60" s="52"/>
      <c r="AN60" s="174"/>
      <c r="AO60" s="135"/>
      <c r="AP60" s="52"/>
      <c r="AQ60" s="174"/>
      <c r="AR60" s="135"/>
      <c r="AS60" s="52"/>
      <c r="AT60" s="174"/>
      <c r="AU60" s="135"/>
      <c r="AV60" s="52"/>
      <c r="AW60" s="174"/>
      <c r="AX60" s="135"/>
      <c r="AY60" s="52"/>
      <c r="AZ60" s="174"/>
      <c r="BA60" s="135"/>
      <c r="BB60" s="52"/>
      <c r="BC60" s="174"/>
      <c r="BD60" s="135"/>
      <c r="BE60" s="52"/>
      <c r="BF60" s="174"/>
      <c r="BG60" s="135"/>
      <c r="BH60" s="52"/>
      <c r="BI60" s="41"/>
    </row>
    <row r="61" spans="1:61" ht="7.4" customHeight="1" x14ac:dyDescent="0.5">
      <c r="A61" s="42"/>
      <c r="R61" s="25"/>
      <c r="S61" s="25"/>
      <c r="T61" s="25"/>
      <c r="U61" s="25"/>
      <c r="V61" s="25"/>
      <c r="W61" s="25"/>
      <c r="X61" s="25"/>
      <c r="Y61" s="25"/>
      <c r="Z61" s="25"/>
      <c r="AS61" s="79"/>
      <c r="AT61" s="79"/>
      <c r="AU61" s="79"/>
      <c r="AV61" s="79"/>
      <c r="AW61" s="79"/>
      <c r="AX61" s="79"/>
      <c r="AY61" s="79"/>
      <c r="AZ61" s="79"/>
      <c r="BA61" s="79"/>
      <c r="BB61" s="79"/>
      <c r="BE61" s="79"/>
      <c r="BF61" s="79"/>
      <c r="BG61" s="79"/>
      <c r="BH61" s="79"/>
      <c r="BI61" s="41"/>
    </row>
    <row r="62" spans="1:61" ht="7.4" customHeight="1" x14ac:dyDescent="0.5">
      <c r="A62" s="42"/>
      <c r="B62" s="299" t="s">
        <v>83</v>
      </c>
      <c r="C62" s="363"/>
      <c r="D62" s="363"/>
      <c r="E62" s="363"/>
      <c r="F62" s="363"/>
      <c r="G62" s="363"/>
      <c r="H62" s="363"/>
      <c r="I62" s="363"/>
      <c r="J62" s="363"/>
      <c r="K62" s="363"/>
      <c r="L62" s="363"/>
      <c r="M62" s="363"/>
      <c r="N62" s="363"/>
      <c r="O62" s="363"/>
      <c r="P62" s="363"/>
      <c r="Q62" s="363"/>
      <c r="R62" s="363"/>
      <c r="S62" s="363"/>
      <c r="T62" s="363"/>
      <c r="U62" s="364"/>
      <c r="AQ62" s="79"/>
      <c r="AR62" s="299" t="s">
        <v>37</v>
      </c>
      <c r="AS62" s="363"/>
      <c r="AT62" s="363"/>
      <c r="AU62" s="363"/>
      <c r="AV62" s="363"/>
      <c r="AW62" s="363"/>
      <c r="AX62" s="363"/>
      <c r="AY62" s="363"/>
      <c r="AZ62" s="363"/>
      <c r="BA62" s="363"/>
      <c r="BB62" s="363"/>
      <c r="BC62" s="363"/>
      <c r="BD62" s="363"/>
      <c r="BE62" s="363"/>
      <c r="BF62" s="363"/>
      <c r="BG62" s="363"/>
      <c r="BH62" s="364"/>
      <c r="BI62" s="41"/>
    </row>
    <row r="63" spans="1:61" ht="7.4" customHeight="1" x14ac:dyDescent="0.5">
      <c r="A63" s="42"/>
      <c r="B63" s="365"/>
      <c r="C63" s="366"/>
      <c r="D63" s="366"/>
      <c r="E63" s="366"/>
      <c r="F63" s="366"/>
      <c r="G63" s="366"/>
      <c r="H63" s="366"/>
      <c r="I63" s="366"/>
      <c r="J63" s="366"/>
      <c r="K63" s="366"/>
      <c r="L63" s="366"/>
      <c r="M63" s="366"/>
      <c r="N63" s="366"/>
      <c r="O63" s="366"/>
      <c r="P63" s="366"/>
      <c r="Q63" s="366"/>
      <c r="R63" s="366"/>
      <c r="S63" s="366"/>
      <c r="T63" s="366"/>
      <c r="U63" s="367"/>
      <c r="AQ63" s="79"/>
      <c r="AR63" s="365"/>
      <c r="AS63" s="366"/>
      <c r="AT63" s="366"/>
      <c r="AU63" s="366"/>
      <c r="AV63" s="366"/>
      <c r="AW63" s="366"/>
      <c r="AX63" s="366"/>
      <c r="AY63" s="366"/>
      <c r="AZ63" s="366"/>
      <c r="BA63" s="366"/>
      <c r="BB63" s="366"/>
      <c r="BC63" s="366"/>
      <c r="BD63" s="366"/>
      <c r="BE63" s="366"/>
      <c r="BF63" s="366"/>
      <c r="BG63" s="366"/>
      <c r="BH63" s="367"/>
      <c r="BI63" s="41"/>
    </row>
    <row r="64" spans="1:61" ht="7.4" customHeight="1" x14ac:dyDescent="0.5">
      <c r="A64" s="42"/>
      <c r="B64" s="368"/>
      <c r="C64" s="369"/>
      <c r="D64" s="369"/>
      <c r="E64" s="369"/>
      <c r="F64" s="369"/>
      <c r="G64" s="369"/>
      <c r="H64" s="369"/>
      <c r="I64" s="369"/>
      <c r="J64" s="369"/>
      <c r="K64" s="369"/>
      <c r="L64" s="369"/>
      <c r="M64" s="369"/>
      <c r="N64" s="369"/>
      <c r="O64" s="369"/>
      <c r="P64" s="369"/>
      <c r="Q64" s="369"/>
      <c r="R64" s="369"/>
      <c r="S64" s="369"/>
      <c r="T64" s="369"/>
      <c r="U64" s="370"/>
      <c r="AQ64" s="79"/>
      <c r="AR64" s="368"/>
      <c r="AS64" s="369"/>
      <c r="AT64" s="369"/>
      <c r="AU64" s="369"/>
      <c r="AV64" s="369"/>
      <c r="AW64" s="369"/>
      <c r="AX64" s="369"/>
      <c r="AY64" s="369"/>
      <c r="AZ64" s="369"/>
      <c r="BA64" s="369"/>
      <c r="BB64" s="369"/>
      <c r="BC64" s="369"/>
      <c r="BD64" s="369"/>
      <c r="BE64" s="369"/>
      <c r="BF64" s="369"/>
      <c r="BG64" s="369"/>
      <c r="BH64" s="370"/>
      <c r="BI64" s="41"/>
    </row>
    <row r="65" spans="1:110" ht="7.4" customHeight="1" x14ac:dyDescent="0.5">
      <c r="A65" s="42"/>
      <c r="B65" s="58"/>
      <c r="C65" s="511" t="s">
        <v>91</v>
      </c>
      <c r="D65" s="511"/>
      <c r="E65" s="511"/>
      <c r="F65" s="511"/>
      <c r="G65" s="511"/>
      <c r="H65" s="511"/>
      <c r="I65" s="511"/>
      <c r="J65" s="511"/>
      <c r="K65" s="511"/>
      <c r="L65" s="511"/>
      <c r="M65" s="512"/>
      <c r="N65" s="38"/>
      <c r="O65" s="39"/>
      <c r="P65" s="39"/>
      <c r="Q65" s="39"/>
      <c r="R65" s="89"/>
      <c r="S65" s="89"/>
      <c r="T65" s="89"/>
      <c r="U65" s="176"/>
      <c r="AQ65" s="79"/>
      <c r="AR65" s="61"/>
      <c r="AS65" s="62"/>
      <c r="AT65" s="62"/>
      <c r="AU65" s="62"/>
      <c r="AV65" s="62"/>
      <c r="AW65" s="62"/>
      <c r="AX65" s="62"/>
      <c r="AY65" s="62"/>
      <c r="AZ65" s="62"/>
      <c r="BA65" s="62"/>
      <c r="BB65" s="62"/>
      <c r="BC65" s="62"/>
      <c r="BD65" s="62"/>
      <c r="BE65" s="38"/>
      <c r="BF65" s="39"/>
      <c r="BG65" s="39"/>
      <c r="BH65" s="40"/>
      <c r="BI65" s="41"/>
    </row>
    <row r="66" spans="1:110" ht="7.4" customHeight="1" x14ac:dyDescent="0.5">
      <c r="A66" s="42"/>
      <c r="B66" s="61"/>
      <c r="C66" s="455"/>
      <c r="D66" s="455"/>
      <c r="E66" s="455"/>
      <c r="F66" s="455"/>
      <c r="G66" s="455"/>
      <c r="H66" s="455"/>
      <c r="I66" s="455"/>
      <c r="J66" s="455"/>
      <c r="K66" s="455"/>
      <c r="L66" s="455"/>
      <c r="M66" s="458"/>
      <c r="N66" s="452" t="s">
        <v>42</v>
      </c>
      <c r="O66" s="453"/>
      <c r="P66" s="453"/>
      <c r="Q66" s="453"/>
      <c r="R66" s="453"/>
      <c r="S66" s="453"/>
      <c r="T66" s="453"/>
      <c r="U66" s="454"/>
      <c r="AQ66" s="79"/>
      <c r="AR66" s="61"/>
      <c r="AS66" s="400" t="s">
        <v>187</v>
      </c>
      <c r="AT66" s="400"/>
      <c r="AU66" s="400"/>
      <c r="AV66" s="400"/>
      <c r="AW66" s="400"/>
      <c r="AX66" s="400"/>
      <c r="AY66" s="400"/>
      <c r="AZ66" s="400"/>
      <c r="BA66" s="400"/>
      <c r="BB66" s="400"/>
      <c r="BC66" s="400"/>
      <c r="BD66" s="400"/>
      <c r="BE66" s="42"/>
      <c r="BF66" s="531">
        <v>0.02</v>
      </c>
      <c r="BG66" s="531"/>
      <c r="BH66" s="532"/>
      <c r="BI66" s="41"/>
    </row>
    <row r="67" spans="1:110" ht="7.4" customHeight="1" x14ac:dyDescent="0.5">
      <c r="A67" s="42"/>
      <c r="B67" s="61"/>
      <c r="C67" s="455"/>
      <c r="D67" s="455"/>
      <c r="E67" s="455"/>
      <c r="F67" s="455"/>
      <c r="G67" s="455"/>
      <c r="H67" s="455"/>
      <c r="I67" s="455"/>
      <c r="J67" s="455"/>
      <c r="K67" s="455"/>
      <c r="L67" s="455"/>
      <c r="M67" s="458"/>
      <c r="N67" s="452"/>
      <c r="O67" s="453"/>
      <c r="P67" s="453"/>
      <c r="Q67" s="453"/>
      <c r="R67" s="453"/>
      <c r="S67" s="453"/>
      <c r="T67" s="453"/>
      <c r="U67" s="454"/>
      <c r="AQ67" s="79"/>
      <c r="AR67" s="61"/>
      <c r="AS67" s="400"/>
      <c r="AT67" s="400"/>
      <c r="AU67" s="400"/>
      <c r="AV67" s="400"/>
      <c r="AW67" s="400"/>
      <c r="AX67" s="400"/>
      <c r="AY67" s="400"/>
      <c r="AZ67" s="400"/>
      <c r="BA67" s="400"/>
      <c r="BB67" s="400"/>
      <c r="BC67" s="400"/>
      <c r="BD67" s="400"/>
      <c r="BE67" s="42"/>
      <c r="BF67" s="531"/>
      <c r="BG67" s="531"/>
      <c r="BH67" s="532"/>
      <c r="BI67" s="41"/>
    </row>
    <row r="68" spans="1:110" ht="7.4" customHeight="1" x14ac:dyDescent="0.5">
      <c r="A68" s="42"/>
      <c r="B68" s="61"/>
      <c r="C68" s="62"/>
      <c r="D68" s="62"/>
      <c r="E68" s="62"/>
      <c r="F68" s="62"/>
      <c r="G68" s="62"/>
      <c r="H68" s="62"/>
      <c r="I68" s="62"/>
      <c r="J68" s="62"/>
      <c r="K68" s="62"/>
      <c r="L68" s="62"/>
      <c r="M68" s="63"/>
      <c r="N68" s="50"/>
      <c r="O68" s="51"/>
      <c r="P68" s="51"/>
      <c r="Q68" s="51"/>
      <c r="R68" s="51"/>
      <c r="S68" s="51"/>
      <c r="T68" s="51"/>
      <c r="U68" s="52"/>
      <c r="AQ68" s="79"/>
      <c r="AR68" s="61"/>
      <c r="AS68" s="400" t="s">
        <v>141</v>
      </c>
      <c r="AT68" s="400"/>
      <c r="AU68" s="400"/>
      <c r="AV68" s="400"/>
      <c r="AW68" s="400"/>
      <c r="AX68" s="400"/>
      <c r="AY68" s="400"/>
      <c r="AZ68" s="400"/>
      <c r="BA68" s="400"/>
      <c r="BB68" s="400"/>
      <c r="BC68" s="400"/>
      <c r="BD68" s="400"/>
      <c r="BE68" s="42"/>
      <c r="BF68" s="531"/>
      <c r="BG68" s="531"/>
      <c r="BH68" s="532"/>
      <c r="BI68" s="41"/>
      <c r="BK68" s="539"/>
      <c r="BL68" s="539"/>
      <c r="BM68" s="539"/>
    </row>
    <row r="69" spans="1:110" ht="7.4" customHeight="1" x14ac:dyDescent="0.5">
      <c r="A69" s="42"/>
      <c r="B69" s="61"/>
      <c r="C69" s="455" t="s">
        <v>94</v>
      </c>
      <c r="D69" s="455"/>
      <c r="E69" s="455"/>
      <c r="F69" s="455"/>
      <c r="G69" s="455"/>
      <c r="H69" s="455"/>
      <c r="I69" s="455"/>
      <c r="J69" s="455"/>
      <c r="K69" s="455"/>
      <c r="L69" s="455"/>
      <c r="M69" s="458"/>
      <c r="N69" s="38"/>
      <c r="O69" s="39"/>
      <c r="P69" s="39"/>
      <c r="Q69" s="39"/>
      <c r="R69" s="89"/>
      <c r="S69" s="89"/>
      <c r="T69" s="89"/>
      <c r="U69" s="176"/>
      <c r="AQ69" s="79"/>
      <c r="AR69" s="61"/>
      <c r="AS69" s="400"/>
      <c r="AT69" s="400"/>
      <c r="AU69" s="400"/>
      <c r="AV69" s="400"/>
      <c r="AW69" s="400"/>
      <c r="AX69" s="400"/>
      <c r="AY69" s="400"/>
      <c r="AZ69" s="400"/>
      <c r="BA69" s="400"/>
      <c r="BB69" s="400"/>
      <c r="BC69" s="400"/>
      <c r="BD69" s="400"/>
      <c r="BE69" s="42"/>
      <c r="BF69" s="531"/>
      <c r="BG69" s="531"/>
      <c r="BH69" s="532"/>
      <c r="BI69" s="41"/>
      <c r="BK69" s="539"/>
      <c r="BL69" s="539"/>
      <c r="BM69" s="539"/>
    </row>
    <row r="70" spans="1:110" ht="7.4" customHeight="1" x14ac:dyDescent="0.5">
      <c r="A70" s="42"/>
      <c r="B70" s="61"/>
      <c r="C70" s="455"/>
      <c r="D70" s="455"/>
      <c r="E70" s="455"/>
      <c r="F70" s="455"/>
      <c r="G70" s="455"/>
      <c r="H70" s="455"/>
      <c r="I70" s="455"/>
      <c r="J70" s="455"/>
      <c r="K70" s="455"/>
      <c r="L70" s="455"/>
      <c r="M70" s="458"/>
      <c r="N70" s="452" t="s">
        <v>143</v>
      </c>
      <c r="O70" s="453"/>
      <c r="P70" s="453"/>
      <c r="Q70" s="453"/>
      <c r="R70" s="453"/>
      <c r="S70" s="453"/>
      <c r="T70" s="453"/>
      <c r="U70" s="454"/>
      <c r="AQ70" s="79"/>
      <c r="AR70" s="61"/>
      <c r="AS70" s="62"/>
      <c r="AT70" s="62"/>
      <c r="AU70" s="62"/>
      <c r="AV70" s="62"/>
      <c r="AW70" s="62"/>
      <c r="AX70" s="62"/>
      <c r="AY70" s="62"/>
      <c r="AZ70" s="62"/>
      <c r="BA70" s="62"/>
      <c r="BB70" s="62"/>
      <c r="BC70" s="62"/>
      <c r="BD70" s="62"/>
      <c r="BE70" s="50"/>
      <c r="BF70" s="235"/>
      <c r="BG70" s="235"/>
      <c r="BH70" s="163"/>
      <c r="BI70" s="41"/>
    </row>
    <row r="71" spans="1:110" ht="7.4" customHeight="1" x14ac:dyDescent="0.5">
      <c r="A71" s="42"/>
      <c r="B71" s="61"/>
      <c r="C71" s="455"/>
      <c r="D71" s="455"/>
      <c r="E71" s="455"/>
      <c r="F71" s="455"/>
      <c r="G71" s="455"/>
      <c r="H71" s="455"/>
      <c r="I71" s="455"/>
      <c r="J71" s="455"/>
      <c r="K71" s="455"/>
      <c r="L71" s="455"/>
      <c r="M71" s="458"/>
      <c r="N71" s="452"/>
      <c r="O71" s="453"/>
      <c r="P71" s="453"/>
      <c r="Q71" s="453"/>
      <c r="R71" s="453"/>
      <c r="S71" s="453"/>
      <c r="T71" s="453"/>
      <c r="U71" s="454"/>
      <c r="AQ71" s="79"/>
      <c r="AR71" s="61"/>
      <c r="AS71" s="62"/>
      <c r="AT71" s="62"/>
      <c r="AU71" s="62"/>
      <c r="AV71" s="62"/>
      <c r="AW71" s="62"/>
      <c r="AX71" s="62"/>
      <c r="AY71" s="62"/>
      <c r="AZ71" s="62"/>
      <c r="BA71" s="62"/>
      <c r="BB71" s="62"/>
      <c r="BC71" s="62"/>
      <c r="BD71" s="63"/>
      <c r="BF71" s="237"/>
      <c r="BG71" s="237"/>
      <c r="BH71" s="236"/>
      <c r="BI71" s="41"/>
    </row>
    <row r="72" spans="1:110" ht="7.4" customHeight="1" x14ac:dyDescent="0.5">
      <c r="A72" s="42"/>
      <c r="B72" s="64"/>
      <c r="C72" s="65"/>
      <c r="D72" s="65"/>
      <c r="E72" s="65"/>
      <c r="F72" s="65"/>
      <c r="G72" s="65"/>
      <c r="H72" s="65"/>
      <c r="I72" s="65"/>
      <c r="J72" s="65"/>
      <c r="K72" s="65"/>
      <c r="L72" s="65"/>
      <c r="M72" s="66"/>
      <c r="N72" s="50"/>
      <c r="O72" s="51"/>
      <c r="P72" s="51"/>
      <c r="Q72" s="51"/>
      <c r="R72" s="97"/>
      <c r="S72" s="97"/>
      <c r="T72" s="97"/>
      <c r="U72" s="98"/>
      <c r="AQ72" s="79"/>
      <c r="AR72" s="61"/>
      <c r="AS72" s="400" t="s">
        <v>43</v>
      </c>
      <c r="AT72" s="400"/>
      <c r="AU72" s="400"/>
      <c r="AV72" s="400"/>
      <c r="AW72" s="400"/>
      <c r="AX72" s="400"/>
      <c r="AY72" s="400"/>
      <c r="AZ72" s="400"/>
      <c r="BA72" s="400"/>
      <c r="BB72" s="400"/>
      <c r="BC72" s="400"/>
      <c r="BD72" s="448"/>
      <c r="BF72" s="531">
        <v>0.04</v>
      </c>
      <c r="BG72" s="531"/>
      <c r="BH72" s="532"/>
      <c r="BI72" s="41"/>
      <c r="BK72" s="540"/>
      <c r="BL72" s="540"/>
      <c r="BM72" s="540"/>
    </row>
    <row r="73" spans="1:110" ht="7.4" customHeight="1" x14ac:dyDescent="0.5">
      <c r="A73" s="42"/>
      <c r="C73" s="261"/>
      <c r="D73" s="261"/>
      <c r="E73" s="261"/>
      <c r="F73" s="261"/>
      <c r="G73" s="261"/>
      <c r="H73" s="261"/>
      <c r="I73" s="261"/>
      <c r="J73" s="261"/>
      <c r="K73" s="261"/>
      <c r="L73" s="261"/>
      <c r="M73" s="261"/>
      <c r="N73" s="261"/>
      <c r="P73" s="108"/>
      <c r="Q73" s="108"/>
      <c r="R73" s="108"/>
      <c r="S73" s="108"/>
      <c r="T73" s="25"/>
      <c r="U73" s="25"/>
      <c r="AR73" s="61"/>
      <c r="AS73" s="400"/>
      <c r="AT73" s="400"/>
      <c r="AU73" s="400"/>
      <c r="AV73" s="400"/>
      <c r="AW73" s="400"/>
      <c r="AX73" s="400"/>
      <c r="AY73" s="400"/>
      <c r="AZ73" s="400"/>
      <c r="BA73" s="400"/>
      <c r="BB73" s="400"/>
      <c r="BC73" s="400"/>
      <c r="BD73" s="448"/>
      <c r="BF73" s="531"/>
      <c r="BG73" s="531"/>
      <c r="BH73" s="532"/>
      <c r="BI73" s="41"/>
      <c r="BK73" s="540"/>
      <c r="BL73" s="540"/>
      <c r="BM73" s="540"/>
    </row>
    <row r="74" spans="1:110" ht="7.4" customHeight="1" x14ac:dyDescent="0.5">
      <c r="A74" s="42"/>
      <c r="C74" s="261"/>
      <c r="D74" s="261"/>
      <c r="E74" s="261"/>
      <c r="F74" s="261"/>
      <c r="G74" s="261"/>
      <c r="H74" s="261"/>
      <c r="I74" s="261"/>
      <c r="J74" s="261"/>
      <c r="K74" s="261"/>
      <c r="L74" s="261"/>
      <c r="M74" s="261"/>
      <c r="N74" s="261"/>
      <c r="P74" s="108"/>
      <c r="Q74" s="108"/>
      <c r="R74" s="108"/>
      <c r="S74" s="108"/>
      <c r="T74" s="25"/>
      <c r="U74" s="25"/>
      <c r="AQ74" s="79"/>
      <c r="AR74" s="61"/>
      <c r="AS74" s="62"/>
      <c r="AT74" s="62"/>
      <c r="AU74" s="62"/>
      <c r="AV74" s="62"/>
      <c r="AW74" s="62"/>
      <c r="AX74" s="62"/>
      <c r="AY74" s="62"/>
      <c r="AZ74" s="62"/>
      <c r="BA74" s="62"/>
      <c r="BB74" s="62"/>
      <c r="BC74" s="62"/>
      <c r="BD74" s="63"/>
      <c r="BE74" s="51"/>
      <c r="BF74" s="235"/>
      <c r="BG74" s="235"/>
      <c r="BH74" s="163"/>
      <c r="BI74" s="41"/>
    </row>
    <row r="75" spans="1:110" ht="7.4" customHeight="1" x14ac:dyDescent="0.5">
      <c r="A75" s="42"/>
      <c r="C75" s="261"/>
      <c r="D75" s="261"/>
      <c r="E75" s="261"/>
      <c r="F75" s="261"/>
      <c r="G75" s="261"/>
      <c r="H75" s="261"/>
      <c r="I75" s="261"/>
      <c r="J75" s="261"/>
      <c r="K75" s="261"/>
      <c r="L75" s="261"/>
      <c r="M75" s="261"/>
      <c r="N75" s="261"/>
      <c r="P75" s="108"/>
      <c r="Q75" s="108"/>
      <c r="R75" s="108"/>
      <c r="S75" s="108"/>
      <c r="T75" s="25"/>
      <c r="U75" s="25"/>
      <c r="AQ75" s="79"/>
      <c r="AR75" s="61"/>
      <c r="AS75" s="62"/>
      <c r="AT75" s="62"/>
      <c r="AU75" s="62"/>
      <c r="AV75" s="62"/>
      <c r="AW75" s="62"/>
      <c r="AX75" s="62"/>
      <c r="AY75" s="62"/>
      <c r="AZ75" s="62"/>
      <c r="BA75" s="62"/>
      <c r="BB75" s="62"/>
      <c r="BC75" s="62"/>
      <c r="BD75" s="63"/>
      <c r="BE75" s="39"/>
      <c r="BF75" s="234"/>
      <c r="BG75" s="234"/>
      <c r="BH75" s="169"/>
      <c r="BI75" s="41"/>
      <c r="BK75" s="538"/>
      <c r="BL75" s="538"/>
      <c r="BM75" s="538"/>
      <c r="BN75" s="538"/>
      <c r="BO75" s="538"/>
      <c r="BP75" s="538"/>
      <c r="BQ75" s="538"/>
      <c r="BR75" s="538"/>
      <c r="BS75" s="538"/>
      <c r="BT75" s="538"/>
      <c r="BU75" s="538"/>
      <c r="BV75" s="538"/>
      <c r="BW75" s="538"/>
      <c r="BX75" s="538"/>
      <c r="BY75" s="538"/>
      <c r="BZ75" s="538"/>
      <c r="CA75" s="538"/>
      <c r="CB75" s="538"/>
      <c r="CC75" s="538"/>
      <c r="CD75" s="538"/>
      <c r="CE75" s="538"/>
      <c r="CF75" s="538"/>
      <c r="CG75" s="538"/>
      <c r="CH75" s="538"/>
      <c r="CI75" s="538"/>
      <c r="CJ75" s="538"/>
      <c r="CK75" s="538"/>
      <c r="CL75" s="538"/>
      <c r="CM75" s="538"/>
      <c r="CN75" s="538"/>
      <c r="CO75" s="538"/>
      <c r="CP75" s="538"/>
      <c r="CQ75" s="538"/>
      <c r="CR75" s="538"/>
      <c r="CS75" s="538"/>
      <c r="CT75" s="538"/>
      <c r="CU75" s="538"/>
      <c r="CV75" s="538"/>
      <c r="CW75" s="538"/>
      <c r="CX75" s="538"/>
      <c r="CY75" s="538"/>
      <c r="CZ75" s="538"/>
      <c r="DA75" s="538"/>
      <c r="DB75" s="538"/>
      <c r="DC75" s="538"/>
      <c r="DD75" s="538"/>
      <c r="DE75" s="538"/>
      <c r="DF75" s="538"/>
    </row>
    <row r="76" spans="1:110" ht="7.4" customHeight="1" x14ac:dyDescent="0.5">
      <c r="A76" s="42"/>
      <c r="C76" s="261"/>
      <c r="D76" s="261"/>
      <c r="E76" s="261"/>
      <c r="F76" s="261"/>
      <c r="G76" s="261"/>
      <c r="H76" s="261"/>
      <c r="I76" s="261"/>
      <c r="J76" s="261"/>
      <c r="K76" s="261"/>
      <c r="L76" s="261"/>
      <c r="M76" s="261"/>
      <c r="N76" s="261"/>
      <c r="P76" s="108"/>
      <c r="Q76" s="108"/>
      <c r="R76" s="108"/>
      <c r="S76" s="108"/>
      <c r="T76" s="25"/>
      <c r="U76" s="25"/>
      <c r="AQ76" s="79"/>
      <c r="AR76" s="61"/>
      <c r="AS76" s="400" t="s">
        <v>97</v>
      </c>
      <c r="AT76" s="400"/>
      <c r="AU76" s="400"/>
      <c r="AV76" s="400"/>
      <c r="AW76" s="400"/>
      <c r="AX76" s="400"/>
      <c r="AY76" s="400"/>
      <c r="AZ76" s="400"/>
      <c r="BA76" s="400"/>
      <c r="BB76" s="400"/>
      <c r="BC76" s="400"/>
      <c r="BD76" s="448"/>
      <c r="BF76" s="531">
        <v>0.03</v>
      </c>
      <c r="BG76" s="531"/>
      <c r="BH76" s="532"/>
      <c r="BI76" s="41"/>
      <c r="BK76" s="538"/>
      <c r="BL76" s="538"/>
      <c r="BM76" s="538"/>
      <c r="BN76" s="538"/>
      <c r="BO76" s="538"/>
      <c r="BP76" s="538"/>
      <c r="BQ76" s="538"/>
      <c r="BR76" s="538"/>
      <c r="BS76" s="538"/>
      <c r="BT76" s="538"/>
      <c r="BU76" s="538"/>
      <c r="BV76" s="538"/>
      <c r="BW76" s="538"/>
      <c r="BX76" s="538"/>
      <c r="BY76" s="538"/>
      <c r="BZ76" s="538"/>
      <c r="CA76" s="538"/>
      <c r="CB76" s="538"/>
      <c r="CC76" s="538"/>
      <c r="CD76" s="538"/>
      <c r="CE76" s="538"/>
      <c r="CF76" s="538"/>
      <c r="CG76" s="538"/>
      <c r="CH76" s="538"/>
      <c r="CI76" s="538"/>
      <c r="CJ76" s="538"/>
      <c r="CK76" s="538"/>
      <c r="CL76" s="538"/>
      <c r="CM76" s="538"/>
      <c r="CN76" s="538"/>
      <c r="CO76" s="538"/>
      <c r="CP76" s="538"/>
      <c r="CQ76" s="538"/>
      <c r="CR76" s="538"/>
      <c r="CS76" s="538"/>
      <c r="CT76" s="538"/>
      <c r="CU76" s="538"/>
      <c r="CV76" s="538"/>
      <c r="CW76" s="538"/>
      <c r="CX76" s="538"/>
      <c r="CY76" s="538"/>
      <c r="CZ76" s="538"/>
      <c r="DA76" s="538"/>
      <c r="DB76" s="538"/>
      <c r="DC76" s="538"/>
      <c r="DD76" s="538"/>
      <c r="DE76" s="538"/>
      <c r="DF76" s="538"/>
    </row>
    <row r="77" spans="1:110" ht="7.4" customHeight="1" x14ac:dyDescent="0.5">
      <c r="A77" s="42"/>
      <c r="C77" s="261"/>
      <c r="D77" s="261"/>
      <c r="E77" s="261"/>
      <c r="F77" s="261"/>
      <c r="G77" s="261"/>
      <c r="H77" s="261"/>
      <c r="I77" s="261"/>
      <c r="J77" s="261"/>
      <c r="K77" s="261"/>
      <c r="L77" s="261"/>
      <c r="M77" s="261"/>
      <c r="N77" s="261"/>
      <c r="P77" s="108"/>
      <c r="Q77" s="108"/>
      <c r="R77" s="108"/>
      <c r="S77" s="108"/>
      <c r="T77" s="25"/>
      <c r="U77" s="25"/>
      <c r="V77" s="25"/>
      <c r="W77" s="25"/>
      <c r="AQ77" s="79"/>
      <c r="AR77" s="61"/>
      <c r="AS77" s="400"/>
      <c r="AT77" s="400"/>
      <c r="AU77" s="400"/>
      <c r="AV77" s="400"/>
      <c r="AW77" s="400"/>
      <c r="AX77" s="400"/>
      <c r="AY77" s="400"/>
      <c r="AZ77" s="400"/>
      <c r="BA77" s="400"/>
      <c r="BB77" s="400"/>
      <c r="BC77" s="400"/>
      <c r="BD77" s="448"/>
      <c r="BF77" s="531"/>
      <c r="BG77" s="531"/>
      <c r="BH77" s="532"/>
      <c r="BI77" s="41"/>
      <c r="BK77" s="538"/>
      <c r="BL77" s="538"/>
      <c r="BM77" s="538"/>
      <c r="BN77" s="538"/>
      <c r="BO77" s="538"/>
      <c r="BP77" s="538"/>
      <c r="BQ77" s="538"/>
      <c r="BR77" s="538"/>
      <c r="BS77" s="538"/>
      <c r="BT77" s="538"/>
      <c r="BU77" s="538"/>
      <c r="BV77" s="538"/>
      <c r="BW77" s="538"/>
      <c r="BX77" s="538"/>
      <c r="BY77" s="538"/>
      <c r="BZ77" s="538"/>
      <c r="CA77" s="538"/>
      <c r="CB77" s="538"/>
      <c r="CC77" s="538"/>
      <c r="CD77" s="538"/>
      <c r="CE77" s="538"/>
      <c r="CF77" s="538"/>
      <c r="CG77" s="538"/>
      <c r="CH77" s="538"/>
      <c r="CI77" s="538"/>
      <c r="CJ77" s="538"/>
      <c r="CK77" s="538"/>
      <c r="CL77" s="538"/>
      <c r="CM77" s="538"/>
      <c r="CN77" s="538"/>
      <c r="CO77" s="538"/>
      <c r="CP77" s="538"/>
      <c r="CQ77" s="538"/>
      <c r="CR77" s="538"/>
      <c r="CS77" s="538"/>
      <c r="CT77" s="538"/>
      <c r="CU77" s="538"/>
      <c r="CV77" s="538"/>
      <c r="CW77" s="538"/>
      <c r="CX77" s="538"/>
      <c r="CY77" s="538"/>
      <c r="CZ77" s="538"/>
      <c r="DA77" s="538"/>
      <c r="DB77" s="538"/>
      <c r="DC77" s="538"/>
      <c r="DD77" s="538"/>
      <c r="DE77" s="538"/>
      <c r="DF77" s="538"/>
    </row>
    <row r="78" spans="1:110" ht="7.4" customHeight="1" x14ac:dyDescent="0.5">
      <c r="A78" s="42"/>
      <c r="S78" s="25"/>
      <c r="T78" s="25"/>
      <c r="U78" s="25"/>
      <c r="V78" s="25"/>
      <c r="Y78" s="25"/>
      <c r="Z78" s="25"/>
      <c r="AA78" s="25"/>
      <c r="AB78" s="25"/>
      <c r="AC78" s="25"/>
      <c r="AD78" s="25"/>
      <c r="AE78" s="25"/>
      <c r="AF78" s="25"/>
      <c r="AG78" s="25"/>
      <c r="AH78" s="25"/>
      <c r="AJ78" s="79"/>
      <c r="AK78" s="79"/>
      <c r="AL78" s="79"/>
      <c r="AM78" s="79"/>
      <c r="AN78" s="79"/>
      <c r="AO78" s="79"/>
      <c r="AP78" s="79"/>
      <c r="AQ78" s="79"/>
      <c r="AR78" s="64"/>
      <c r="AS78" s="65"/>
      <c r="AT78" s="65"/>
      <c r="AU78" s="65"/>
      <c r="AV78" s="65"/>
      <c r="AW78" s="65"/>
      <c r="AX78" s="65"/>
      <c r="AY78" s="65"/>
      <c r="AZ78" s="65"/>
      <c r="BA78" s="65"/>
      <c r="BB78" s="65"/>
      <c r="BC78" s="65"/>
      <c r="BD78" s="66"/>
      <c r="BE78" s="51"/>
      <c r="BF78" s="51"/>
      <c r="BG78" s="51"/>
      <c r="BH78" s="52"/>
      <c r="BI78" s="41"/>
      <c r="BK78" s="538"/>
      <c r="BL78" s="538"/>
      <c r="BM78" s="538"/>
      <c r="BN78" s="538"/>
      <c r="BO78" s="538"/>
      <c r="BP78" s="538"/>
      <c r="BQ78" s="538"/>
      <c r="BR78" s="538"/>
      <c r="BS78" s="538"/>
      <c r="BT78" s="538"/>
      <c r="BU78" s="538"/>
      <c r="BV78" s="538"/>
      <c r="BW78" s="538"/>
      <c r="BX78" s="538"/>
      <c r="BY78" s="538"/>
      <c r="BZ78" s="538"/>
      <c r="CA78" s="538"/>
      <c r="CB78" s="538"/>
      <c r="CC78" s="538"/>
      <c r="CD78" s="538"/>
      <c r="CE78" s="538"/>
      <c r="CF78" s="538"/>
      <c r="CG78" s="538"/>
      <c r="CH78" s="538"/>
      <c r="CI78" s="538"/>
      <c r="CJ78" s="538"/>
      <c r="CK78" s="538"/>
      <c r="CL78" s="538"/>
      <c r="CM78" s="538"/>
      <c r="CN78" s="538"/>
      <c r="CO78" s="538"/>
      <c r="CP78" s="538"/>
      <c r="CQ78" s="538"/>
      <c r="CR78" s="538"/>
      <c r="CS78" s="538"/>
      <c r="CT78" s="538"/>
      <c r="CU78" s="538"/>
      <c r="CV78" s="538"/>
      <c r="CW78" s="538"/>
      <c r="CX78" s="538"/>
      <c r="CY78" s="538"/>
      <c r="CZ78" s="538"/>
      <c r="DA78" s="538"/>
      <c r="DB78" s="538"/>
      <c r="DC78" s="538"/>
      <c r="DD78" s="538"/>
      <c r="DE78" s="538"/>
      <c r="DF78" s="538"/>
    </row>
    <row r="79" spans="1:110" ht="7.4" customHeight="1" x14ac:dyDescent="0.5">
      <c r="A79" s="50"/>
      <c r="B79" s="51"/>
      <c r="C79" s="51"/>
      <c r="D79" s="135"/>
      <c r="E79" s="135"/>
      <c r="F79" s="135"/>
      <c r="G79" s="135"/>
      <c r="H79" s="135"/>
      <c r="I79" s="135"/>
      <c r="J79" s="135"/>
      <c r="K79" s="135"/>
      <c r="L79" s="135"/>
      <c r="M79" s="135"/>
      <c r="N79" s="135"/>
      <c r="O79" s="135"/>
      <c r="P79" s="135"/>
      <c r="Q79" s="135"/>
      <c r="R79" s="135"/>
      <c r="S79" s="135"/>
      <c r="T79" s="135"/>
      <c r="U79" s="135"/>
      <c r="V79" s="135"/>
      <c r="W79" s="135"/>
      <c r="X79" s="135"/>
      <c r="Y79" s="135"/>
      <c r="Z79" s="135"/>
      <c r="AA79" s="135"/>
      <c r="AB79" s="135"/>
      <c r="AC79" s="135"/>
      <c r="AD79" s="135"/>
      <c r="AE79" s="135"/>
      <c r="AF79" s="135"/>
      <c r="AG79" s="135"/>
      <c r="AH79" s="135"/>
      <c r="AI79" s="135"/>
      <c r="AJ79" s="135"/>
      <c r="AK79" s="135"/>
      <c r="AL79" s="135"/>
      <c r="AM79" s="135"/>
      <c r="AN79" s="135"/>
      <c r="AO79" s="135"/>
      <c r="AP79" s="135"/>
      <c r="AQ79" s="135"/>
      <c r="AR79" s="135"/>
      <c r="AS79" s="135"/>
      <c r="AT79" s="135"/>
      <c r="AU79" s="135"/>
      <c r="AV79" s="135"/>
      <c r="AW79" s="135"/>
      <c r="AX79" s="135"/>
      <c r="AY79" s="135"/>
      <c r="AZ79" s="135"/>
      <c r="BA79" s="135"/>
      <c r="BB79" s="135"/>
      <c r="BC79" s="135"/>
      <c r="BD79" s="135"/>
      <c r="BE79" s="135"/>
      <c r="BF79" s="135"/>
      <c r="BG79" s="135"/>
      <c r="BH79" s="135"/>
      <c r="BI79" s="52"/>
      <c r="BK79" s="108"/>
      <c r="BL79" s="108"/>
      <c r="BM79" s="108"/>
      <c r="BN79" s="108"/>
      <c r="BO79" s="108"/>
      <c r="BP79" s="108"/>
      <c r="BQ79" s="108"/>
      <c r="BR79" s="108"/>
      <c r="BS79" s="108"/>
      <c r="BT79" s="108"/>
    </row>
    <row r="80" spans="1:110" ht="7.4" customHeight="1" x14ac:dyDescent="0.5">
      <c r="D80" s="79"/>
      <c r="E80" s="79"/>
      <c r="F80" s="79"/>
      <c r="G80" s="79"/>
      <c r="H80" s="79"/>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79"/>
      <c r="AS80" s="79"/>
      <c r="AT80" s="79"/>
      <c r="AU80" s="79"/>
      <c r="AV80" s="79"/>
      <c r="AW80" s="79"/>
      <c r="AX80" s="79"/>
      <c r="AY80" s="79"/>
      <c r="AZ80" s="79"/>
      <c r="BA80" s="79"/>
      <c r="BB80" s="79"/>
      <c r="BC80" s="79"/>
      <c r="BD80" s="79"/>
      <c r="BE80" s="79"/>
      <c r="BF80" s="79"/>
      <c r="BG80" s="79"/>
      <c r="BH80" s="79"/>
      <c r="BK80" s="108"/>
      <c r="BL80" s="108"/>
      <c r="BM80" s="108"/>
      <c r="BN80" s="108"/>
      <c r="BO80" s="108"/>
      <c r="BP80" s="108"/>
      <c r="BQ80" s="108"/>
      <c r="BR80" s="108"/>
      <c r="BS80" s="108"/>
      <c r="BT80" s="108"/>
    </row>
    <row r="81" spans="1:61" ht="7.4" customHeight="1" x14ac:dyDescent="0.5">
      <c r="A81" s="337" t="s">
        <v>46</v>
      </c>
      <c r="B81" s="337"/>
      <c r="C81" s="337"/>
      <c r="D81" s="337"/>
      <c r="E81" s="337"/>
      <c r="F81" s="337"/>
      <c r="G81" s="337"/>
      <c r="H81" s="337"/>
      <c r="I81" s="337"/>
      <c r="J81" s="337"/>
      <c r="K81" s="337"/>
      <c r="L81" s="337"/>
      <c r="M81" s="337"/>
      <c r="N81" s="337"/>
      <c r="O81" s="337"/>
      <c r="P81" s="337"/>
      <c r="Q81" s="337"/>
      <c r="R81" s="337"/>
      <c r="S81" s="337"/>
      <c r="T81" s="337"/>
      <c r="U81" s="337"/>
      <c r="V81" s="337"/>
      <c r="W81" s="337"/>
      <c r="X81" s="337"/>
      <c r="Y81" s="337"/>
      <c r="Z81" s="337"/>
      <c r="AA81" s="337"/>
      <c r="AB81" s="337"/>
      <c r="AC81" s="337"/>
      <c r="AD81" s="337"/>
      <c r="AE81" s="337"/>
      <c r="AF81" s="337"/>
      <c r="AG81" s="337"/>
      <c r="AH81" s="337"/>
      <c r="AI81" s="337"/>
      <c r="AJ81" s="337"/>
      <c r="AK81" s="337"/>
      <c r="AL81" s="337"/>
      <c r="AM81" s="337"/>
      <c r="AN81" s="337"/>
      <c r="AO81" s="337"/>
      <c r="AP81" s="337"/>
      <c r="AQ81" s="337"/>
      <c r="AR81" s="337"/>
      <c r="AS81" s="337"/>
      <c r="AT81" s="337"/>
      <c r="AU81" s="337"/>
      <c r="AV81" s="337"/>
      <c r="AW81" s="337"/>
      <c r="AX81" s="337"/>
      <c r="AY81" s="337"/>
      <c r="AZ81" s="337"/>
      <c r="BA81" s="337"/>
      <c r="BB81" s="337"/>
      <c r="BC81" s="337"/>
      <c r="BD81" s="337"/>
      <c r="BE81" s="337"/>
      <c r="BF81" s="337"/>
      <c r="BG81" s="337"/>
      <c r="BH81" s="337"/>
      <c r="BI81" s="337"/>
    </row>
    <row r="82" spans="1:61" ht="7.4" customHeight="1" x14ac:dyDescent="0.5">
      <c r="A82" s="337"/>
      <c r="B82" s="337"/>
      <c r="C82" s="337"/>
      <c r="D82" s="337"/>
      <c r="E82" s="337"/>
      <c r="F82" s="337"/>
      <c r="G82" s="337"/>
      <c r="H82" s="337"/>
      <c r="I82" s="337"/>
      <c r="J82" s="337"/>
      <c r="K82" s="337"/>
      <c r="L82" s="337"/>
      <c r="M82" s="337"/>
      <c r="N82" s="337"/>
      <c r="O82" s="337"/>
      <c r="P82" s="337"/>
      <c r="Q82" s="337"/>
      <c r="R82" s="337"/>
      <c r="S82" s="337"/>
      <c r="T82" s="337"/>
      <c r="U82" s="337"/>
      <c r="V82" s="337"/>
      <c r="W82" s="337"/>
      <c r="X82" s="337"/>
      <c r="Y82" s="337"/>
      <c r="Z82" s="337"/>
      <c r="AA82" s="337"/>
      <c r="AB82" s="337"/>
      <c r="AC82" s="337"/>
      <c r="AD82" s="337"/>
      <c r="AE82" s="337"/>
      <c r="AF82" s="337"/>
      <c r="AG82" s="337"/>
      <c r="AH82" s="337"/>
      <c r="AI82" s="337"/>
      <c r="AJ82" s="337"/>
      <c r="AK82" s="337"/>
      <c r="AL82" s="337"/>
      <c r="AM82" s="337"/>
      <c r="AN82" s="337"/>
      <c r="AO82" s="337"/>
      <c r="AP82" s="337"/>
      <c r="AQ82" s="337"/>
      <c r="AR82" s="337"/>
      <c r="AS82" s="337"/>
      <c r="AT82" s="337"/>
      <c r="AU82" s="337"/>
      <c r="AV82" s="337"/>
      <c r="AW82" s="337"/>
      <c r="AX82" s="337"/>
      <c r="AY82" s="337"/>
      <c r="AZ82" s="337"/>
      <c r="BA82" s="337"/>
      <c r="BB82" s="337"/>
      <c r="BC82" s="337"/>
      <c r="BD82" s="337"/>
      <c r="BE82" s="337"/>
      <c r="BF82" s="337"/>
      <c r="BG82" s="337"/>
      <c r="BH82" s="337"/>
      <c r="BI82" s="337"/>
    </row>
    <row r="83" spans="1:61" ht="7.4" customHeight="1" x14ac:dyDescent="0.5">
      <c r="D83" s="79"/>
      <c r="E83" s="79"/>
      <c r="F83" s="79"/>
      <c r="G83" s="79"/>
      <c r="H83" s="79"/>
      <c r="I83" s="79"/>
      <c r="J83" s="79"/>
      <c r="K83" s="79"/>
      <c r="L83" s="79"/>
      <c r="M83" s="79"/>
      <c r="N83" s="79"/>
      <c r="O83" s="79"/>
      <c r="P83" s="79"/>
      <c r="Q83" s="79"/>
      <c r="R83" s="79"/>
      <c r="S83" s="79"/>
      <c r="T83" s="79"/>
      <c r="U83" s="79"/>
      <c r="V83" s="79"/>
      <c r="AQ83" s="79"/>
      <c r="AR83" s="79"/>
      <c r="AS83" s="79"/>
      <c r="AT83" s="79"/>
      <c r="AU83" s="79"/>
      <c r="AV83" s="79"/>
      <c r="AW83" s="79"/>
      <c r="AX83" s="79"/>
      <c r="AY83" s="79"/>
      <c r="AZ83" s="79"/>
      <c r="BA83" s="79"/>
      <c r="BB83" s="79"/>
      <c r="BC83" s="79"/>
      <c r="BD83" s="79"/>
      <c r="BE83" s="79"/>
      <c r="BF83" s="79"/>
      <c r="BG83" s="79"/>
      <c r="BH83" s="79"/>
    </row>
    <row r="84" spans="1:61" ht="7.4" customHeight="1" x14ac:dyDescent="0.5">
      <c r="D84" s="79"/>
      <c r="E84" s="79"/>
      <c r="F84" s="79"/>
      <c r="G84" s="79"/>
      <c r="H84" s="79"/>
      <c r="I84" s="79"/>
      <c r="J84" s="79"/>
      <c r="K84" s="79"/>
      <c r="L84" s="79"/>
      <c r="M84" s="79"/>
      <c r="N84" s="79"/>
      <c r="O84" s="79"/>
      <c r="P84" s="79"/>
      <c r="Q84" s="79"/>
      <c r="R84" s="79"/>
      <c r="S84" s="79"/>
      <c r="T84" s="79"/>
      <c r="U84" s="79"/>
      <c r="V84" s="79"/>
      <c r="AQ84" s="79"/>
      <c r="AR84" s="79"/>
      <c r="AS84" s="79"/>
      <c r="AT84" s="79"/>
      <c r="AU84" s="79"/>
      <c r="AV84" s="79"/>
      <c r="AW84" s="79"/>
      <c r="AX84" s="79"/>
      <c r="AY84" s="79"/>
      <c r="AZ84" s="79"/>
      <c r="BA84" s="79"/>
      <c r="BB84" s="79"/>
      <c r="BC84" s="79"/>
      <c r="BD84" s="79"/>
      <c r="BE84" s="79"/>
      <c r="BF84" s="79"/>
      <c r="BG84" s="79"/>
      <c r="BH84" s="79"/>
    </row>
    <row r="85" spans="1:61" ht="7.4" customHeight="1" x14ac:dyDescent="0.5">
      <c r="D85" s="79"/>
      <c r="E85" s="79"/>
      <c r="F85" s="79"/>
      <c r="G85" s="79"/>
      <c r="H85" s="79"/>
      <c r="I85" s="79"/>
      <c r="J85" s="79"/>
      <c r="K85" s="79"/>
      <c r="L85" s="79"/>
      <c r="M85" s="79"/>
      <c r="N85" s="79"/>
      <c r="O85" s="79"/>
      <c r="P85" s="79"/>
      <c r="Q85" s="79"/>
      <c r="R85" s="79"/>
      <c r="S85" s="79"/>
      <c r="T85" s="79"/>
      <c r="U85" s="79"/>
      <c r="V85" s="79"/>
      <c r="AQ85" s="79"/>
      <c r="AR85" s="79"/>
      <c r="AS85" s="79"/>
      <c r="AT85" s="79"/>
      <c r="AU85" s="79"/>
      <c r="AV85" s="79"/>
      <c r="AW85" s="79"/>
      <c r="AX85" s="79"/>
      <c r="AY85" s="79"/>
      <c r="AZ85" s="79"/>
      <c r="BA85" s="79"/>
      <c r="BB85" s="79"/>
      <c r="BC85" s="79"/>
      <c r="BD85" s="79"/>
      <c r="BE85" s="79"/>
      <c r="BF85" s="79"/>
      <c r="BG85" s="79"/>
      <c r="BH85" s="79"/>
    </row>
    <row r="86" spans="1:61" ht="7.4" customHeight="1" x14ac:dyDescent="0.5">
      <c r="D86" s="79"/>
      <c r="E86" s="79"/>
      <c r="F86" s="79"/>
      <c r="G86" s="79"/>
      <c r="H86" s="79"/>
      <c r="I86" s="79"/>
      <c r="J86" s="79"/>
      <c r="K86" s="79"/>
      <c r="L86" s="79"/>
      <c r="M86" s="79"/>
      <c r="N86" s="79"/>
      <c r="O86" s="79"/>
      <c r="P86" s="79"/>
      <c r="Q86" s="79"/>
      <c r="R86" s="79"/>
      <c r="S86" s="79"/>
      <c r="T86" s="79"/>
      <c r="U86" s="79"/>
      <c r="V86" s="79"/>
      <c r="AQ86" s="79"/>
      <c r="AR86" s="79"/>
      <c r="AS86" s="79"/>
      <c r="AT86" s="79"/>
      <c r="AU86" s="79"/>
      <c r="AV86" s="79"/>
      <c r="AW86" s="79"/>
      <c r="AX86" s="79"/>
      <c r="AY86" s="79"/>
      <c r="AZ86" s="79"/>
      <c r="BA86" s="79"/>
      <c r="BB86" s="79"/>
      <c r="BC86" s="79"/>
      <c r="BD86" s="79"/>
      <c r="BE86" s="79"/>
      <c r="BF86" s="79"/>
      <c r="BG86" s="79"/>
      <c r="BH86" s="79"/>
    </row>
    <row r="87" spans="1:61" ht="7.4" customHeight="1" x14ac:dyDescent="0.5">
      <c r="D87" s="79"/>
      <c r="E87" s="79"/>
      <c r="F87" s="79"/>
      <c r="G87" s="79"/>
      <c r="H87" s="79"/>
      <c r="I87" s="79"/>
      <c r="J87" s="79"/>
      <c r="K87" s="79"/>
      <c r="L87" s="79"/>
      <c r="M87" s="79"/>
      <c r="N87" s="79"/>
      <c r="O87" s="79"/>
      <c r="P87" s="79"/>
      <c r="Q87" s="79"/>
      <c r="R87" s="79"/>
      <c r="S87" s="79"/>
      <c r="T87" s="79"/>
      <c r="U87" s="79"/>
      <c r="V87" s="79"/>
      <c r="AQ87" s="79"/>
      <c r="AR87" s="79"/>
      <c r="AS87" s="79"/>
      <c r="AT87" s="79"/>
      <c r="AU87" s="79"/>
      <c r="AV87" s="79"/>
      <c r="AW87" s="79"/>
      <c r="AX87" s="79"/>
      <c r="AY87" s="79"/>
      <c r="AZ87" s="79"/>
      <c r="BA87" s="79"/>
      <c r="BB87" s="79"/>
      <c r="BC87" s="79"/>
      <c r="BD87" s="79"/>
      <c r="BE87" s="79"/>
      <c r="BF87" s="79"/>
      <c r="BG87" s="79"/>
      <c r="BH87" s="79"/>
    </row>
    <row r="88" spans="1:61" ht="7.4" customHeight="1" x14ac:dyDescent="0.5">
      <c r="D88" s="79"/>
      <c r="E88" s="79"/>
      <c r="F88" s="79"/>
      <c r="G88" s="79"/>
      <c r="H88" s="79"/>
      <c r="I88" s="79"/>
      <c r="J88" s="79"/>
      <c r="K88" s="79"/>
      <c r="L88" s="79"/>
      <c r="M88" s="79"/>
      <c r="N88" s="79"/>
      <c r="O88" s="79"/>
      <c r="P88" s="79"/>
      <c r="Q88" s="79"/>
      <c r="R88" s="79"/>
      <c r="S88" s="79"/>
      <c r="T88" s="79"/>
      <c r="U88" s="79"/>
      <c r="V88" s="79"/>
      <c r="AQ88" s="79"/>
      <c r="AR88" s="79"/>
      <c r="AS88" s="79"/>
      <c r="AT88" s="79"/>
      <c r="AU88" s="79"/>
      <c r="AV88" s="79"/>
      <c r="AW88" s="79"/>
      <c r="AX88" s="79"/>
      <c r="AY88" s="79"/>
      <c r="AZ88" s="79"/>
      <c r="BA88" s="79"/>
      <c r="BB88" s="79"/>
      <c r="BC88" s="79"/>
      <c r="BD88" s="79"/>
      <c r="BE88" s="79"/>
      <c r="BF88" s="79"/>
      <c r="BG88" s="79"/>
      <c r="BH88" s="79"/>
    </row>
    <row r="89" spans="1:61" ht="7.4" customHeight="1" x14ac:dyDescent="0.5">
      <c r="D89" s="79"/>
      <c r="E89" s="79"/>
      <c r="F89" s="79"/>
      <c r="G89" s="79"/>
      <c r="H89" s="79"/>
      <c r="I89" s="79"/>
      <c r="J89" s="79"/>
      <c r="K89" s="79"/>
      <c r="L89" s="79"/>
      <c r="M89" s="79"/>
      <c r="N89" s="79"/>
      <c r="O89" s="79"/>
      <c r="P89" s="79"/>
      <c r="Q89" s="79"/>
      <c r="R89" s="79"/>
      <c r="S89" s="79"/>
      <c r="T89" s="79"/>
      <c r="U89" s="79"/>
      <c r="V89" s="79"/>
      <c r="AQ89" s="79"/>
      <c r="AR89" s="79"/>
      <c r="AS89" s="79"/>
      <c r="AT89" s="79"/>
      <c r="AU89" s="79"/>
      <c r="AV89" s="79"/>
      <c r="AW89" s="79"/>
      <c r="AX89" s="79"/>
      <c r="AY89" s="79"/>
      <c r="AZ89" s="79"/>
      <c r="BA89" s="79"/>
      <c r="BB89" s="79"/>
      <c r="BC89" s="79"/>
      <c r="BD89" s="79"/>
      <c r="BE89" s="79"/>
      <c r="BF89" s="79"/>
      <c r="BG89" s="79"/>
      <c r="BH89" s="79"/>
    </row>
    <row r="90" spans="1:61" ht="7.4" customHeight="1" x14ac:dyDescent="0.5">
      <c r="D90" s="79"/>
      <c r="E90" s="79"/>
      <c r="F90" s="79"/>
      <c r="G90" s="79"/>
      <c r="H90" s="79"/>
      <c r="I90" s="79"/>
      <c r="J90" s="79"/>
      <c r="K90" s="79"/>
      <c r="L90" s="79"/>
      <c r="M90" s="79"/>
      <c r="N90" s="79"/>
      <c r="O90" s="79"/>
      <c r="P90" s="79"/>
      <c r="Q90" s="79"/>
      <c r="R90" s="79"/>
      <c r="S90" s="79"/>
      <c r="T90" s="79"/>
      <c r="U90" s="79"/>
      <c r="V90" s="79"/>
      <c r="AQ90" s="79"/>
      <c r="AR90" s="79"/>
      <c r="AS90" s="79"/>
      <c r="AT90" s="79"/>
      <c r="AU90" s="79"/>
      <c r="AV90" s="79"/>
      <c r="AW90" s="79"/>
      <c r="AX90" s="79"/>
      <c r="AY90" s="79"/>
      <c r="AZ90" s="79"/>
      <c r="BA90" s="79"/>
      <c r="BB90" s="79"/>
      <c r="BC90" s="79"/>
      <c r="BD90" s="79"/>
      <c r="BE90" s="79"/>
      <c r="BF90" s="79"/>
      <c r="BG90" s="79"/>
      <c r="BH90" s="79"/>
    </row>
    <row r="91" spans="1:61" ht="7.4" customHeight="1" x14ac:dyDescent="0.5">
      <c r="D91" s="79"/>
      <c r="E91" s="79"/>
      <c r="F91" s="79"/>
      <c r="G91" s="79"/>
      <c r="H91" s="79"/>
      <c r="I91" s="79"/>
      <c r="J91" s="79"/>
      <c r="K91" s="79"/>
      <c r="L91" s="79"/>
      <c r="M91" s="79"/>
      <c r="N91" s="79"/>
      <c r="O91" s="79"/>
      <c r="P91" s="79"/>
      <c r="Q91" s="79"/>
      <c r="R91" s="79"/>
      <c r="S91" s="79"/>
      <c r="T91" s="79"/>
      <c r="U91" s="79"/>
      <c r="V91" s="79"/>
      <c r="AQ91" s="79"/>
      <c r="AR91" s="79"/>
      <c r="AS91" s="79"/>
      <c r="AT91" s="79"/>
      <c r="AU91" s="79"/>
      <c r="AV91" s="79"/>
      <c r="AW91" s="79"/>
      <c r="AX91" s="79"/>
      <c r="AY91" s="79"/>
      <c r="AZ91" s="79"/>
      <c r="BA91" s="79"/>
      <c r="BB91" s="79"/>
      <c r="BC91" s="79"/>
      <c r="BD91" s="79"/>
      <c r="BE91" s="79"/>
      <c r="BF91" s="79"/>
      <c r="BG91" s="79"/>
      <c r="BH91" s="79"/>
    </row>
    <row r="92" spans="1:61" ht="7.4" customHeight="1" x14ac:dyDescent="0.5">
      <c r="D92" s="79"/>
      <c r="E92" s="79"/>
      <c r="F92" s="79"/>
      <c r="G92" s="79"/>
      <c r="H92" s="79"/>
      <c r="I92" s="79"/>
      <c r="J92" s="79"/>
      <c r="K92" s="79"/>
      <c r="L92" s="79"/>
      <c r="M92" s="79"/>
      <c r="N92" s="79"/>
      <c r="O92" s="79"/>
      <c r="P92" s="79"/>
      <c r="Q92" s="79"/>
      <c r="R92" s="79"/>
      <c r="S92" s="79"/>
      <c r="T92" s="79"/>
      <c r="U92" s="79"/>
      <c r="V92" s="79"/>
      <c r="AQ92" s="79"/>
      <c r="AR92" s="79"/>
      <c r="AS92" s="79"/>
      <c r="AT92" s="79"/>
      <c r="AU92" s="79"/>
      <c r="AV92" s="79"/>
      <c r="AW92" s="79"/>
      <c r="AX92" s="79"/>
      <c r="AY92" s="79"/>
      <c r="AZ92" s="79"/>
      <c r="BA92" s="79"/>
      <c r="BB92" s="79"/>
      <c r="BC92" s="79"/>
      <c r="BD92" s="79"/>
      <c r="BE92" s="79"/>
      <c r="BF92" s="79"/>
      <c r="BG92" s="79"/>
      <c r="BH92" s="79"/>
    </row>
    <row r="93" spans="1:61" ht="7.4" customHeight="1" x14ac:dyDescent="0.5">
      <c r="D93" s="79"/>
      <c r="E93" s="79"/>
      <c r="F93" s="79"/>
      <c r="G93" s="79"/>
      <c r="H93" s="79"/>
      <c r="I93" s="79"/>
      <c r="J93" s="79"/>
      <c r="K93" s="79"/>
      <c r="L93" s="79"/>
      <c r="M93" s="79"/>
      <c r="N93" s="79"/>
      <c r="O93" s="79"/>
      <c r="P93" s="79"/>
      <c r="Q93" s="79"/>
      <c r="R93" s="79"/>
      <c r="S93" s="79"/>
      <c r="T93" s="79"/>
      <c r="U93" s="79"/>
      <c r="V93" s="79"/>
      <c r="AQ93" s="79"/>
      <c r="AR93" s="79"/>
      <c r="AS93" s="79"/>
      <c r="AT93" s="79"/>
      <c r="AU93" s="79"/>
      <c r="AV93" s="79"/>
      <c r="AW93" s="79"/>
      <c r="AX93" s="79"/>
      <c r="AY93" s="79"/>
      <c r="AZ93" s="79"/>
      <c r="BA93" s="79"/>
      <c r="BB93" s="79"/>
      <c r="BC93" s="79"/>
      <c r="BD93" s="79"/>
      <c r="BE93" s="79"/>
      <c r="BF93" s="79"/>
      <c r="BG93" s="79"/>
      <c r="BH93" s="79"/>
    </row>
    <row r="94" spans="1:61" ht="7.4" customHeight="1" x14ac:dyDescent="0.5">
      <c r="D94" s="79"/>
      <c r="E94" s="79"/>
      <c r="F94" s="79"/>
      <c r="G94" s="79"/>
      <c r="H94" s="79"/>
      <c r="I94" s="79"/>
      <c r="J94" s="79"/>
      <c r="K94" s="79"/>
      <c r="L94" s="79"/>
      <c r="M94" s="79"/>
      <c r="N94" s="79"/>
      <c r="O94" s="79"/>
      <c r="P94" s="79"/>
      <c r="Q94" s="79"/>
      <c r="R94" s="79"/>
      <c r="S94" s="79"/>
      <c r="T94" s="79"/>
      <c r="U94" s="79"/>
      <c r="V94" s="79"/>
      <c r="AQ94" s="79"/>
      <c r="AR94" s="79"/>
      <c r="AS94" s="79"/>
      <c r="AT94" s="79"/>
      <c r="AU94" s="79"/>
      <c r="AV94" s="79"/>
      <c r="AW94" s="79"/>
      <c r="AX94" s="79"/>
      <c r="AY94" s="79"/>
      <c r="AZ94" s="79"/>
      <c r="BA94" s="79"/>
      <c r="BB94" s="79"/>
      <c r="BC94" s="79"/>
      <c r="BD94" s="79"/>
      <c r="BE94" s="79"/>
      <c r="BF94" s="79"/>
      <c r="BG94" s="79"/>
      <c r="BH94" s="79"/>
    </row>
    <row r="95" spans="1:61" ht="7.4" customHeight="1" x14ac:dyDescent="0.5">
      <c r="D95" s="79"/>
      <c r="E95" s="79"/>
      <c r="F95" s="79"/>
      <c r="G95" s="79"/>
      <c r="H95" s="79"/>
      <c r="I95" s="79"/>
      <c r="J95" s="79"/>
      <c r="K95" s="79"/>
      <c r="L95" s="79"/>
      <c r="M95" s="79"/>
      <c r="N95" s="79"/>
      <c r="O95" s="79"/>
      <c r="P95" s="79"/>
      <c r="Q95" s="79"/>
      <c r="R95" s="79"/>
      <c r="S95" s="79"/>
      <c r="T95" s="79"/>
      <c r="U95" s="79"/>
      <c r="V95" s="79"/>
      <c r="AQ95" s="79"/>
      <c r="AR95" s="79"/>
      <c r="AS95" s="79"/>
      <c r="AT95" s="79"/>
      <c r="AU95" s="79"/>
      <c r="AV95" s="79"/>
      <c r="AW95" s="79"/>
      <c r="AX95" s="79"/>
      <c r="AY95" s="79"/>
      <c r="AZ95" s="79"/>
      <c r="BA95" s="79"/>
      <c r="BB95" s="79"/>
      <c r="BC95" s="79"/>
      <c r="BD95" s="79"/>
      <c r="BE95" s="79"/>
      <c r="BF95" s="79"/>
      <c r="BG95" s="79"/>
      <c r="BH95" s="79"/>
    </row>
    <row r="96" spans="1:61" ht="7.4" customHeight="1" x14ac:dyDescent="0.5">
      <c r="D96" s="79"/>
      <c r="E96" s="79"/>
      <c r="F96" s="79"/>
      <c r="G96" s="79"/>
      <c r="H96" s="79"/>
      <c r="I96" s="79"/>
      <c r="J96" s="79"/>
      <c r="K96" s="79"/>
      <c r="L96" s="79"/>
      <c r="M96" s="79"/>
      <c r="N96" s="79"/>
      <c r="O96" s="79"/>
      <c r="P96" s="79"/>
      <c r="Q96" s="79"/>
      <c r="R96" s="79"/>
      <c r="S96" s="79"/>
      <c r="T96" s="79"/>
      <c r="U96" s="79"/>
      <c r="V96" s="79"/>
      <c r="AQ96" s="79"/>
      <c r="AR96" s="79"/>
      <c r="AS96" s="79"/>
      <c r="AT96" s="79"/>
      <c r="AU96" s="79"/>
      <c r="AV96" s="79"/>
      <c r="AW96" s="79"/>
      <c r="AX96" s="79"/>
      <c r="AY96" s="79"/>
      <c r="AZ96" s="79"/>
      <c r="BA96" s="79"/>
      <c r="BB96" s="79"/>
      <c r="BC96" s="79"/>
      <c r="BD96" s="79"/>
      <c r="BE96" s="79"/>
      <c r="BF96" s="79"/>
      <c r="BG96" s="79"/>
      <c r="BH96" s="79"/>
    </row>
    <row r="97" spans="1:98" ht="7.4" customHeight="1" x14ac:dyDescent="0.5">
      <c r="D97" s="79"/>
      <c r="E97" s="79"/>
      <c r="F97" s="79"/>
      <c r="G97" s="79"/>
      <c r="H97" s="79"/>
      <c r="I97" s="79"/>
      <c r="J97" s="79"/>
      <c r="K97" s="79"/>
      <c r="L97" s="79"/>
      <c r="M97" s="79"/>
      <c r="N97" s="79"/>
      <c r="O97" s="79"/>
      <c r="P97" s="79"/>
      <c r="Q97" s="79"/>
      <c r="R97" s="79"/>
      <c r="S97" s="79"/>
      <c r="T97" s="79"/>
      <c r="U97" s="79"/>
      <c r="V97" s="79"/>
      <c r="AQ97" s="79"/>
      <c r="AR97" s="79"/>
      <c r="AS97" s="79"/>
      <c r="AT97" s="79"/>
      <c r="AU97" s="79"/>
      <c r="AV97" s="79"/>
      <c r="AW97" s="79"/>
      <c r="AX97" s="79"/>
      <c r="AY97" s="79"/>
      <c r="AZ97" s="79"/>
      <c r="BA97" s="79"/>
      <c r="BB97" s="79"/>
      <c r="BC97" s="79"/>
      <c r="BD97" s="79"/>
      <c r="BE97" s="79"/>
      <c r="BF97" s="79"/>
      <c r="BG97" s="79"/>
      <c r="BH97" s="79"/>
      <c r="BK97" s="108"/>
      <c r="BL97" s="108"/>
      <c r="BM97" s="108"/>
      <c r="BN97" s="108"/>
      <c r="BO97" s="108"/>
      <c r="BP97" s="108"/>
      <c r="BQ97" s="108"/>
      <c r="BR97" s="108"/>
      <c r="BS97" s="108"/>
      <c r="BT97" s="108"/>
    </row>
    <row r="98" spans="1:98" ht="7.4" customHeight="1" x14ac:dyDescent="0.5">
      <c r="D98" s="79"/>
      <c r="E98" s="79"/>
      <c r="F98" s="79"/>
      <c r="G98" s="79"/>
      <c r="H98" s="79"/>
      <c r="I98" s="79"/>
      <c r="J98" s="79"/>
      <c r="K98" s="79"/>
      <c r="L98" s="79"/>
      <c r="M98" s="79"/>
      <c r="N98" s="79"/>
      <c r="O98" s="79"/>
      <c r="P98" s="79"/>
      <c r="Q98" s="79"/>
      <c r="R98" s="79"/>
      <c r="S98" s="79"/>
      <c r="T98" s="79"/>
      <c r="U98" s="79"/>
      <c r="V98" s="79"/>
      <c r="AQ98" s="79"/>
      <c r="AR98" s="79"/>
      <c r="AS98" s="79"/>
      <c r="AT98" s="79"/>
      <c r="AU98" s="79"/>
      <c r="AV98" s="79"/>
      <c r="AW98" s="79"/>
      <c r="AX98" s="79"/>
      <c r="AY98" s="79"/>
      <c r="AZ98" s="79"/>
      <c r="BA98" s="79"/>
      <c r="BB98" s="79"/>
      <c r="BC98" s="79"/>
      <c r="BD98" s="79"/>
      <c r="BE98" s="79"/>
      <c r="BF98" s="79"/>
      <c r="BG98" s="79"/>
      <c r="BH98" s="79"/>
      <c r="BK98" s="108"/>
      <c r="BL98" s="108"/>
      <c r="BM98" s="108"/>
      <c r="BN98" s="108"/>
      <c r="BO98" s="108"/>
      <c r="BP98" s="108"/>
      <c r="BQ98" s="108"/>
      <c r="BR98" s="108"/>
      <c r="BS98" s="108"/>
      <c r="BT98" s="108"/>
    </row>
    <row r="99" spans="1:98" ht="7.4" customHeight="1" x14ac:dyDescent="0.5">
      <c r="D99" s="79"/>
      <c r="E99" s="79"/>
      <c r="F99" s="79"/>
      <c r="G99" s="79"/>
      <c r="H99" s="79"/>
      <c r="I99" s="79"/>
      <c r="J99" s="79"/>
      <c r="K99" s="79"/>
      <c r="L99" s="79"/>
      <c r="M99" s="79"/>
      <c r="N99" s="79"/>
      <c r="O99" s="79"/>
      <c r="P99" s="79"/>
      <c r="Q99" s="79"/>
      <c r="R99" s="79"/>
      <c r="S99" s="79"/>
      <c r="T99" s="79"/>
      <c r="U99" s="79"/>
      <c r="V99" s="79"/>
      <c r="AQ99" s="79"/>
      <c r="AR99" s="79"/>
      <c r="AS99" s="79"/>
      <c r="AT99" s="79"/>
      <c r="AU99" s="79"/>
      <c r="AV99" s="79"/>
      <c r="AW99" s="79"/>
      <c r="AX99" s="79"/>
      <c r="AY99" s="79"/>
      <c r="AZ99" s="79"/>
      <c r="BA99" s="79"/>
      <c r="BB99" s="79"/>
      <c r="BC99" s="79"/>
      <c r="BD99" s="79"/>
      <c r="BE99" s="79"/>
      <c r="BF99" s="79"/>
      <c r="BG99" s="79"/>
      <c r="BH99" s="79"/>
      <c r="BK99" s="108"/>
      <c r="BL99" s="108"/>
      <c r="BM99" s="108"/>
      <c r="BN99" s="108"/>
      <c r="BO99" s="108"/>
      <c r="BP99" s="108"/>
      <c r="BQ99" s="108"/>
      <c r="BR99" s="108"/>
      <c r="BS99" s="108"/>
      <c r="BT99" s="108"/>
    </row>
    <row r="100" spans="1:98" ht="7.4" customHeight="1" x14ac:dyDescent="0.5">
      <c r="D100" s="79"/>
      <c r="E100" s="79"/>
      <c r="F100" s="79"/>
      <c r="G100" s="79"/>
      <c r="H100" s="79"/>
      <c r="I100" s="79"/>
      <c r="J100" s="79"/>
      <c r="K100" s="79"/>
      <c r="L100" s="79"/>
      <c r="M100" s="79"/>
      <c r="N100" s="79"/>
      <c r="O100" s="79"/>
      <c r="P100" s="79"/>
      <c r="Q100" s="79"/>
      <c r="R100" s="79"/>
      <c r="S100" s="79"/>
      <c r="T100" s="79"/>
      <c r="U100" s="79"/>
      <c r="V100" s="79"/>
      <c r="AQ100" s="79"/>
      <c r="AR100" s="79"/>
      <c r="AS100" s="79"/>
      <c r="AT100" s="79"/>
      <c r="AU100" s="79"/>
      <c r="AV100" s="79"/>
      <c r="AW100" s="79"/>
      <c r="AX100" s="79"/>
      <c r="AY100" s="79"/>
      <c r="AZ100" s="79"/>
      <c r="BA100" s="79"/>
      <c r="BB100" s="79"/>
      <c r="BC100" s="79"/>
      <c r="BD100" s="79"/>
      <c r="BE100" s="79"/>
      <c r="BF100" s="79"/>
      <c r="BG100" s="79"/>
      <c r="BH100" s="79"/>
      <c r="BK100" s="108"/>
      <c r="BL100" s="108"/>
      <c r="BM100" s="108"/>
      <c r="BN100" s="108"/>
      <c r="BO100" s="108"/>
      <c r="BP100" s="108"/>
      <c r="BQ100" s="108"/>
      <c r="BR100" s="108"/>
      <c r="BS100" s="108"/>
      <c r="BT100" s="108"/>
    </row>
    <row r="101" spans="1:98" ht="7.4" customHeight="1" x14ac:dyDescent="0.5">
      <c r="D101" s="79"/>
      <c r="E101" s="79"/>
      <c r="F101" s="79"/>
      <c r="G101" s="79"/>
      <c r="H101" s="79"/>
      <c r="I101" s="79"/>
      <c r="J101" s="79"/>
      <c r="K101" s="79"/>
      <c r="L101" s="79"/>
      <c r="M101" s="79"/>
      <c r="N101" s="79"/>
      <c r="O101" s="79"/>
      <c r="P101" s="79"/>
      <c r="Q101" s="79"/>
      <c r="R101" s="79"/>
      <c r="S101" s="79"/>
      <c r="T101" s="79"/>
      <c r="U101" s="79"/>
      <c r="V101" s="79"/>
      <c r="AQ101" s="79"/>
      <c r="AR101" s="79"/>
      <c r="AS101" s="79"/>
      <c r="AT101" s="79"/>
      <c r="AU101" s="79"/>
      <c r="AV101" s="79"/>
      <c r="AW101" s="79"/>
      <c r="AX101" s="79"/>
      <c r="AY101" s="79"/>
      <c r="AZ101" s="79"/>
      <c r="BA101" s="79"/>
      <c r="BB101" s="79"/>
      <c r="BC101" s="79"/>
      <c r="BD101" s="79"/>
      <c r="BE101" s="79"/>
      <c r="BF101" s="79"/>
      <c r="BG101" s="79"/>
      <c r="BH101" s="79"/>
      <c r="BK101" s="108"/>
      <c r="BL101" s="108"/>
      <c r="BM101" s="108"/>
      <c r="BN101" s="108"/>
      <c r="BO101" s="108"/>
      <c r="BP101" s="108"/>
      <c r="BQ101" s="108"/>
      <c r="BR101" s="108"/>
      <c r="BS101" s="108"/>
      <c r="BT101" s="108"/>
    </row>
    <row r="102" spans="1:98" ht="7.4" customHeight="1" x14ac:dyDescent="0.5">
      <c r="D102" s="79"/>
      <c r="E102" s="79"/>
      <c r="F102" s="79"/>
      <c r="G102" s="79"/>
      <c r="H102" s="79"/>
      <c r="I102" s="79"/>
      <c r="J102" s="79"/>
      <c r="K102" s="79"/>
      <c r="L102" s="79"/>
      <c r="M102" s="79"/>
      <c r="N102" s="79"/>
      <c r="O102" s="79"/>
      <c r="P102" s="79"/>
      <c r="Q102" s="79"/>
      <c r="R102" s="79"/>
      <c r="S102" s="79"/>
      <c r="T102" s="79"/>
      <c r="U102" s="79"/>
      <c r="V102" s="79"/>
      <c r="AQ102" s="79"/>
      <c r="AR102" s="79"/>
      <c r="AS102" s="79"/>
      <c r="AT102" s="79"/>
      <c r="AU102" s="79"/>
      <c r="AV102" s="79"/>
      <c r="AW102" s="79"/>
      <c r="AX102" s="79"/>
      <c r="AY102" s="79"/>
      <c r="AZ102" s="79"/>
      <c r="BA102" s="79"/>
      <c r="BB102" s="79"/>
      <c r="BC102" s="79"/>
      <c r="BD102" s="79"/>
      <c r="BE102" s="79"/>
      <c r="BF102" s="79"/>
      <c r="BG102" s="79"/>
      <c r="BH102" s="79"/>
      <c r="BK102" s="108"/>
      <c r="BL102" s="108"/>
      <c r="BM102" s="108"/>
      <c r="BN102" s="108"/>
      <c r="BO102" s="108"/>
      <c r="BP102" s="108"/>
      <c r="BQ102" s="108"/>
      <c r="BR102" s="108"/>
      <c r="BS102" s="108"/>
      <c r="BT102" s="108"/>
    </row>
    <row r="103" spans="1:98" ht="7.4" customHeight="1" x14ac:dyDescent="0.5">
      <c r="D103" s="79"/>
      <c r="E103" s="79"/>
      <c r="F103" s="79"/>
      <c r="G103" s="79"/>
      <c r="H103" s="79"/>
      <c r="I103" s="79"/>
      <c r="J103" s="79"/>
      <c r="K103" s="79"/>
      <c r="L103" s="79"/>
      <c r="M103" s="79"/>
      <c r="N103" s="79"/>
      <c r="O103" s="79"/>
      <c r="P103" s="79"/>
      <c r="Q103" s="79"/>
      <c r="R103" s="79"/>
      <c r="S103" s="79"/>
      <c r="T103" s="79"/>
      <c r="U103" s="79"/>
      <c r="V103" s="79"/>
      <c r="W103" s="79"/>
      <c r="X103" s="79"/>
      <c r="Y103" s="79"/>
      <c r="Z103" s="79"/>
      <c r="AA103" s="79"/>
      <c r="AB103" s="79"/>
      <c r="AC103" s="79"/>
      <c r="AD103" s="79"/>
      <c r="AE103" s="79"/>
      <c r="AF103" s="79"/>
      <c r="AG103" s="79"/>
      <c r="AH103" s="79"/>
      <c r="AI103" s="79"/>
      <c r="AJ103" s="79"/>
      <c r="AK103" s="79"/>
      <c r="AL103" s="79"/>
      <c r="AM103" s="79"/>
      <c r="AN103" s="79"/>
      <c r="AO103" s="79"/>
      <c r="AP103" s="79"/>
      <c r="AQ103" s="79"/>
      <c r="AR103" s="79"/>
      <c r="AS103" s="79"/>
      <c r="AT103" s="79"/>
      <c r="AU103" s="79"/>
      <c r="AV103" s="79"/>
      <c r="AW103" s="79"/>
      <c r="AX103" s="79"/>
      <c r="AY103" s="79"/>
      <c r="AZ103" s="79"/>
      <c r="BA103" s="79"/>
      <c r="BB103" s="79"/>
      <c r="BC103" s="79"/>
      <c r="BD103" s="79"/>
      <c r="BE103" s="79"/>
      <c r="BF103" s="79"/>
      <c r="BG103" s="79"/>
      <c r="BH103" s="79"/>
      <c r="BK103" s="108"/>
      <c r="BL103" s="108"/>
      <c r="BM103" s="108"/>
      <c r="BN103" s="108"/>
      <c r="BO103" s="108"/>
      <c r="BP103" s="108"/>
      <c r="BQ103" s="108"/>
      <c r="BR103" s="108"/>
      <c r="BS103" s="108"/>
      <c r="BT103" s="108"/>
    </row>
    <row r="104" spans="1:98" ht="7.4" customHeight="1" x14ac:dyDescent="0.5">
      <c r="D104" s="79"/>
      <c r="E104" s="79"/>
      <c r="F104" s="79"/>
      <c r="G104" s="79"/>
      <c r="H104" s="79"/>
      <c r="I104" s="79"/>
      <c r="J104" s="79"/>
      <c r="K104" s="79"/>
      <c r="L104" s="79"/>
      <c r="M104" s="79"/>
      <c r="N104" s="79"/>
      <c r="O104" s="79"/>
      <c r="P104" s="79"/>
      <c r="Q104" s="79"/>
      <c r="R104" s="79"/>
      <c r="S104" s="79"/>
      <c r="T104" s="79"/>
      <c r="U104" s="79"/>
      <c r="V104" s="79"/>
      <c r="W104" s="79"/>
      <c r="X104" s="79"/>
      <c r="Y104" s="79"/>
      <c r="Z104" s="79"/>
      <c r="AA104" s="79"/>
      <c r="AB104" s="79"/>
      <c r="AC104" s="79"/>
      <c r="AD104" s="79"/>
      <c r="AE104" s="79"/>
      <c r="AF104" s="79"/>
      <c r="AG104" s="79"/>
      <c r="AH104" s="79"/>
      <c r="AI104" s="79"/>
      <c r="AJ104" s="79"/>
      <c r="AK104" s="79"/>
      <c r="AL104" s="79"/>
      <c r="AM104" s="79"/>
      <c r="AN104" s="79"/>
      <c r="AO104" s="79"/>
      <c r="AP104" s="79"/>
      <c r="AQ104" s="79"/>
      <c r="AR104" s="79"/>
      <c r="AS104" s="79"/>
      <c r="AT104" s="79"/>
      <c r="BD104" s="79"/>
      <c r="BE104" s="79"/>
      <c r="BF104" s="79"/>
      <c r="BG104" s="79"/>
      <c r="BH104" s="79"/>
      <c r="BK104" s="108"/>
      <c r="BL104" s="108"/>
      <c r="BM104" s="108"/>
      <c r="BN104" s="108"/>
      <c r="BO104" s="108"/>
      <c r="BP104" s="108"/>
      <c r="BQ104" s="108"/>
      <c r="BR104" s="108"/>
      <c r="BS104" s="108"/>
      <c r="BT104" s="108"/>
    </row>
    <row r="105" spans="1:98" ht="7.4" customHeight="1" x14ac:dyDescent="0.5">
      <c r="D105" s="79"/>
      <c r="E105" s="79"/>
      <c r="F105" s="79"/>
      <c r="G105" s="79"/>
      <c r="H105" s="79"/>
      <c r="I105" s="79"/>
      <c r="J105" s="79"/>
      <c r="K105" s="79"/>
      <c r="L105" s="79"/>
      <c r="M105" s="79"/>
      <c r="N105" s="79"/>
      <c r="O105" s="79"/>
      <c r="P105" s="79"/>
      <c r="Q105" s="79"/>
      <c r="R105" s="79"/>
      <c r="S105" s="79"/>
      <c r="T105" s="79"/>
      <c r="U105" s="79"/>
      <c r="V105" s="79"/>
      <c r="W105" s="79"/>
      <c r="X105" s="79"/>
      <c r="Y105" s="79"/>
      <c r="Z105" s="79"/>
      <c r="AA105" s="79"/>
      <c r="AB105" s="79"/>
      <c r="AC105" s="79"/>
      <c r="AD105" s="79"/>
      <c r="AE105" s="79"/>
      <c r="AF105" s="79"/>
      <c r="AG105" s="79"/>
      <c r="AH105" s="79"/>
      <c r="AI105" s="79"/>
      <c r="AJ105" s="79"/>
      <c r="AK105" s="79"/>
      <c r="AL105" s="79"/>
      <c r="AM105" s="79"/>
      <c r="AN105" s="79"/>
      <c r="AO105" s="79"/>
      <c r="AP105" s="79"/>
      <c r="AQ105" s="79"/>
      <c r="AR105" s="79"/>
      <c r="AS105" s="79"/>
      <c r="AT105" s="79"/>
      <c r="BD105" s="79"/>
      <c r="BE105" s="79"/>
      <c r="BF105" s="79"/>
      <c r="BG105" s="79"/>
      <c r="BH105" s="79"/>
      <c r="BK105" s="108"/>
      <c r="BL105" s="108"/>
      <c r="BM105" s="108"/>
      <c r="BN105" s="108"/>
      <c r="BO105" s="108"/>
      <c r="BP105" s="108"/>
      <c r="BQ105" s="108"/>
      <c r="BR105" s="108"/>
      <c r="BS105" s="108"/>
      <c r="BT105" s="108"/>
    </row>
    <row r="106" spans="1:98" ht="7.4" customHeight="1" x14ac:dyDescent="0.5">
      <c r="D106" s="79"/>
      <c r="E106" s="79"/>
      <c r="F106" s="79"/>
      <c r="G106" s="79"/>
      <c r="H106" s="79"/>
      <c r="I106" s="79"/>
      <c r="J106" s="79"/>
      <c r="K106" s="79"/>
      <c r="L106" s="79"/>
      <c r="M106" s="79"/>
      <c r="N106" s="79"/>
      <c r="O106" s="79"/>
      <c r="P106" s="79"/>
      <c r="Q106" s="79"/>
      <c r="R106" s="79"/>
      <c r="S106" s="79"/>
      <c r="T106" s="79"/>
      <c r="U106" s="79"/>
      <c r="V106" s="79"/>
      <c r="W106" s="79"/>
      <c r="X106" s="79"/>
      <c r="Y106" s="79"/>
      <c r="Z106" s="79"/>
      <c r="AA106" s="79"/>
      <c r="AB106" s="79"/>
      <c r="AC106" s="79"/>
      <c r="AD106" s="79"/>
      <c r="AE106" s="79"/>
      <c r="AF106" s="79"/>
      <c r="AG106" s="79"/>
      <c r="AH106" s="79"/>
      <c r="AI106" s="79"/>
      <c r="AJ106" s="79"/>
      <c r="AK106" s="79"/>
      <c r="AL106" s="79"/>
      <c r="AM106" s="79"/>
      <c r="AN106" s="79"/>
      <c r="AO106" s="79"/>
      <c r="AP106" s="79"/>
      <c r="AQ106" s="79"/>
      <c r="AR106" s="79"/>
      <c r="AS106" s="79"/>
      <c r="AT106" s="79"/>
      <c r="AU106" s="79"/>
      <c r="AV106" s="79"/>
      <c r="AW106" s="79"/>
      <c r="AX106" s="79"/>
      <c r="AY106" s="79"/>
      <c r="AZ106" s="79"/>
      <c r="BA106" s="79"/>
      <c r="BB106" s="79"/>
      <c r="BC106" s="79"/>
      <c r="BD106" s="79"/>
      <c r="BE106" s="79"/>
      <c r="BF106" s="79"/>
      <c r="BG106" s="79"/>
      <c r="BH106" s="79"/>
      <c r="BK106" s="108"/>
      <c r="BL106" s="108"/>
      <c r="BM106" s="108"/>
      <c r="BN106" s="108"/>
      <c r="BO106" s="108"/>
      <c r="BP106" s="108"/>
      <c r="BQ106" s="108"/>
      <c r="BR106" s="108"/>
      <c r="BS106" s="108"/>
      <c r="BT106" s="108"/>
    </row>
    <row r="107" spans="1:98" ht="7.4" customHeight="1" x14ac:dyDescent="0.5">
      <c r="BA107" s="321"/>
      <c r="BB107" s="321"/>
      <c r="BC107" s="321"/>
      <c r="BD107" s="321"/>
      <c r="BE107" s="321"/>
      <c r="BF107" s="321"/>
      <c r="BG107" s="321"/>
      <c r="BH107" s="321"/>
      <c r="BI107" s="321"/>
    </row>
    <row r="108" spans="1:98" ht="7.4" customHeight="1" x14ac:dyDescent="0.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BA108" s="321"/>
      <c r="BB108" s="321"/>
      <c r="BC108" s="321"/>
      <c r="BD108" s="321"/>
      <c r="BE108" s="321"/>
      <c r="BF108" s="321"/>
      <c r="BG108" s="321"/>
      <c r="BH108" s="321"/>
      <c r="BI108" s="321"/>
    </row>
    <row r="109" spans="1:98" ht="7.4" customHeight="1" x14ac:dyDescent="0.5">
      <c r="A109" s="38"/>
      <c r="B109" s="39"/>
      <c r="C109" s="39"/>
      <c r="D109" s="39"/>
      <c r="E109" s="39"/>
      <c r="F109" s="39"/>
      <c r="G109" s="39"/>
      <c r="H109" s="39"/>
      <c r="I109" s="39"/>
      <c r="J109" s="39"/>
      <c r="K109" s="39"/>
      <c r="L109" s="39"/>
      <c r="M109" s="39"/>
      <c r="N109" s="39"/>
      <c r="O109" s="39"/>
      <c r="P109" s="39"/>
      <c r="Q109" s="39"/>
      <c r="R109" s="39"/>
      <c r="S109" s="39"/>
      <c r="T109" s="67"/>
      <c r="U109" s="68"/>
      <c r="V109" s="68"/>
      <c r="W109" s="68"/>
      <c r="X109" s="68"/>
      <c r="Y109" s="68"/>
      <c r="Z109" s="68"/>
      <c r="AA109" s="68"/>
      <c r="AB109" s="68"/>
      <c r="AC109" s="68"/>
      <c r="AD109" s="68"/>
      <c r="AE109" s="68"/>
      <c r="AF109" s="68"/>
      <c r="AG109" s="68"/>
      <c r="AH109" s="68"/>
      <c r="AI109" s="68"/>
      <c r="AJ109" s="68"/>
      <c r="AK109" s="68"/>
      <c r="AL109" s="68"/>
      <c r="AM109" s="68"/>
      <c r="AN109" s="68"/>
      <c r="AO109" s="68"/>
      <c r="AP109" s="69"/>
      <c r="AQ109" s="39"/>
      <c r="AR109" s="39"/>
      <c r="AS109" s="39"/>
      <c r="AT109" s="39"/>
      <c r="AU109" s="39"/>
      <c r="AV109" s="39"/>
      <c r="AW109" s="39"/>
      <c r="AX109" s="39"/>
      <c r="AY109" s="39"/>
      <c r="AZ109" s="39"/>
      <c r="BA109" s="39"/>
      <c r="BB109" s="39"/>
      <c r="BC109" s="39"/>
      <c r="BD109" s="39"/>
      <c r="BE109" s="39"/>
      <c r="BF109" s="39"/>
      <c r="BG109" s="39"/>
      <c r="BH109" s="39"/>
      <c r="BI109" s="40"/>
      <c r="BK109" s="334"/>
      <c r="BL109" s="334"/>
      <c r="BM109" s="334"/>
      <c r="BN109" s="334"/>
      <c r="BO109" s="334"/>
      <c r="BP109" s="334"/>
      <c r="BQ109" s="429"/>
      <c r="BR109" s="429"/>
      <c r="BS109" s="429"/>
      <c r="BT109" s="429"/>
      <c r="BU109" s="429"/>
      <c r="BV109" s="429"/>
      <c r="BW109" s="429"/>
      <c r="BX109" s="429"/>
      <c r="BY109" s="429"/>
      <c r="BZ109" s="429"/>
      <c r="CA109" s="429"/>
      <c r="CB109" s="429"/>
      <c r="CC109" s="334"/>
      <c r="CD109" s="334"/>
      <c r="CE109" s="334"/>
      <c r="CF109" s="334"/>
      <c r="CG109" s="334"/>
      <c r="CH109" s="334"/>
      <c r="CI109" s="333"/>
      <c r="CJ109" s="333"/>
      <c r="CK109" s="333"/>
      <c r="CL109" s="333"/>
      <c r="CM109" s="333"/>
      <c r="CN109" s="333"/>
      <c r="CO109" s="334"/>
      <c r="CP109" s="334"/>
      <c r="CQ109" s="334"/>
      <c r="CR109" s="334"/>
      <c r="CS109" s="334"/>
      <c r="CT109" s="334"/>
    </row>
    <row r="110" spans="1:98" ht="7.4" customHeight="1" x14ac:dyDescent="0.5">
      <c r="A110" s="42"/>
      <c r="T110" s="70"/>
      <c r="U110" s="335" t="str">
        <f>"Roof Top Flush Railless ("&amp;AO35&amp;")"</f>
        <v>Roof Top Flush Railless (IBR)</v>
      </c>
      <c r="V110" s="335"/>
      <c r="W110" s="335"/>
      <c r="X110" s="335"/>
      <c r="Y110" s="335"/>
      <c r="Z110" s="335"/>
      <c r="AA110" s="335"/>
      <c r="AB110" s="335"/>
      <c r="AC110" s="335"/>
      <c r="AD110" s="335"/>
      <c r="AE110" s="335"/>
      <c r="AF110" s="335"/>
      <c r="AG110" s="335"/>
      <c r="AH110" s="335"/>
      <c r="AI110" s="335"/>
      <c r="AJ110" s="335"/>
      <c r="AK110" s="335"/>
      <c r="AL110" s="335"/>
      <c r="AM110" s="335"/>
      <c r="AN110" s="335"/>
      <c r="AO110" s="335"/>
      <c r="AP110" s="71"/>
      <c r="BI110" s="41"/>
      <c r="BK110" s="334"/>
      <c r="BL110" s="334"/>
      <c r="BM110" s="334"/>
      <c r="BN110" s="334"/>
      <c r="BO110" s="334"/>
      <c r="BP110" s="334"/>
      <c r="BQ110" s="429"/>
      <c r="BR110" s="429"/>
      <c r="BS110" s="429"/>
      <c r="BT110" s="429"/>
      <c r="BU110" s="429"/>
      <c r="BV110" s="429"/>
      <c r="BW110" s="429"/>
      <c r="BX110" s="429"/>
      <c r="BY110" s="429"/>
      <c r="BZ110" s="429"/>
      <c r="CA110" s="429"/>
      <c r="CB110" s="429"/>
      <c r="CC110" s="334"/>
      <c r="CD110" s="334"/>
      <c r="CE110" s="334"/>
      <c r="CF110" s="334"/>
      <c r="CG110" s="334"/>
      <c r="CH110" s="334"/>
      <c r="CI110" s="333"/>
      <c r="CJ110" s="333"/>
      <c r="CK110" s="333"/>
      <c r="CL110" s="333"/>
      <c r="CM110" s="333"/>
      <c r="CN110" s="333"/>
      <c r="CO110" s="334"/>
      <c r="CP110" s="334"/>
      <c r="CQ110" s="334"/>
      <c r="CR110" s="334"/>
      <c r="CS110" s="334"/>
      <c r="CT110" s="334"/>
    </row>
    <row r="111" spans="1:98" ht="7.4" customHeight="1" x14ac:dyDescent="0.5">
      <c r="A111" s="42"/>
      <c r="T111" s="70"/>
      <c r="U111" s="335"/>
      <c r="V111" s="335"/>
      <c r="W111" s="335"/>
      <c r="X111" s="335"/>
      <c r="Y111" s="335"/>
      <c r="Z111" s="335"/>
      <c r="AA111" s="335"/>
      <c r="AB111" s="335"/>
      <c r="AC111" s="335"/>
      <c r="AD111" s="335"/>
      <c r="AE111" s="335"/>
      <c r="AF111" s="335"/>
      <c r="AG111" s="335"/>
      <c r="AH111" s="335"/>
      <c r="AI111" s="335"/>
      <c r="AJ111" s="335"/>
      <c r="AK111" s="335"/>
      <c r="AL111" s="335"/>
      <c r="AM111" s="335"/>
      <c r="AN111" s="335"/>
      <c r="AO111" s="335"/>
      <c r="AP111" s="71"/>
      <c r="BI111" s="41"/>
      <c r="BK111" s="427"/>
      <c r="BL111" s="427"/>
      <c r="BM111" s="427"/>
      <c r="BN111" s="427"/>
      <c r="BO111" s="427"/>
      <c r="BP111" s="427"/>
      <c r="BQ111" s="510"/>
      <c r="BR111" s="510"/>
      <c r="BS111" s="510"/>
      <c r="BT111" s="510"/>
      <c r="BU111" s="510"/>
      <c r="BV111" s="510"/>
      <c r="BW111" s="510"/>
      <c r="BX111" s="510"/>
      <c r="BY111" s="510"/>
      <c r="BZ111" s="510"/>
      <c r="CA111" s="510"/>
      <c r="CB111" s="510"/>
      <c r="CC111" s="339"/>
      <c r="CD111" s="339"/>
      <c r="CE111" s="339"/>
      <c r="CF111" s="339"/>
      <c r="CG111" s="339"/>
      <c r="CH111" s="339"/>
      <c r="CI111" s="336"/>
      <c r="CJ111" s="336"/>
      <c r="CK111" s="336"/>
      <c r="CL111" s="336"/>
      <c r="CM111" s="336"/>
      <c r="CN111" s="336"/>
      <c r="CO111" s="336"/>
      <c r="CP111" s="336"/>
      <c r="CQ111" s="336"/>
      <c r="CR111" s="336"/>
      <c r="CS111" s="336"/>
      <c r="CT111" s="336"/>
    </row>
    <row r="112" spans="1:98" ht="7.4" customHeight="1" x14ac:dyDescent="0.5">
      <c r="A112" s="42"/>
      <c r="T112" s="72"/>
      <c r="U112" s="73"/>
      <c r="V112" s="73"/>
      <c r="W112" s="73"/>
      <c r="X112" s="73"/>
      <c r="Y112" s="73"/>
      <c r="Z112" s="73"/>
      <c r="AA112" s="73"/>
      <c r="AB112" s="73"/>
      <c r="AC112" s="73"/>
      <c r="AD112" s="73"/>
      <c r="AE112" s="73"/>
      <c r="AF112" s="73"/>
      <c r="AG112" s="73"/>
      <c r="AH112" s="73"/>
      <c r="AI112" s="73"/>
      <c r="AJ112" s="73"/>
      <c r="AK112" s="73"/>
      <c r="AL112" s="73"/>
      <c r="AM112" s="73"/>
      <c r="AN112" s="73"/>
      <c r="AO112" s="73"/>
      <c r="AP112" s="74"/>
      <c r="BI112" s="41"/>
      <c r="BK112" s="427"/>
      <c r="BL112" s="427"/>
      <c r="BM112" s="427"/>
      <c r="BN112" s="427"/>
      <c r="BO112" s="427"/>
      <c r="BP112" s="427"/>
      <c r="BQ112" s="510"/>
      <c r="BR112" s="510"/>
      <c r="BS112" s="510"/>
      <c r="BT112" s="510"/>
      <c r="BU112" s="510"/>
      <c r="BV112" s="510"/>
      <c r="BW112" s="510"/>
      <c r="BX112" s="510"/>
      <c r="BY112" s="510"/>
      <c r="BZ112" s="510"/>
      <c r="CA112" s="510"/>
      <c r="CB112" s="510"/>
      <c r="CC112" s="339"/>
      <c r="CD112" s="339"/>
      <c r="CE112" s="339"/>
      <c r="CF112" s="339"/>
      <c r="CG112" s="339"/>
      <c r="CH112" s="339"/>
      <c r="CI112" s="336"/>
      <c r="CJ112" s="336"/>
      <c r="CK112" s="336"/>
      <c r="CL112" s="336"/>
      <c r="CM112" s="336"/>
      <c r="CN112" s="336"/>
      <c r="CO112" s="336"/>
      <c r="CP112" s="336"/>
      <c r="CQ112" s="336"/>
      <c r="CR112" s="336"/>
      <c r="CS112" s="336"/>
      <c r="CT112" s="336"/>
    </row>
    <row r="113" spans="1:124" ht="7.4" customHeight="1" x14ac:dyDescent="0.5">
      <c r="A113" s="42"/>
      <c r="BI113" s="41"/>
      <c r="CO113" s="298"/>
      <c r="CP113" s="298"/>
      <c r="CQ113" s="298"/>
      <c r="CR113" s="298"/>
      <c r="CS113" s="298"/>
      <c r="CT113" s="298"/>
    </row>
    <row r="114" spans="1:124" ht="7.4" customHeight="1" x14ac:dyDescent="0.5">
      <c r="A114" s="42"/>
      <c r="B114" s="29"/>
      <c r="C114" s="422" t="s">
        <v>49</v>
      </c>
      <c r="D114" s="422"/>
      <c r="E114" s="423"/>
      <c r="F114" s="29"/>
      <c r="G114" s="422" t="s">
        <v>50</v>
      </c>
      <c r="H114" s="422"/>
      <c r="I114" s="422"/>
      <c r="J114" s="422"/>
      <c r="K114" s="422"/>
      <c r="L114" s="422"/>
      <c r="M114" s="422"/>
      <c r="N114" s="422"/>
      <c r="O114" s="422"/>
      <c r="P114" s="422"/>
      <c r="Q114" s="422"/>
      <c r="R114" s="423"/>
      <c r="S114" s="29"/>
      <c r="T114" s="422" t="s">
        <v>51</v>
      </c>
      <c r="U114" s="422"/>
      <c r="V114" s="422"/>
      <c r="W114" s="422"/>
      <c r="X114" s="422"/>
      <c r="Y114" s="422"/>
      <c r="Z114" s="422"/>
      <c r="AA114" s="422"/>
      <c r="AB114" s="422"/>
      <c r="AC114" s="422"/>
      <c r="AD114" s="422"/>
      <c r="AE114" s="422"/>
      <c r="AF114" s="422"/>
      <c r="AG114" s="422"/>
      <c r="AH114" s="422"/>
      <c r="AI114" s="422"/>
      <c r="AJ114" s="423"/>
      <c r="AK114" s="29"/>
      <c r="AL114" s="422" t="s">
        <v>106</v>
      </c>
      <c r="AM114" s="422"/>
      <c r="AN114" s="422"/>
      <c r="AO114" s="422"/>
      <c r="AP114" s="423"/>
      <c r="AQ114" s="299" t="s">
        <v>53</v>
      </c>
      <c r="AR114" s="363"/>
      <c r="AS114" s="363"/>
      <c r="AT114" s="363"/>
      <c r="AU114" s="363"/>
      <c r="AV114" s="363"/>
      <c r="AW114" s="363"/>
      <c r="AX114" s="363"/>
      <c r="AY114" s="363"/>
      <c r="AZ114" s="363"/>
      <c r="BA114" s="363"/>
      <c r="BB114" s="363"/>
      <c r="BC114" s="363"/>
      <c r="BD114" s="363"/>
      <c r="BE114" s="363"/>
      <c r="BF114" s="363"/>
      <c r="BG114" s="363"/>
      <c r="BH114" s="364"/>
      <c r="BI114" s="41"/>
      <c r="BK114" s="81"/>
      <c r="BL114" s="77"/>
      <c r="BM114" s="40"/>
      <c r="BN114" s="77"/>
      <c r="BO114" s="77"/>
      <c r="BP114" s="40"/>
      <c r="BQ114" s="81"/>
      <c r="BR114" s="77"/>
      <c r="BS114" s="40"/>
      <c r="BT114" s="81"/>
      <c r="BU114" s="77"/>
      <c r="BV114" s="40"/>
      <c r="BW114" s="81"/>
      <c r="BX114" s="77"/>
      <c r="BY114" s="40"/>
      <c r="BZ114" s="81"/>
      <c r="CA114" s="77"/>
      <c r="CB114" s="40"/>
      <c r="CC114" s="81"/>
      <c r="CD114" s="77"/>
      <c r="CE114" s="40"/>
      <c r="CF114" s="81"/>
      <c r="CG114" s="77"/>
      <c r="CH114" s="40"/>
      <c r="CI114" s="81"/>
      <c r="CJ114" s="77"/>
      <c r="CK114" s="40"/>
      <c r="CL114" s="81"/>
      <c r="CM114" s="77"/>
      <c r="CN114" s="40"/>
      <c r="CO114" s="81"/>
      <c r="CP114" s="77"/>
      <c r="CQ114" s="40"/>
      <c r="CR114" s="81"/>
      <c r="CS114" s="77"/>
      <c r="CT114" s="40"/>
      <c r="CU114" s="81"/>
      <c r="CV114" s="77"/>
      <c r="CW114" s="40"/>
      <c r="CX114" s="81"/>
      <c r="CY114" s="77"/>
      <c r="CZ114" s="40"/>
      <c r="DA114" s="81"/>
      <c r="DB114" s="77"/>
      <c r="DC114" s="40"/>
      <c r="DD114" s="81"/>
      <c r="DE114" s="77"/>
      <c r="DF114" s="40"/>
    </row>
    <row r="115" spans="1:124" ht="7.4" customHeight="1" x14ac:dyDescent="0.5">
      <c r="A115" s="42"/>
      <c r="B115" s="32"/>
      <c r="C115" s="408"/>
      <c r="D115" s="408"/>
      <c r="E115" s="424"/>
      <c r="F115" s="32"/>
      <c r="G115" s="408"/>
      <c r="H115" s="408"/>
      <c r="I115" s="408"/>
      <c r="J115" s="408"/>
      <c r="K115" s="408"/>
      <c r="L115" s="408"/>
      <c r="M115" s="408"/>
      <c r="N115" s="408"/>
      <c r="O115" s="408"/>
      <c r="P115" s="408"/>
      <c r="Q115" s="408"/>
      <c r="R115" s="424"/>
      <c r="S115" s="32"/>
      <c r="T115" s="408"/>
      <c r="U115" s="408"/>
      <c r="V115" s="408"/>
      <c r="W115" s="408"/>
      <c r="X115" s="408"/>
      <c r="Y115" s="408"/>
      <c r="Z115" s="408"/>
      <c r="AA115" s="408"/>
      <c r="AB115" s="408"/>
      <c r="AC115" s="408"/>
      <c r="AD115" s="408"/>
      <c r="AE115" s="408"/>
      <c r="AF115" s="408"/>
      <c r="AG115" s="408"/>
      <c r="AH115" s="408"/>
      <c r="AI115" s="408"/>
      <c r="AJ115" s="424"/>
      <c r="AK115" s="32"/>
      <c r="AL115" s="408"/>
      <c r="AM115" s="408"/>
      <c r="AN115" s="408"/>
      <c r="AO115" s="408"/>
      <c r="AP115" s="424"/>
      <c r="AQ115" s="365"/>
      <c r="AR115" s="366"/>
      <c r="AS115" s="366"/>
      <c r="AT115" s="366"/>
      <c r="AU115" s="366"/>
      <c r="AV115" s="366"/>
      <c r="AW115" s="366"/>
      <c r="AX115" s="366"/>
      <c r="AY115" s="366"/>
      <c r="AZ115" s="366"/>
      <c r="BA115" s="366"/>
      <c r="BB115" s="366"/>
      <c r="BC115" s="366"/>
      <c r="BD115" s="366"/>
      <c r="BE115" s="366"/>
      <c r="BF115" s="366"/>
      <c r="BG115" s="366"/>
      <c r="BH115" s="367"/>
      <c r="BI115" s="41"/>
      <c r="BK115" s="420" t="s">
        <v>20</v>
      </c>
      <c r="BL115" s="333"/>
      <c r="BM115" s="421"/>
      <c r="BN115" s="420" t="s">
        <v>107</v>
      </c>
      <c r="BO115" s="333"/>
      <c r="BP115" s="421"/>
      <c r="BQ115" s="420" t="s">
        <v>108</v>
      </c>
      <c r="BR115" s="333"/>
      <c r="BS115" s="421"/>
      <c r="BT115" s="420" t="s">
        <v>109</v>
      </c>
      <c r="BU115" s="333"/>
      <c r="BV115" s="421"/>
      <c r="BW115" s="420" t="s">
        <v>110</v>
      </c>
      <c r="BX115" s="333"/>
      <c r="BY115" s="421"/>
      <c r="BZ115" s="420" t="s">
        <v>111</v>
      </c>
      <c r="CA115" s="333"/>
      <c r="CB115" s="421"/>
      <c r="CC115" s="420" t="s">
        <v>112</v>
      </c>
      <c r="CD115" s="333"/>
      <c r="CE115" s="421"/>
      <c r="CF115" s="420" t="s">
        <v>113</v>
      </c>
      <c r="CG115" s="333"/>
      <c r="CH115" s="421"/>
      <c r="CI115" s="420" t="s">
        <v>114</v>
      </c>
      <c r="CJ115" s="333"/>
      <c r="CK115" s="421"/>
      <c r="CL115" s="420" t="s">
        <v>115</v>
      </c>
      <c r="CM115" s="333"/>
      <c r="CN115" s="421"/>
      <c r="CO115" s="420" t="s">
        <v>116</v>
      </c>
      <c r="CP115" s="333"/>
      <c r="CQ115" s="421"/>
      <c r="CR115" s="420" t="s">
        <v>117</v>
      </c>
      <c r="CS115" s="333"/>
      <c r="CT115" s="421"/>
      <c r="CU115" s="420" t="s">
        <v>118</v>
      </c>
      <c r="CV115" s="333"/>
      <c r="CW115" s="421"/>
      <c r="CX115" s="420" t="s">
        <v>119</v>
      </c>
      <c r="CY115" s="333"/>
      <c r="CZ115" s="421"/>
      <c r="DA115" s="420" t="s">
        <v>120</v>
      </c>
      <c r="DB115" s="333"/>
      <c r="DC115" s="421"/>
      <c r="DD115" s="420" t="s">
        <v>121</v>
      </c>
      <c r="DE115" s="333"/>
      <c r="DF115" s="421"/>
      <c r="DH115" s="331"/>
      <c r="DI115" s="331"/>
      <c r="DJ115" s="331"/>
      <c r="DK115" s="331"/>
      <c r="DL115" s="311"/>
      <c r="DM115" s="311"/>
      <c r="DN115" s="311"/>
      <c r="DO115" s="311"/>
      <c r="DP115" s="311"/>
      <c r="DQ115" s="311"/>
      <c r="DR115" s="311"/>
      <c r="DS115" s="311"/>
      <c r="DT115" s="311"/>
    </row>
    <row r="116" spans="1:124" ht="7.4" customHeight="1" x14ac:dyDescent="0.5">
      <c r="A116" s="42"/>
      <c r="B116" s="32"/>
      <c r="C116" s="408"/>
      <c r="D116" s="408"/>
      <c r="E116" s="424"/>
      <c r="F116" s="32"/>
      <c r="G116" s="408"/>
      <c r="H116" s="408"/>
      <c r="I116" s="408"/>
      <c r="J116" s="408"/>
      <c r="K116" s="408"/>
      <c r="L116" s="408"/>
      <c r="M116" s="408"/>
      <c r="N116" s="408"/>
      <c r="O116" s="408"/>
      <c r="P116" s="408"/>
      <c r="Q116" s="408"/>
      <c r="R116" s="424"/>
      <c r="S116" s="32"/>
      <c r="T116" s="408"/>
      <c r="U116" s="408"/>
      <c r="V116" s="408"/>
      <c r="W116" s="408"/>
      <c r="X116" s="408"/>
      <c r="Y116" s="408"/>
      <c r="Z116" s="408"/>
      <c r="AA116" s="408"/>
      <c r="AB116" s="408"/>
      <c r="AC116" s="408"/>
      <c r="AD116" s="408"/>
      <c r="AE116" s="408"/>
      <c r="AF116" s="408"/>
      <c r="AG116" s="408"/>
      <c r="AH116" s="408"/>
      <c r="AI116" s="408"/>
      <c r="AJ116" s="424"/>
      <c r="AK116" s="32"/>
      <c r="AL116" s="408"/>
      <c r="AM116" s="408"/>
      <c r="AN116" s="408"/>
      <c r="AO116" s="408"/>
      <c r="AP116" s="424"/>
      <c r="AQ116" s="365"/>
      <c r="AR116" s="366"/>
      <c r="AS116" s="366"/>
      <c r="AT116" s="366"/>
      <c r="AU116" s="366"/>
      <c r="AV116" s="366"/>
      <c r="AW116" s="366"/>
      <c r="AX116" s="366"/>
      <c r="AY116" s="366"/>
      <c r="AZ116" s="366"/>
      <c r="BA116" s="366"/>
      <c r="BB116" s="366"/>
      <c r="BC116" s="366"/>
      <c r="BD116" s="366"/>
      <c r="BE116" s="366"/>
      <c r="BF116" s="366"/>
      <c r="BG116" s="366"/>
      <c r="BH116" s="367"/>
      <c r="BI116" s="41"/>
      <c r="BK116" s="420"/>
      <c r="BL116" s="333"/>
      <c r="BM116" s="421"/>
      <c r="BN116" s="420"/>
      <c r="BO116" s="333"/>
      <c r="BP116" s="421"/>
      <c r="BQ116" s="420"/>
      <c r="BR116" s="333"/>
      <c r="BS116" s="421"/>
      <c r="BT116" s="420"/>
      <c r="BU116" s="333"/>
      <c r="BV116" s="421"/>
      <c r="BW116" s="420"/>
      <c r="BX116" s="333"/>
      <c r="BY116" s="421"/>
      <c r="BZ116" s="420"/>
      <c r="CA116" s="333"/>
      <c r="CB116" s="421"/>
      <c r="CC116" s="420"/>
      <c r="CD116" s="333"/>
      <c r="CE116" s="421"/>
      <c r="CF116" s="420"/>
      <c r="CG116" s="333"/>
      <c r="CH116" s="421"/>
      <c r="CI116" s="420"/>
      <c r="CJ116" s="333"/>
      <c r="CK116" s="421"/>
      <c r="CL116" s="420"/>
      <c r="CM116" s="333"/>
      <c r="CN116" s="421"/>
      <c r="CO116" s="420"/>
      <c r="CP116" s="333"/>
      <c r="CQ116" s="421"/>
      <c r="CR116" s="420"/>
      <c r="CS116" s="333"/>
      <c r="CT116" s="421"/>
      <c r="CU116" s="420"/>
      <c r="CV116" s="333"/>
      <c r="CW116" s="421"/>
      <c r="CX116" s="420"/>
      <c r="CY116" s="333"/>
      <c r="CZ116" s="421"/>
      <c r="DA116" s="420"/>
      <c r="DB116" s="333"/>
      <c r="DC116" s="421"/>
      <c r="DD116" s="420"/>
      <c r="DE116" s="333"/>
      <c r="DF116" s="421"/>
      <c r="DH116" s="331"/>
      <c r="DI116" s="331"/>
      <c r="DJ116" s="331"/>
      <c r="DK116" s="331"/>
      <c r="DL116" s="311"/>
      <c r="DM116" s="311"/>
      <c r="DN116" s="311"/>
      <c r="DO116" s="311"/>
      <c r="DP116" s="311"/>
      <c r="DQ116" s="311"/>
      <c r="DR116" s="311"/>
      <c r="DS116" s="311"/>
      <c r="DT116" s="311"/>
    </row>
    <row r="117" spans="1:124" ht="7.4" customHeight="1" x14ac:dyDescent="0.5">
      <c r="A117" s="42"/>
      <c r="B117" s="35"/>
      <c r="C117" s="425"/>
      <c r="D117" s="425"/>
      <c r="E117" s="426"/>
      <c r="F117" s="35"/>
      <c r="G117" s="425"/>
      <c r="H117" s="425"/>
      <c r="I117" s="425"/>
      <c r="J117" s="425"/>
      <c r="K117" s="425"/>
      <c r="L117" s="425"/>
      <c r="M117" s="425"/>
      <c r="N117" s="425"/>
      <c r="O117" s="425"/>
      <c r="P117" s="425"/>
      <c r="Q117" s="425"/>
      <c r="R117" s="426"/>
      <c r="S117" s="35"/>
      <c r="T117" s="425"/>
      <c r="U117" s="425"/>
      <c r="V117" s="425"/>
      <c r="W117" s="425"/>
      <c r="X117" s="425"/>
      <c r="Y117" s="425"/>
      <c r="Z117" s="425"/>
      <c r="AA117" s="425"/>
      <c r="AB117" s="425"/>
      <c r="AC117" s="425"/>
      <c r="AD117" s="425"/>
      <c r="AE117" s="425"/>
      <c r="AF117" s="425"/>
      <c r="AG117" s="425"/>
      <c r="AH117" s="425"/>
      <c r="AI117" s="425"/>
      <c r="AJ117" s="426"/>
      <c r="AK117" s="35"/>
      <c r="AL117" s="425"/>
      <c r="AM117" s="425"/>
      <c r="AN117" s="425"/>
      <c r="AO117" s="425"/>
      <c r="AP117" s="426"/>
      <c r="AQ117" s="365"/>
      <c r="AR117" s="366"/>
      <c r="AS117" s="366"/>
      <c r="AT117" s="366"/>
      <c r="AU117" s="366"/>
      <c r="AV117" s="366"/>
      <c r="AW117" s="366"/>
      <c r="AX117" s="366"/>
      <c r="AY117" s="366"/>
      <c r="AZ117" s="366"/>
      <c r="BA117" s="366"/>
      <c r="BB117" s="366"/>
      <c r="BC117" s="366"/>
      <c r="BD117" s="366"/>
      <c r="BE117" s="366"/>
      <c r="BF117" s="366"/>
      <c r="BG117" s="366"/>
      <c r="BH117" s="367"/>
      <c r="BI117" s="41"/>
      <c r="BK117" s="174"/>
      <c r="BL117" s="135"/>
      <c r="BM117" s="52"/>
      <c r="BN117" s="135"/>
      <c r="BO117" s="135"/>
      <c r="BP117" s="52"/>
      <c r="BQ117" s="174"/>
      <c r="BR117" s="135"/>
      <c r="BS117" s="52"/>
      <c r="BT117" s="174"/>
      <c r="BU117" s="135"/>
      <c r="BV117" s="52"/>
      <c r="BW117" s="174"/>
      <c r="BX117" s="135"/>
      <c r="BY117" s="52"/>
      <c r="BZ117" s="174"/>
      <c r="CA117" s="135"/>
      <c r="CB117" s="52"/>
      <c r="CC117" s="174"/>
      <c r="CD117" s="135"/>
      <c r="CE117" s="52"/>
      <c r="CF117" s="174"/>
      <c r="CG117" s="135"/>
      <c r="CH117" s="52"/>
      <c r="CI117" s="174"/>
      <c r="CJ117" s="135"/>
      <c r="CK117" s="52"/>
      <c r="CL117" s="174"/>
      <c r="CM117" s="135"/>
      <c r="CN117" s="52"/>
      <c r="CO117" s="174"/>
      <c r="CP117" s="135"/>
      <c r="CQ117" s="52"/>
      <c r="CR117" s="174"/>
      <c r="CS117" s="135"/>
      <c r="CT117" s="52"/>
      <c r="CU117" s="174"/>
      <c r="CV117" s="135"/>
      <c r="CW117" s="52"/>
      <c r="CX117" s="174"/>
      <c r="CY117" s="135"/>
      <c r="CZ117" s="52"/>
      <c r="DA117" s="174"/>
      <c r="DB117" s="135"/>
      <c r="DC117" s="52"/>
      <c r="DD117" s="174"/>
      <c r="DE117" s="135"/>
      <c r="DF117" s="52"/>
    </row>
    <row r="118" spans="1:124" ht="7.4" customHeight="1" x14ac:dyDescent="0.5">
      <c r="A118" s="42"/>
      <c r="B118" s="38"/>
      <c r="C118" s="39"/>
      <c r="D118" s="39"/>
      <c r="E118" s="40"/>
      <c r="F118" s="38"/>
      <c r="G118" s="140"/>
      <c r="H118" s="140"/>
      <c r="I118" s="140"/>
      <c r="J118" s="140"/>
      <c r="K118" s="140"/>
      <c r="L118" s="140"/>
      <c r="M118" s="140"/>
      <c r="N118" s="140"/>
      <c r="O118" s="140"/>
      <c r="P118" s="140"/>
      <c r="Q118" s="140"/>
      <c r="R118" s="193"/>
      <c r="S118" s="38"/>
      <c r="T118" s="39"/>
      <c r="U118" s="39"/>
      <c r="V118" s="39"/>
      <c r="W118" s="39"/>
      <c r="X118" s="39"/>
      <c r="Y118" s="39"/>
      <c r="Z118" s="39"/>
      <c r="AA118" s="39"/>
      <c r="AB118" s="39"/>
      <c r="AC118" s="39"/>
      <c r="AD118" s="39"/>
      <c r="AE118" s="39"/>
      <c r="AF118" s="39"/>
      <c r="AG118" s="39"/>
      <c r="AH118" s="39"/>
      <c r="AI118" s="39"/>
      <c r="AJ118" s="40"/>
      <c r="AK118" s="38"/>
      <c r="AL118" s="39"/>
      <c r="AM118" s="39"/>
      <c r="AN118" s="39"/>
      <c r="AO118" s="39"/>
      <c r="AP118" s="39"/>
      <c r="AQ118" s="38"/>
      <c r="AR118" s="39"/>
      <c r="AS118" s="39"/>
      <c r="AT118" s="39"/>
      <c r="AU118" s="39"/>
      <c r="AV118" s="39"/>
      <c r="AW118" s="39"/>
      <c r="AX118" s="39"/>
      <c r="AY118" s="39"/>
      <c r="AZ118" s="39"/>
      <c r="BA118" s="39"/>
      <c r="BB118" s="39"/>
      <c r="BC118" s="39"/>
      <c r="BD118" s="39"/>
      <c r="BE118" s="39"/>
      <c r="BF118" s="39"/>
      <c r="BG118" s="39"/>
      <c r="BH118" s="40"/>
      <c r="BI118" s="41"/>
      <c r="BK118" s="415"/>
      <c r="BL118" s="416"/>
      <c r="BM118" s="417"/>
      <c r="BN118" s="415"/>
      <c r="BO118" s="416"/>
      <c r="BP118" s="417"/>
      <c r="BQ118" s="415"/>
      <c r="BR118" s="416"/>
      <c r="BS118" s="417"/>
      <c r="BT118" s="415"/>
      <c r="BU118" s="416"/>
      <c r="BV118" s="417"/>
      <c r="BW118" s="415"/>
      <c r="BX118" s="416"/>
      <c r="BY118" s="417"/>
      <c r="BZ118" s="415"/>
      <c r="CA118" s="416"/>
      <c r="CB118" s="417"/>
      <c r="CC118" s="415"/>
      <c r="CD118" s="416"/>
      <c r="CE118" s="417"/>
      <c r="CF118" s="415"/>
      <c r="CG118" s="416"/>
      <c r="CH118" s="417"/>
      <c r="CI118" s="415"/>
      <c r="CJ118" s="416"/>
      <c r="CK118" s="417"/>
      <c r="CL118" s="415"/>
      <c r="CM118" s="416"/>
      <c r="CN118" s="417"/>
      <c r="CO118" s="415"/>
      <c r="CP118" s="416"/>
      <c r="CQ118" s="417"/>
      <c r="CR118" s="415"/>
      <c r="CS118" s="416"/>
      <c r="CT118" s="417"/>
      <c r="CU118" s="415"/>
      <c r="CV118" s="416"/>
      <c r="CW118" s="417"/>
      <c r="CX118" s="415"/>
      <c r="CY118" s="416"/>
      <c r="CZ118" s="417"/>
      <c r="DA118" s="415"/>
      <c r="DB118" s="416"/>
      <c r="DC118" s="417"/>
      <c r="DD118" s="415"/>
      <c r="DE118" s="416"/>
      <c r="DF118" s="417"/>
    </row>
    <row r="119" spans="1:124" ht="7.4" customHeight="1" x14ac:dyDescent="0.5">
      <c r="A119" s="42"/>
      <c r="B119" s="42"/>
      <c r="C119" s="419">
        <v>1</v>
      </c>
      <c r="D119" s="419"/>
      <c r="E119" s="41"/>
      <c r="F119" s="42"/>
      <c r="G119" s="319" t="str">
        <f>IF($N$70="Included","AXE_CM_CF_"&amp;$AM$45,"AXE_CM_AP")&amp;"_AL"</f>
        <v>AXE_CM_CF_30_AL</v>
      </c>
      <c r="H119" s="319"/>
      <c r="I119" s="319"/>
      <c r="J119" s="319"/>
      <c r="K119" s="319"/>
      <c r="L119" s="319"/>
      <c r="M119" s="319"/>
      <c r="N119" s="319"/>
      <c r="O119" s="319"/>
      <c r="P119" s="319"/>
      <c r="Q119" s="319"/>
      <c r="R119" s="320"/>
      <c r="S119" s="42"/>
      <c r="T119" s="521" t="str">
        <f>VLOOKUP(G119,PL!$B$9:$BH$1265,14,FALSE)</f>
        <v>Mid Clamp</v>
      </c>
      <c r="U119" s="521"/>
      <c r="V119" s="521"/>
      <c r="W119" s="521"/>
      <c r="X119" s="521"/>
      <c r="Y119" s="521"/>
      <c r="Z119" s="521"/>
      <c r="AA119" s="521"/>
      <c r="AB119" s="521"/>
      <c r="AC119" s="521"/>
      <c r="AD119" s="521"/>
      <c r="AE119" s="521"/>
      <c r="AF119" s="521"/>
      <c r="AG119" s="521"/>
      <c r="AH119" s="521"/>
      <c r="AI119" s="521"/>
      <c r="AJ119" s="522"/>
      <c r="AK119" s="42"/>
      <c r="AL119" s="311">
        <f>ROUND(SUM(BK119:DF119)*(1+$BF$66),0)</f>
        <v>184</v>
      </c>
      <c r="AM119" s="311"/>
      <c r="AN119" s="311"/>
      <c r="AO119" s="311"/>
      <c r="AP119" s="43"/>
      <c r="AQ119" s="111"/>
      <c r="AR119" s="308" t="str">
        <f>VLOOKUP(G119,PL!$B$9:$BH$818,52,FALSE)</f>
        <v>SOL-580101</v>
      </c>
      <c r="AS119" s="309"/>
      <c r="AT119" s="309"/>
      <c r="AU119" s="309"/>
      <c r="AV119" s="309"/>
      <c r="AW119" s="309"/>
      <c r="AX119" s="309"/>
      <c r="AY119" s="309"/>
      <c r="AZ119" s="309"/>
      <c r="BA119" s="309"/>
      <c r="BB119" s="309"/>
      <c r="BC119" s="309"/>
      <c r="BD119" s="309"/>
      <c r="BE119" s="309"/>
      <c r="BF119" s="309"/>
      <c r="BG119" s="309"/>
      <c r="BH119" s="124"/>
      <c r="BI119" s="41"/>
      <c r="BK119" s="412">
        <f>M54*M58*2-BK123/2</f>
        <v>180</v>
      </c>
      <c r="BL119" s="413"/>
      <c r="BM119" s="414"/>
      <c r="BN119" s="412">
        <f>P54*P58*2-BN123/2</f>
        <v>0</v>
      </c>
      <c r="BO119" s="413"/>
      <c r="BP119" s="414"/>
      <c r="BQ119" s="412">
        <f>S54*S58*2-BQ123/2</f>
        <v>0</v>
      </c>
      <c r="BR119" s="413"/>
      <c r="BS119" s="414"/>
      <c r="BT119" s="412">
        <f>V54*V58*2-BT123/2</f>
        <v>0</v>
      </c>
      <c r="BU119" s="413"/>
      <c r="BV119" s="414"/>
      <c r="BW119" s="412">
        <f>Y54*Y58*2-BW123/2</f>
        <v>0</v>
      </c>
      <c r="BX119" s="413"/>
      <c r="BY119" s="414"/>
      <c r="BZ119" s="412">
        <f>AB54*AB58*2-BZ123/2</f>
        <v>0</v>
      </c>
      <c r="CA119" s="413"/>
      <c r="CB119" s="414"/>
      <c r="CC119" s="412">
        <f>AE54*AE58*2-CC123/2</f>
        <v>0</v>
      </c>
      <c r="CD119" s="413"/>
      <c r="CE119" s="414"/>
      <c r="CF119" s="412">
        <f>AH54*AH58*2-CF123/2</f>
        <v>0</v>
      </c>
      <c r="CG119" s="413"/>
      <c r="CH119" s="414"/>
      <c r="CI119" s="412">
        <f>AK54*AK58*2-CI123/2</f>
        <v>0</v>
      </c>
      <c r="CJ119" s="413"/>
      <c r="CK119" s="414"/>
      <c r="CL119" s="412">
        <f>AN54*AN58*2-CL123/2</f>
        <v>0</v>
      </c>
      <c r="CM119" s="413"/>
      <c r="CN119" s="414"/>
      <c r="CO119" s="412">
        <f>AQ54*AQ58*2-CO123/2</f>
        <v>0</v>
      </c>
      <c r="CP119" s="413"/>
      <c r="CQ119" s="414"/>
      <c r="CR119" s="412">
        <f>AT54*AT58*2-CR123/2</f>
        <v>0</v>
      </c>
      <c r="CS119" s="413"/>
      <c r="CT119" s="414"/>
      <c r="CU119" s="412">
        <f>AW54*AW58*2-CU123/2</f>
        <v>0</v>
      </c>
      <c r="CV119" s="413"/>
      <c r="CW119" s="414"/>
      <c r="CX119" s="412">
        <f>AZ54*AZ58*2-CX123/2</f>
        <v>0</v>
      </c>
      <c r="CY119" s="413"/>
      <c r="CZ119" s="414"/>
      <c r="DA119" s="412">
        <f>BC54*BC58*2-DA123/2</f>
        <v>0</v>
      </c>
      <c r="DB119" s="413"/>
      <c r="DC119" s="414"/>
      <c r="DD119" s="412">
        <f>BF54*BF58*2-DD123/2</f>
        <v>0</v>
      </c>
      <c r="DE119" s="413"/>
      <c r="DF119" s="414"/>
      <c r="DH119" s="311"/>
      <c r="DI119" s="311"/>
      <c r="DJ119" s="311"/>
      <c r="DK119" s="311"/>
      <c r="DL119" s="321"/>
      <c r="DM119" s="321"/>
      <c r="DN119" s="321"/>
      <c r="DO119" s="321"/>
      <c r="DP119" s="321"/>
      <c r="DQ119" s="321"/>
      <c r="DR119" s="321"/>
      <c r="DS119" s="321"/>
    </row>
    <row r="120" spans="1:124" ht="7.4" customHeight="1" x14ac:dyDescent="0.5">
      <c r="A120" s="42"/>
      <c r="B120" s="42"/>
      <c r="C120" s="419"/>
      <c r="D120" s="419"/>
      <c r="E120" s="41"/>
      <c r="F120" s="42"/>
      <c r="G120" s="319"/>
      <c r="H120" s="319"/>
      <c r="I120" s="319"/>
      <c r="J120" s="319"/>
      <c r="K120" s="319"/>
      <c r="L120" s="319"/>
      <c r="M120" s="319"/>
      <c r="N120" s="319"/>
      <c r="O120" s="319"/>
      <c r="P120" s="319"/>
      <c r="Q120" s="319"/>
      <c r="R120" s="320"/>
      <c r="S120" s="42"/>
      <c r="T120" s="521"/>
      <c r="U120" s="521"/>
      <c r="V120" s="521"/>
      <c r="W120" s="521"/>
      <c r="X120" s="521"/>
      <c r="Y120" s="521"/>
      <c r="Z120" s="521"/>
      <c r="AA120" s="521"/>
      <c r="AB120" s="521"/>
      <c r="AC120" s="521"/>
      <c r="AD120" s="521"/>
      <c r="AE120" s="521"/>
      <c r="AF120" s="521"/>
      <c r="AG120" s="521"/>
      <c r="AH120" s="521"/>
      <c r="AI120" s="521"/>
      <c r="AJ120" s="522"/>
      <c r="AK120" s="42"/>
      <c r="AL120" s="311"/>
      <c r="AM120" s="311"/>
      <c r="AN120" s="311"/>
      <c r="AO120" s="311"/>
      <c r="AP120" s="43"/>
      <c r="AQ120" s="111"/>
      <c r="AR120" s="309"/>
      <c r="AS120" s="309"/>
      <c r="AT120" s="309"/>
      <c r="AU120" s="309"/>
      <c r="AV120" s="309"/>
      <c r="AW120" s="309"/>
      <c r="AX120" s="309"/>
      <c r="AY120" s="309"/>
      <c r="AZ120" s="309"/>
      <c r="BA120" s="309"/>
      <c r="BB120" s="309"/>
      <c r="BC120" s="309"/>
      <c r="BD120" s="309"/>
      <c r="BE120" s="309"/>
      <c r="BF120" s="309"/>
      <c r="BG120" s="309"/>
      <c r="BH120" s="124"/>
      <c r="BI120" s="41"/>
      <c r="BK120" s="412"/>
      <c r="BL120" s="413"/>
      <c r="BM120" s="414"/>
      <c r="BN120" s="412"/>
      <c r="BO120" s="413"/>
      <c r="BP120" s="414"/>
      <c r="BQ120" s="412"/>
      <c r="BR120" s="413"/>
      <c r="BS120" s="414"/>
      <c r="BT120" s="412"/>
      <c r="BU120" s="413"/>
      <c r="BV120" s="414"/>
      <c r="BW120" s="412"/>
      <c r="BX120" s="413"/>
      <c r="BY120" s="414"/>
      <c r="BZ120" s="412"/>
      <c r="CA120" s="413"/>
      <c r="CB120" s="414"/>
      <c r="CC120" s="412"/>
      <c r="CD120" s="413"/>
      <c r="CE120" s="414"/>
      <c r="CF120" s="412"/>
      <c r="CG120" s="413"/>
      <c r="CH120" s="414"/>
      <c r="CI120" s="412"/>
      <c r="CJ120" s="413"/>
      <c r="CK120" s="414"/>
      <c r="CL120" s="412"/>
      <c r="CM120" s="413"/>
      <c r="CN120" s="414"/>
      <c r="CO120" s="412"/>
      <c r="CP120" s="413"/>
      <c r="CQ120" s="414"/>
      <c r="CR120" s="412"/>
      <c r="CS120" s="413"/>
      <c r="CT120" s="414"/>
      <c r="CU120" s="412"/>
      <c r="CV120" s="413"/>
      <c r="CW120" s="414"/>
      <c r="CX120" s="412"/>
      <c r="CY120" s="413"/>
      <c r="CZ120" s="414"/>
      <c r="DA120" s="412"/>
      <c r="DB120" s="413"/>
      <c r="DC120" s="414"/>
      <c r="DD120" s="412"/>
      <c r="DE120" s="413"/>
      <c r="DF120" s="414"/>
      <c r="DH120" s="311"/>
      <c r="DI120" s="311"/>
      <c r="DJ120" s="311"/>
      <c r="DK120" s="311"/>
      <c r="DL120" s="321"/>
      <c r="DM120" s="321"/>
      <c r="DN120" s="321"/>
      <c r="DO120" s="321"/>
      <c r="DP120" s="321"/>
      <c r="DQ120" s="321"/>
      <c r="DR120" s="321"/>
      <c r="DS120" s="321"/>
    </row>
    <row r="121" spans="1:124" ht="7.4" customHeight="1" x14ac:dyDescent="0.5">
      <c r="A121" s="42"/>
      <c r="B121" s="42"/>
      <c r="C121" s="333"/>
      <c r="D121" s="333"/>
      <c r="E121" s="41"/>
      <c r="F121" s="42"/>
      <c r="G121" s="56"/>
      <c r="H121" s="56"/>
      <c r="I121" s="56"/>
      <c r="J121" s="56"/>
      <c r="K121" s="56"/>
      <c r="L121" s="56"/>
      <c r="M121" s="56"/>
      <c r="N121" s="56"/>
      <c r="O121" s="56"/>
      <c r="P121" s="56"/>
      <c r="Q121" s="56"/>
      <c r="R121" s="126"/>
      <c r="S121" s="42"/>
      <c r="T121" s="116" t="str">
        <f>VLOOKUP(G119,PL!$B$9:$BH$1265,33,FALSE)</f>
        <v>Aluminium, Click Fix, 30mm high</v>
      </c>
      <c r="AJ121" s="41"/>
      <c r="AK121" s="42"/>
      <c r="AL121" s="311"/>
      <c r="AM121" s="311"/>
      <c r="AN121" s="311"/>
      <c r="AO121" s="311"/>
      <c r="AP121" s="43"/>
      <c r="AQ121" s="42"/>
      <c r="AR121" s="119"/>
      <c r="AS121" s="119"/>
      <c r="AT121" s="119"/>
      <c r="AU121" s="119"/>
      <c r="AV121" s="119"/>
      <c r="AW121" s="119"/>
      <c r="AX121" s="105"/>
      <c r="AZ121" s="119"/>
      <c r="BA121" s="119"/>
      <c r="BB121" s="119"/>
      <c r="BC121" s="119"/>
      <c r="BD121" s="119"/>
      <c r="BE121" s="119"/>
      <c r="BF121" s="119"/>
      <c r="BG121" s="119"/>
      <c r="BH121" s="124"/>
      <c r="BI121" s="41"/>
      <c r="BK121" s="194"/>
      <c r="BL121" s="123"/>
      <c r="BM121" s="195"/>
      <c r="BN121" s="194"/>
      <c r="BO121" s="123"/>
      <c r="BP121" s="195"/>
      <c r="BQ121" s="194"/>
      <c r="BR121" s="123"/>
      <c r="BS121" s="195"/>
      <c r="BT121" s="194"/>
      <c r="BU121" s="123"/>
      <c r="BV121" s="195"/>
      <c r="BW121" s="194"/>
      <c r="BX121" s="123"/>
      <c r="BY121" s="195"/>
      <c r="BZ121" s="194"/>
      <c r="CA121" s="123"/>
      <c r="CB121" s="195"/>
      <c r="CC121" s="194"/>
      <c r="CD121" s="123"/>
      <c r="CE121" s="195"/>
      <c r="CF121" s="194"/>
      <c r="CG121" s="123"/>
      <c r="CH121" s="195"/>
      <c r="CI121" s="194"/>
      <c r="CJ121" s="123"/>
      <c r="CK121" s="195"/>
      <c r="CL121" s="194"/>
      <c r="CM121" s="123"/>
      <c r="CN121" s="195"/>
      <c r="CO121" s="194"/>
      <c r="CP121" s="123"/>
      <c r="CQ121" s="195"/>
      <c r="CR121" s="194"/>
      <c r="CS121" s="123"/>
      <c r="CT121" s="195"/>
      <c r="CU121" s="194"/>
      <c r="CV121" s="123"/>
      <c r="CW121" s="195"/>
      <c r="CX121" s="194"/>
      <c r="CY121" s="123"/>
      <c r="CZ121" s="195"/>
      <c r="DA121" s="194"/>
      <c r="DB121" s="123"/>
      <c r="DC121" s="195"/>
      <c r="DD121" s="194"/>
      <c r="DE121" s="123"/>
      <c r="DF121" s="195"/>
      <c r="DH121" s="311"/>
      <c r="DI121" s="311"/>
      <c r="DJ121" s="311"/>
      <c r="DK121" s="311"/>
      <c r="DL121" s="321"/>
      <c r="DM121" s="321"/>
      <c r="DN121" s="321"/>
      <c r="DO121" s="321"/>
      <c r="DP121" s="321"/>
      <c r="DQ121" s="321"/>
      <c r="DR121" s="321"/>
      <c r="DS121" s="321"/>
      <c r="DT121" s="75"/>
    </row>
    <row r="122" spans="1:124" ht="7.4" customHeight="1" x14ac:dyDescent="0.5">
      <c r="A122" s="42"/>
      <c r="B122" s="42"/>
      <c r="C122" s="55"/>
      <c r="D122" s="55"/>
      <c r="E122" s="41"/>
      <c r="F122" s="42"/>
      <c r="G122" s="56"/>
      <c r="H122" s="56"/>
      <c r="I122" s="56"/>
      <c r="J122" s="56"/>
      <c r="K122" s="56"/>
      <c r="L122" s="56"/>
      <c r="M122" s="56"/>
      <c r="N122" s="56"/>
      <c r="O122" s="56"/>
      <c r="P122" s="56"/>
      <c r="Q122" s="56"/>
      <c r="R122" s="126"/>
      <c r="S122" s="42"/>
      <c r="AJ122" s="41"/>
      <c r="AK122" s="42"/>
      <c r="AL122" s="311"/>
      <c r="AM122" s="311"/>
      <c r="AN122" s="311"/>
      <c r="AO122" s="311"/>
      <c r="AP122" s="43"/>
      <c r="AQ122" s="42"/>
      <c r="AR122" s="119"/>
      <c r="AS122" s="119"/>
      <c r="AT122" s="119"/>
      <c r="AU122" s="119"/>
      <c r="AV122" s="119"/>
      <c r="AW122" s="119"/>
      <c r="AX122" s="105"/>
      <c r="AZ122" s="119"/>
      <c r="BA122" s="119"/>
      <c r="BB122" s="119"/>
      <c r="BC122" s="119"/>
      <c r="BD122" s="119"/>
      <c r="BE122" s="119"/>
      <c r="BF122" s="119"/>
      <c r="BG122" s="119"/>
      <c r="BH122" s="124"/>
      <c r="BI122" s="41"/>
      <c r="BK122" s="194"/>
      <c r="BL122" s="123"/>
      <c r="BM122" s="195"/>
      <c r="BN122" s="194"/>
      <c r="BO122" s="123"/>
      <c r="BP122" s="195"/>
      <c r="BQ122" s="194"/>
      <c r="BR122" s="123"/>
      <c r="BS122" s="195"/>
      <c r="BT122" s="194"/>
      <c r="BU122" s="123"/>
      <c r="BV122" s="195"/>
      <c r="BW122" s="194"/>
      <c r="BX122" s="123"/>
      <c r="BY122" s="195"/>
      <c r="BZ122" s="194"/>
      <c r="CA122" s="123"/>
      <c r="CB122" s="195"/>
      <c r="CC122" s="194"/>
      <c r="CD122" s="123"/>
      <c r="CE122" s="195"/>
      <c r="CF122" s="194"/>
      <c r="CG122" s="123"/>
      <c r="CH122" s="195"/>
      <c r="CI122" s="194"/>
      <c r="CJ122" s="123"/>
      <c r="CK122" s="195"/>
      <c r="CL122" s="194"/>
      <c r="CM122" s="123"/>
      <c r="CN122" s="195"/>
      <c r="CO122" s="194"/>
      <c r="CP122" s="123"/>
      <c r="CQ122" s="195"/>
      <c r="CR122" s="194"/>
      <c r="CS122" s="123"/>
      <c r="CT122" s="195"/>
      <c r="CU122" s="194"/>
      <c r="CV122" s="123"/>
      <c r="CW122" s="195"/>
      <c r="CX122" s="194"/>
      <c r="CY122" s="123"/>
      <c r="CZ122" s="195"/>
      <c r="DA122" s="194"/>
      <c r="DB122" s="123"/>
      <c r="DC122" s="195"/>
      <c r="DD122" s="194"/>
      <c r="DE122" s="123"/>
      <c r="DF122" s="195"/>
      <c r="DL122" s="105"/>
      <c r="DM122" s="105"/>
      <c r="DN122" s="105"/>
      <c r="DO122" s="105"/>
      <c r="DP122" s="105"/>
      <c r="DQ122" s="105"/>
      <c r="DR122" s="105"/>
      <c r="DS122" s="105"/>
      <c r="DT122" s="75"/>
    </row>
    <row r="123" spans="1:124" ht="7.4" customHeight="1" x14ac:dyDescent="0.5">
      <c r="A123" s="42"/>
      <c r="B123" s="42"/>
      <c r="C123" s="311">
        <f>C119+1</f>
        <v>2</v>
      </c>
      <c r="D123" s="311"/>
      <c r="E123" s="41"/>
      <c r="F123" s="42"/>
      <c r="G123" s="319" t="str">
        <f>IF($N$70="Included","AXE_CE_CF_"&amp;$AM$45,"AXE_CE_AP_"&amp;$AM$45)&amp;"_AL"</f>
        <v>AXE_CE_CF_30_AL</v>
      </c>
      <c r="H123" s="319"/>
      <c r="I123" s="319"/>
      <c r="J123" s="319"/>
      <c r="K123" s="319"/>
      <c r="L123" s="319"/>
      <c r="M123" s="319"/>
      <c r="N123" s="319"/>
      <c r="O123" s="319"/>
      <c r="P123" s="319"/>
      <c r="Q123" s="319"/>
      <c r="R123" s="320"/>
      <c r="S123" s="42"/>
      <c r="T123" s="521" t="str">
        <f>VLOOKUP(G123,PL!$B$9:$BH$1265,14,FALSE)</f>
        <v>End Clamp</v>
      </c>
      <c r="U123" s="521"/>
      <c r="V123" s="521"/>
      <c r="W123" s="521"/>
      <c r="X123" s="521"/>
      <c r="Y123" s="521"/>
      <c r="Z123" s="521"/>
      <c r="AA123" s="521"/>
      <c r="AB123" s="521"/>
      <c r="AC123" s="521"/>
      <c r="AD123" s="521"/>
      <c r="AE123" s="521"/>
      <c r="AF123" s="521"/>
      <c r="AG123" s="521"/>
      <c r="AH123" s="521"/>
      <c r="AI123" s="521"/>
      <c r="AJ123" s="522"/>
      <c r="AK123" s="42"/>
      <c r="AL123" s="311">
        <f>ROUND(SUM(BK123:DF123)*(1+$BF$76),0)</f>
        <v>41</v>
      </c>
      <c r="AM123" s="311"/>
      <c r="AN123" s="311"/>
      <c r="AO123" s="311"/>
      <c r="AP123" s="43"/>
      <c r="AQ123" s="111"/>
      <c r="AR123" s="308" t="str">
        <f>VLOOKUP(G123,PL!$B$9:$BH$818,52,FALSE)</f>
        <v>SOL-580301</v>
      </c>
      <c r="AS123" s="309"/>
      <c r="AT123" s="309"/>
      <c r="AU123" s="309"/>
      <c r="AV123" s="309"/>
      <c r="AW123" s="309"/>
      <c r="AX123" s="309"/>
      <c r="AY123" s="309"/>
      <c r="AZ123" s="309"/>
      <c r="BA123" s="309"/>
      <c r="BB123" s="309"/>
      <c r="BC123" s="309"/>
      <c r="BD123" s="309"/>
      <c r="BE123" s="309"/>
      <c r="BF123" s="309"/>
      <c r="BG123" s="309"/>
      <c r="BH123" s="124"/>
      <c r="BI123" s="41"/>
      <c r="BK123" s="412">
        <f>4*M54</f>
        <v>40</v>
      </c>
      <c r="BL123" s="413"/>
      <c r="BM123" s="414"/>
      <c r="BN123" s="412">
        <f>4*P54</f>
        <v>0</v>
      </c>
      <c r="BO123" s="413"/>
      <c r="BP123" s="414"/>
      <c r="BQ123" s="412">
        <f>4*S54</f>
        <v>0</v>
      </c>
      <c r="BR123" s="413"/>
      <c r="BS123" s="414"/>
      <c r="BT123" s="412">
        <f>4*V54</f>
        <v>0</v>
      </c>
      <c r="BU123" s="413"/>
      <c r="BV123" s="414"/>
      <c r="BW123" s="412">
        <f>4*Y54</f>
        <v>0</v>
      </c>
      <c r="BX123" s="413"/>
      <c r="BY123" s="414"/>
      <c r="BZ123" s="412">
        <f>4*AB54</f>
        <v>0</v>
      </c>
      <c r="CA123" s="413"/>
      <c r="CB123" s="414"/>
      <c r="CC123" s="412">
        <f>4*AE54</f>
        <v>0</v>
      </c>
      <c r="CD123" s="413"/>
      <c r="CE123" s="414"/>
      <c r="CF123" s="412">
        <f>4*AH54</f>
        <v>0</v>
      </c>
      <c r="CG123" s="413"/>
      <c r="CH123" s="414"/>
      <c r="CI123" s="412">
        <f>4*AK54</f>
        <v>0</v>
      </c>
      <c r="CJ123" s="413"/>
      <c r="CK123" s="414"/>
      <c r="CL123" s="412">
        <f>4*AN54</f>
        <v>0</v>
      </c>
      <c r="CM123" s="413"/>
      <c r="CN123" s="414"/>
      <c r="CO123" s="412">
        <f>4*AQ54</f>
        <v>0</v>
      </c>
      <c r="CP123" s="413"/>
      <c r="CQ123" s="414"/>
      <c r="CR123" s="412">
        <f>4*AT54</f>
        <v>0</v>
      </c>
      <c r="CS123" s="413"/>
      <c r="CT123" s="414"/>
      <c r="CU123" s="412">
        <f>4*AW54</f>
        <v>0</v>
      </c>
      <c r="CV123" s="413"/>
      <c r="CW123" s="414"/>
      <c r="CX123" s="412">
        <f>4*AZ54</f>
        <v>0</v>
      </c>
      <c r="CY123" s="413"/>
      <c r="CZ123" s="414"/>
      <c r="DA123" s="412">
        <f>4*BC54</f>
        <v>0</v>
      </c>
      <c r="DB123" s="413"/>
      <c r="DC123" s="414"/>
      <c r="DD123" s="412">
        <f>4*BF54</f>
        <v>0</v>
      </c>
      <c r="DE123" s="413"/>
      <c r="DF123" s="414"/>
      <c r="DH123" s="311"/>
      <c r="DI123" s="311"/>
      <c r="DJ123" s="311"/>
      <c r="DK123" s="311"/>
      <c r="DL123" s="321"/>
      <c r="DM123" s="321"/>
      <c r="DN123" s="321"/>
      <c r="DO123" s="321"/>
      <c r="DP123" s="321"/>
      <c r="DQ123" s="321"/>
      <c r="DR123" s="321"/>
      <c r="DS123" s="321"/>
      <c r="DT123" s="75"/>
    </row>
    <row r="124" spans="1:124" ht="7.4" customHeight="1" x14ac:dyDescent="0.5">
      <c r="A124" s="42"/>
      <c r="B124" s="42"/>
      <c r="C124" s="311"/>
      <c r="D124" s="311"/>
      <c r="E124" s="41"/>
      <c r="F124" s="42"/>
      <c r="G124" s="319"/>
      <c r="H124" s="319"/>
      <c r="I124" s="319"/>
      <c r="J124" s="319"/>
      <c r="K124" s="319"/>
      <c r="L124" s="319"/>
      <c r="M124" s="319"/>
      <c r="N124" s="319"/>
      <c r="O124" s="319"/>
      <c r="P124" s="319"/>
      <c r="Q124" s="319"/>
      <c r="R124" s="320"/>
      <c r="S124" s="42"/>
      <c r="T124" s="521"/>
      <c r="U124" s="521"/>
      <c r="V124" s="521"/>
      <c r="W124" s="521"/>
      <c r="X124" s="521"/>
      <c r="Y124" s="521"/>
      <c r="Z124" s="521"/>
      <c r="AA124" s="521"/>
      <c r="AB124" s="521"/>
      <c r="AC124" s="521"/>
      <c r="AD124" s="521"/>
      <c r="AE124" s="521"/>
      <c r="AF124" s="521"/>
      <c r="AG124" s="521"/>
      <c r="AH124" s="521"/>
      <c r="AI124" s="521"/>
      <c r="AJ124" s="522"/>
      <c r="AK124" s="42"/>
      <c r="AL124" s="311"/>
      <c r="AM124" s="311"/>
      <c r="AN124" s="311"/>
      <c r="AO124" s="311"/>
      <c r="AP124" s="43"/>
      <c r="AQ124" s="111"/>
      <c r="AR124" s="309"/>
      <c r="AS124" s="309"/>
      <c r="AT124" s="309"/>
      <c r="AU124" s="309"/>
      <c r="AV124" s="309"/>
      <c r="AW124" s="309"/>
      <c r="AX124" s="309"/>
      <c r="AY124" s="309"/>
      <c r="AZ124" s="309"/>
      <c r="BA124" s="309"/>
      <c r="BB124" s="309"/>
      <c r="BC124" s="309"/>
      <c r="BD124" s="309"/>
      <c r="BE124" s="309"/>
      <c r="BF124" s="309"/>
      <c r="BG124" s="309"/>
      <c r="BH124" s="124"/>
      <c r="BI124" s="41"/>
      <c r="BK124" s="412"/>
      <c r="BL124" s="413"/>
      <c r="BM124" s="414"/>
      <c r="BN124" s="412"/>
      <c r="BO124" s="413"/>
      <c r="BP124" s="414"/>
      <c r="BQ124" s="412"/>
      <c r="BR124" s="413"/>
      <c r="BS124" s="414"/>
      <c r="BT124" s="412"/>
      <c r="BU124" s="413"/>
      <c r="BV124" s="414"/>
      <c r="BW124" s="412"/>
      <c r="BX124" s="413"/>
      <c r="BY124" s="414"/>
      <c r="BZ124" s="412"/>
      <c r="CA124" s="413"/>
      <c r="CB124" s="414"/>
      <c r="CC124" s="412"/>
      <c r="CD124" s="413"/>
      <c r="CE124" s="414"/>
      <c r="CF124" s="412"/>
      <c r="CG124" s="413"/>
      <c r="CH124" s="414"/>
      <c r="CI124" s="412"/>
      <c r="CJ124" s="413"/>
      <c r="CK124" s="414"/>
      <c r="CL124" s="412"/>
      <c r="CM124" s="413"/>
      <c r="CN124" s="414"/>
      <c r="CO124" s="412"/>
      <c r="CP124" s="413"/>
      <c r="CQ124" s="414"/>
      <c r="CR124" s="412"/>
      <c r="CS124" s="413"/>
      <c r="CT124" s="414"/>
      <c r="CU124" s="412"/>
      <c r="CV124" s="413"/>
      <c r="CW124" s="414"/>
      <c r="CX124" s="412"/>
      <c r="CY124" s="413"/>
      <c r="CZ124" s="414"/>
      <c r="DA124" s="412"/>
      <c r="DB124" s="413"/>
      <c r="DC124" s="414"/>
      <c r="DD124" s="412"/>
      <c r="DE124" s="413"/>
      <c r="DF124" s="414"/>
      <c r="DH124" s="311"/>
      <c r="DI124" s="311"/>
      <c r="DJ124" s="311"/>
      <c r="DK124" s="311"/>
      <c r="DL124" s="321"/>
      <c r="DM124" s="321"/>
      <c r="DN124" s="321"/>
      <c r="DO124" s="321"/>
      <c r="DP124" s="321"/>
      <c r="DQ124" s="321"/>
      <c r="DR124" s="321"/>
      <c r="DS124" s="321"/>
      <c r="DT124" s="75"/>
    </row>
    <row r="125" spans="1:124" ht="7.4" customHeight="1" x14ac:dyDescent="0.5">
      <c r="A125" s="42"/>
      <c r="B125" s="42"/>
      <c r="C125" s="55"/>
      <c r="D125" s="55"/>
      <c r="E125" s="41"/>
      <c r="F125" s="42"/>
      <c r="G125" s="56"/>
      <c r="H125" s="56"/>
      <c r="I125" s="56"/>
      <c r="J125" s="56"/>
      <c r="K125" s="56"/>
      <c r="L125" s="56"/>
      <c r="M125" s="56"/>
      <c r="N125" s="56"/>
      <c r="O125" s="56"/>
      <c r="P125" s="56"/>
      <c r="Q125" s="56"/>
      <c r="R125" s="126"/>
      <c r="S125" s="42"/>
      <c r="T125" s="116" t="str">
        <f>VLOOKUP(G123,PL!$B$9:$BH$1265,33,FALSE)</f>
        <v>Aluminium, Click Fix, 30mm high</v>
      </c>
      <c r="AJ125" s="41"/>
      <c r="AK125" s="42"/>
      <c r="AL125" s="311"/>
      <c r="AM125" s="311"/>
      <c r="AN125" s="311"/>
      <c r="AO125" s="311"/>
      <c r="AP125" s="43"/>
      <c r="AQ125" s="42"/>
      <c r="AR125" s="119"/>
      <c r="AS125" s="119"/>
      <c r="AT125" s="119"/>
      <c r="AU125" s="119"/>
      <c r="AV125" s="119"/>
      <c r="AW125" s="119"/>
      <c r="AX125" s="105"/>
      <c r="AZ125" s="119"/>
      <c r="BA125" s="119"/>
      <c r="BB125" s="119"/>
      <c r="BC125" s="119"/>
      <c r="BD125" s="119"/>
      <c r="BE125" s="119"/>
      <c r="BF125" s="119"/>
      <c r="BG125" s="119"/>
      <c r="BH125" s="124"/>
      <c r="BI125" s="41"/>
      <c r="BK125" s="194"/>
      <c r="BL125" s="123"/>
      <c r="BM125" s="195"/>
      <c r="BN125" s="194"/>
      <c r="BO125" s="123"/>
      <c r="BP125" s="195"/>
      <c r="BQ125" s="194"/>
      <c r="BR125" s="123"/>
      <c r="BS125" s="195"/>
      <c r="BT125" s="194"/>
      <c r="BU125" s="123"/>
      <c r="BV125" s="195"/>
      <c r="BW125" s="194"/>
      <c r="BX125" s="123"/>
      <c r="BY125" s="195"/>
      <c r="BZ125" s="194"/>
      <c r="CA125" s="123"/>
      <c r="CB125" s="195"/>
      <c r="CC125" s="194"/>
      <c r="CD125" s="123"/>
      <c r="CE125" s="195"/>
      <c r="CF125" s="194"/>
      <c r="CG125" s="123"/>
      <c r="CH125" s="195"/>
      <c r="CI125" s="194"/>
      <c r="CJ125" s="123"/>
      <c r="CK125" s="195"/>
      <c r="CL125" s="194"/>
      <c r="CM125" s="123"/>
      <c r="CN125" s="195"/>
      <c r="CO125" s="194"/>
      <c r="CP125" s="123"/>
      <c r="CQ125" s="195"/>
      <c r="CR125" s="194"/>
      <c r="CS125" s="123"/>
      <c r="CT125" s="195"/>
      <c r="CU125" s="194"/>
      <c r="CV125" s="123"/>
      <c r="CW125" s="195"/>
      <c r="CX125" s="194"/>
      <c r="CY125" s="123"/>
      <c r="CZ125" s="195"/>
      <c r="DA125" s="194"/>
      <c r="DB125" s="123"/>
      <c r="DC125" s="195"/>
      <c r="DD125" s="194"/>
      <c r="DE125" s="123"/>
      <c r="DF125" s="195"/>
      <c r="DH125" s="311"/>
      <c r="DI125" s="311"/>
      <c r="DJ125" s="311"/>
      <c r="DK125" s="311"/>
      <c r="DL125" s="321"/>
      <c r="DM125" s="321"/>
      <c r="DN125" s="321"/>
      <c r="DO125" s="321"/>
      <c r="DP125" s="321"/>
      <c r="DQ125" s="321"/>
      <c r="DR125" s="321"/>
      <c r="DS125" s="321"/>
      <c r="DT125" s="75"/>
    </row>
    <row r="126" spans="1:124" ht="7.4" customHeight="1" x14ac:dyDescent="0.5">
      <c r="A126" s="42"/>
      <c r="B126" s="42"/>
      <c r="C126" s="333"/>
      <c r="D126" s="333"/>
      <c r="E126" s="41"/>
      <c r="F126" s="42"/>
      <c r="G126" s="56"/>
      <c r="H126" s="56"/>
      <c r="I126" s="56"/>
      <c r="J126" s="56"/>
      <c r="K126" s="56"/>
      <c r="L126" s="56"/>
      <c r="M126" s="56"/>
      <c r="N126" s="56"/>
      <c r="O126" s="56"/>
      <c r="P126" s="56"/>
      <c r="Q126" s="56"/>
      <c r="R126" s="126"/>
      <c r="S126" s="42"/>
      <c r="AJ126" s="41"/>
      <c r="AK126" s="42"/>
      <c r="AL126" s="311"/>
      <c r="AM126" s="311"/>
      <c r="AN126" s="311"/>
      <c r="AO126" s="311"/>
      <c r="AP126" s="43"/>
      <c r="AQ126" s="42"/>
      <c r="AR126" s="119"/>
      <c r="AS126" s="119"/>
      <c r="AT126" s="119"/>
      <c r="AU126" s="119"/>
      <c r="AV126" s="119"/>
      <c r="AW126" s="119"/>
      <c r="AX126" s="105"/>
      <c r="AZ126" s="119"/>
      <c r="BA126" s="119"/>
      <c r="BB126" s="119"/>
      <c r="BC126" s="119"/>
      <c r="BD126" s="119"/>
      <c r="BE126" s="119"/>
      <c r="BF126" s="119"/>
      <c r="BG126" s="119"/>
      <c r="BH126" s="124"/>
      <c r="BI126" s="41"/>
      <c r="BK126" s="194"/>
      <c r="BL126" s="123"/>
      <c r="BM126" s="195"/>
      <c r="BN126" s="194"/>
      <c r="BO126" s="123"/>
      <c r="BP126" s="195"/>
      <c r="BQ126" s="194"/>
      <c r="BR126" s="123"/>
      <c r="BS126" s="195"/>
      <c r="BT126" s="194"/>
      <c r="BU126" s="123"/>
      <c r="BV126" s="195"/>
      <c r="BW126" s="194"/>
      <c r="BX126" s="123"/>
      <c r="BY126" s="195"/>
      <c r="BZ126" s="194"/>
      <c r="CA126" s="123"/>
      <c r="CB126" s="195"/>
      <c r="CC126" s="194"/>
      <c r="CD126" s="123"/>
      <c r="CE126" s="195"/>
      <c r="CF126" s="194"/>
      <c r="CG126" s="123"/>
      <c r="CH126" s="195"/>
      <c r="CI126" s="194"/>
      <c r="CJ126" s="123"/>
      <c r="CK126" s="195"/>
      <c r="CL126" s="194"/>
      <c r="CM126" s="123"/>
      <c r="CN126" s="195"/>
      <c r="CO126" s="194"/>
      <c r="CP126" s="123"/>
      <c r="CQ126" s="195"/>
      <c r="CR126" s="194"/>
      <c r="CS126" s="123"/>
      <c r="CT126" s="195"/>
      <c r="CU126" s="194"/>
      <c r="CV126" s="123"/>
      <c r="CW126" s="195"/>
      <c r="CX126" s="194"/>
      <c r="CY126" s="123"/>
      <c r="CZ126" s="195"/>
      <c r="DA126" s="194"/>
      <c r="DB126" s="123"/>
      <c r="DC126" s="195"/>
      <c r="DD126" s="194"/>
      <c r="DE126" s="123"/>
      <c r="DF126" s="195"/>
      <c r="DH126" s="311"/>
      <c r="DI126" s="311"/>
      <c r="DJ126" s="311"/>
      <c r="DK126" s="311"/>
      <c r="DL126" s="321"/>
      <c r="DM126" s="321"/>
      <c r="DN126" s="321"/>
      <c r="DO126" s="321"/>
      <c r="DP126" s="321"/>
      <c r="DQ126" s="321"/>
      <c r="DR126" s="321"/>
      <c r="DS126" s="321"/>
      <c r="DT126" s="75"/>
    </row>
    <row r="127" spans="1:124" ht="7.4" customHeight="1" x14ac:dyDescent="0.5">
      <c r="A127" s="42"/>
      <c r="B127" s="42"/>
      <c r="C127" s="311">
        <f>C123+1</f>
        <v>3</v>
      </c>
      <c r="D127" s="311"/>
      <c r="E127" s="41"/>
      <c r="F127" s="42"/>
      <c r="G127" s="319" t="str">
        <f>"AXE_BR_"&amp;IF(OR($AO$35="Klip-Lok",$AO$35="Saflok",$AO$35="ProLok"),"FL_RL",
IF($AO$35="Springlok","SL_RL",
IF($AO$35="Corrugated","COR_RL",
IF($AO$35="Novotexi","NT_RL",
IF(OR($AO$35="Corrugated (Ridge)",$AO$35="IBR (Ridge)"),"RF_H",
IF($AO$35="IBR","IBR_RL",
IF($AO$35="Widespan","WS_RL",
IF(OR($AO$35="Craft-Lock",$AO$35="Brownbuilt",$AO$35="Dimondek"),"PF_RL","RS_RL"))))))))&amp;"_AL"</f>
        <v>AXE_BR_IBR_RL_AL</v>
      </c>
      <c r="H127" s="319"/>
      <c r="I127" s="319"/>
      <c r="J127" s="319"/>
      <c r="K127" s="319"/>
      <c r="L127" s="319"/>
      <c r="M127" s="319"/>
      <c r="N127" s="319"/>
      <c r="O127" s="319"/>
      <c r="P127" s="319"/>
      <c r="Q127" s="319"/>
      <c r="R127" s="320"/>
      <c r="S127" s="42"/>
      <c r="T127" s="521" t="str">
        <f>VLOOKUP(G127,PL!$B$9:$BH$1265,14,FALSE)</f>
        <v>IBR Bracket</v>
      </c>
      <c r="U127" s="521"/>
      <c r="V127" s="521"/>
      <c r="W127" s="521"/>
      <c r="X127" s="521"/>
      <c r="Y127" s="521"/>
      <c r="Z127" s="521"/>
      <c r="AA127" s="521"/>
      <c r="AB127" s="521"/>
      <c r="AC127" s="521"/>
      <c r="AD127" s="521"/>
      <c r="AE127" s="521"/>
      <c r="AF127" s="521"/>
      <c r="AG127" s="521"/>
      <c r="AH127" s="521"/>
      <c r="AI127" s="521"/>
      <c r="AJ127" s="522"/>
      <c r="AK127" s="42"/>
      <c r="AL127" s="311">
        <f>ROUND(SUM(BK127:DF127)*(1+$BF$66),0)</f>
        <v>224</v>
      </c>
      <c r="AM127" s="311"/>
      <c r="AN127" s="311"/>
      <c r="AO127" s="311"/>
      <c r="AP127" s="43"/>
      <c r="AQ127" s="111"/>
      <c r="AR127" s="308" t="str">
        <f>VLOOKUP(G127,PL!$B$9:$BH$818,52,FALSE)</f>
        <v>SOL-5900</v>
      </c>
      <c r="AS127" s="309"/>
      <c r="AT127" s="309"/>
      <c r="AU127" s="309"/>
      <c r="AV127" s="309"/>
      <c r="AW127" s="309"/>
      <c r="AX127" s="309"/>
      <c r="AY127" s="309"/>
      <c r="AZ127" s="309"/>
      <c r="BA127" s="309"/>
      <c r="BB127" s="309"/>
      <c r="BC127" s="309"/>
      <c r="BD127" s="309"/>
      <c r="BE127" s="309"/>
      <c r="BF127" s="309"/>
      <c r="BG127" s="309"/>
      <c r="BH127" s="124"/>
      <c r="BI127" s="41"/>
      <c r="BK127" s="412">
        <f>BK119+BK123</f>
        <v>220</v>
      </c>
      <c r="BL127" s="413"/>
      <c r="BM127" s="414"/>
      <c r="BN127" s="412">
        <f>BN119+BN123</f>
        <v>0</v>
      </c>
      <c r="BO127" s="413"/>
      <c r="BP127" s="414"/>
      <c r="BQ127" s="412">
        <f>BQ119+BQ123</f>
        <v>0</v>
      </c>
      <c r="BR127" s="413"/>
      <c r="BS127" s="414"/>
      <c r="BT127" s="412">
        <f>BT119+BT123</f>
        <v>0</v>
      </c>
      <c r="BU127" s="413"/>
      <c r="BV127" s="414"/>
      <c r="BW127" s="412">
        <f>BW119+BW123</f>
        <v>0</v>
      </c>
      <c r="BX127" s="413"/>
      <c r="BY127" s="414"/>
      <c r="BZ127" s="412">
        <f>BZ119+BZ123</f>
        <v>0</v>
      </c>
      <c r="CA127" s="413"/>
      <c r="CB127" s="414"/>
      <c r="CC127" s="412">
        <f>CC119+CC123</f>
        <v>0</v>
      </c>
      <c r="CD127" s="413"/>
      <c r="CE127" s="414"/>
      <c r="CF127" s="412">
        <f>CF119+CF123</f>
        <v>0</v>
      </c>
      <c r="CG127" s="413"/>
      <c r="CH127" s="414"/>
      <c r="CI127" s="412">
        <f>CI119+CI123</f>
        <v>0</v>
      </c>
      <c r="CJ127" s="413"/>
      <c r="CK127" s="414"/>
      <c r="CL127" s="412">
        <f>CL119+CL123</f>
        <v>0</v>
      </c>
      <c r="CM127" s="413"/>
      <c r="CN127" s="414"/>
      <c r="CO127" s="412">
        <f>CO119+CO123</f>
        <v>0</v>
      </c>
      <c r="CP127" s="413"/>
      <c r="CQ127" s="414"/>
      <c r="CR127" s="412">
        <f>CR119+CR123</f>
        <v>0</v>
      </c>
      <c r="CS127" s="413"/>
      <c r="CT127" s="414"/>
      <c r="CU127" s="412">
        <f>CU119+CU123</f>
        <v>0</v>
      </c>
      <c r="CV127" s="413"/>
      <c r="CW127" s="414"/>
      <c r="CX127" s="412">
        <f>CX119+CX123</f>
        <v>0</v>
      </c>
      <c r="CY127" s="413"/>
      <c r="CZ127" s="414"/>
      <c r="DA127" s="412">
        <f>DA119+DA123</f>
        <v>0</v>
      </c>
      <c r="DB127" s="413"/>
      <c r="DC127" s="414"/>
      <c r="DD127" s="412">
        <f>DD119+DD123</f>
        <v>0</v>
      </c>
      <c r="DE127" s="413"/>
      <c r="DF127" s="414"/>
      <c r="DH127" s="311"/>
      <c r="DI127" s="311"/>
      <c r="DJ127" s="311"/>
      <c r="DK127" s="311"/>
      <c r="DL127" s="321"/>
      <c r="DM127" s="321"/>
      <c r="DN127" s="321"/>
      <c r="DO127" s="321"/>
      <c r="DP127" s="321"/>
      <c r="DQ127" s="321"/>
      <c r="DR127" s="321"/>
      <c r="DS127" s="321"/>
      <c r="DT127" s="75"/>
    </row>
    <row r="128" spans="1:124" ht="7.4" customHeight="1" x14ac:dyDescent="0.5">
      <c r="A128" s="42"/>
      <c r="B128" s="42"/>
      <c r="C128" s="311"/>
      <c r="D128" s="311"/>
      <c r="E128" s="41"/>
      <c r="F128" s="42"/>
      <c r="G128" s="319"/>
      <c r="H128" s="319"/>
      <c r="I128" s="319"/>
      <c r="J128" s="319"/>
      <c r="K128" s="319"/>
      <c r="L128" s="319"/>
      <c r="M128" s="319"/>
      <c r="N128" s="319"/>
      <c r="O128" s="319"/>
      <c r="P128" s="319"/>
      <c r="Q128" s="319"/>
      <c r="R128" s="320"/>
      <c r="S128" s="42"/>
      <c r="T128" s="521"/>
      <c r="U128" s="521"/>
      <c r="V128" s="521"/>
      <c r="W128" s="521"/>
      <c r="X128" s="521"/>
      <c r="Y128" s="521"/>
      <c r="Z128" s="521"/>
      <c r="AA128" s="521"/>
      <c r="AB128" s="521"/>
      <c r="AC128" s="521"/>
      <c r="AD128" s="521"/>
      <c r="AE128" s="521"/>
      <c r="AF128" s="521"/>
      <c r="AG128" s="521"/>
      <c r="AH128" s="521"/>
      <c r="AI128" s="521"/>
      <c r="AJ128" s="522"/>
      <c r="AK128" s="42"/>
      <c r="AL128" s="311"/>
      <c r="AM128" s="311"/>
      <c r="AN128" s="311"/>
      <c r="AO128" s="311"/>
      <c r="AP128" s="43"/>
      <c r="AQ128" s="111"/>
      <c r="AR128" s="309"/>
      <c r="AS128" s="309"/>
      <c r="AT128" s="309"/>
      <c r="AU128" s="309"/>
      <c r="AV128" s="309"/>
      <c r="AW128" s="309"/>
      <c r="AX128" s="309"/>
      <c r="AY128" s="309"/>
      <c r="AZ128" s="309"/>
      <c r="BA128" s="309"/>
      <c r="BB128" s="309"/>
      <c r="BC128" s="309"/>
      <c r="BD128" s="309"/>
      <c r="BE128" s="309"/>
      <c r="BF128" s="309"/>
      <c r="BG128" s="309"/>
      <c r="BH128" s="124"/>
      <c r="BI128" s="41"/>
      <c r="BK128" s="412"/>
      <c r="BL128" s="413"/>
      <c r="BM128" s="414"/>
      <c r="BN128" s="412"/>
      <c r="BO128" s="413"/>
      <c r="BP128" s="414"/>
      <c r="BQ128" s="412"/>
      <c r="BR128" s="413"/>
      <c r="BS128" s="414"/>
      <c r="BT128" s="412"/>
      <c r="BU128" s="413"/>
      <c r="BV128" s="414"/>
      <c r="BW128" s="412"/>
      <c r="BX128" s="413"/>
      <c r="BY128" s="414"/>
      <c r="BZ128" s="412"/>
      <c r="CA128" s="413"/>
      <c r="CB128" s="414"/>
      <c r="CC128" s="412"/>
      <c r="CD128" s="413"/>
      <c r="CE128" s="414"/>
      <c r="CF128" s="412"/>
      <c r="CG128" s="413"/>
      <c r="CH128" s="414"/>
      <c r="CI128" s="412"/>
      <c r="CJ128" s="413"/>
      <c r="CK128" s="414"/>
      <c r="CL128" s="412"/>
      <c r="CM128" s="413"/>
      <c r="CN128" s="414"/>
      <c r="CO128" s="412"/>
      <c r="CP128" s="413"/>
      <c r="CQ128" s="414"/>
      <c r="CR128" s="412"/>
      <c r="CS128" s="413"/>
      <c r="CT128" s="414"/>
      <c r="CU128" s="412"/>
      <c r="CV128" s="413"/>
      <c r="CW128" s="414"/>
      <c r="CX128" s="412"/>
      <c r="CY128" s="413"/>
      <c r="CZ128" s="414"/>
      <c r="DA128" s="412"/>
      <c r="DB128" s="413"/>
      <c r="DC128" s="414"/>
      <c r="DD128" s="412"/>
      <c r="DE128" s="413"/>
      <c r="DF128" s="414"/>
      <c r="DH128" s="311"/>
      <c r="DI128" s="311"/>
      <c r="DJ128" s="311"/>
      <c r="DK128" s="311"/>
      <c r="DL128" s="321"/>
      <c r="DM128" s="321"/>
      <c r="DN128" s="321"/>
      <c r="DO128" s="321"/>
      <c r="DP128" s="321"/>
      <c r="DQ128" s="321"/>
      <c r="DR128" s="321"/>
      <c r="DS128" s="321"/>
      <c r="DT128" s="75"/>
    </row>
    <row r="129" spans="1:123" ht="7.4" customHeight="1" x14ac:dyDescent="0.5">
      <c r="A129" s="42"/>
      <c r="B129" s="42"/>
      <c r="C129" s="333"/>
      <c r="D129" s="333"/>
      <c r="E129" s="41"/>
      <c r="F129" s="42"/>
      <c r="G129" s="56"/>
      <c r="H129" s="56"/>
      <c r="I129" s="56"/>
      <c r="J129" s="56"/>
      <c r="K129" s="56"/>
      <c r="L129" s="56"/>
      <c r="M129" s="56"/>
      <c r="N129" s="56"/>
      <c r="O129" s="56"/>
      <c r="P129" s="56"/>
      <c r="Q129" s="56"/>
      <c r="R129" s="126"/>
      <c r="S129" s="42"/>
      <c r="T129" s="116" t="str">
        <f>VLOOKUP(G127,PL!$B$9:$BH$1265,33,FALSE)</f>
        <v>Aluminium, Railless</v>
      </c>
      <c r="AJ129" s="41"/>
      <c r="AK129" s="42"/>
      <c r="AL129" s="311"/>
      <c r="AM129" s="311"/>
      <c r="AN129" s="311"/>
      <c r="AO129" s="311"/>
      <c r="AP129" s="43"/>
      <c r="AQ129" s="42"/>
      <c r="AR129" s="119"/>
      <c r="AS129" s="119"/>
      <c r="AT129" s="119"/>
      <c r="AU129" s="119"/>
      <c r="AV129" s="119"/>
      <c r="AW129" s="119"/>
      <c r="AX129" s="105"/>
      <c r="AZ129" s="119"/>
      <c r="BA129" s="119"/>
      <c r="BB129" s="119"/>
      <c r="BC129" s="119"/>
      <c r="BD129" s="119"/>
      <c r="BE129" s="119"/>
      <c r="BF129" s="119"/>
      <c r="BG129" s="119"/>
      <c r="BH129" s="124"/>
      <c r="BI129" s="41"/>
      <c r="BK129" s="194"/>
      <c r="BL129" s="123"/>
      <c r="BM129" s="195"/>
      <c r="BN129" s="194"/>
      <c r="BO129" s="123"/>
      <c r="BP129" s="195"/>
      <c r="BQ129" s="194"/>
      <c r="BR129" s="123"/>
      <c r="BS129" s="195"/>
      <c r="BT129" s="194"/>
      <c r="BU129" s="123"/>
      <c r="BV129" s="195"/>
      <c r="BW129" s="194"/>
      <c r="BX129" s="123"/>
      <c r="BY129" s="195"/>
      <c r="BZ129" s="194"/>
      <c r="CA129" s="123"/>
      <c r="CB129" s="195"/>
      <c r="CC129" s="194"/>
      <c r="CD129" s="123"/>
      <c r="CE129" s="195"/>
      <c r="CF129" s="194"/>
      <c r="CG129" s="123"/>
      <c r="CH129" s="195"/>
      <c r="CI129" s="194"/>
      <c r="CJ129" s="123"/>
      <c r="CK129" s="195"/>
      <c r="CL129" s="194"/>
      <c r="CM129" s="123"/>
      <c r="CN129" s="195"/>
      <c r="CO129" s="194"/>
      <c r="CP129" s="123"/>
      <c r="CQ129" s="195"/>
      <c r="CR129" s="194"/>
      <c r="CS129" s="123"/>
      <c r="CT129" s="195"/>
      <c r="CU129" s="194"/>
      <c r="CV129" s="123"/>
      <c r="CW129" s="195"/>
      <c r="CX129" s="194"/>
      <c r="CY129" s="123"/>
      <c r="CZ129" s="195"/>
      <c r="DA129" s="194"/>
      <c r="DB129" s="123"/>
      <c r="DC129" s="195"/>
      <c r="DD129" s="194"/>
      <c r="DE129" s="123"/>
      <c r="DF129" s="195"/>
      <c r="DH129" s="311"/>
      <c r="DI129" s="311"/>
      <c r="DJ129" s="311"/>
      <c r="DK129" s="311"/>
      <c r="DL129" s="321"/>
      <c r="DM129" s="321"/>
      <c r="DN129" s="321"/>
      <c r="DO129" s="321"/>
      <c r="DP129" s="321"/>
      <c r="DQ129" s="321"/>
      <c r="DR129" s="321"/>
      <c r="DS129" s="321"/>
    </row>
    <row r="130" spans="1:123" ht="7.4" customHeight="1" x14ac:dyDescent="0.5">
      <c r="A130" s="42"/>
      <c r="B130" s="42"/>
      <c r="C130" s="55"/>
      <c r="D130" s="55"/>
      <c r="E130" s="41"/>
      <c r="F130" s="42"/>
      <c r="G130" s="56"/>
      <c r="H130" s="56"/>
      <c r="I130" s="56"/>
      <c r="J130" s="56"/>
      <c r="K130" s="56"/>
      <c r="L130" s="56"/>
      <c r="M130" s="56"/>
      <c r="N130" s="56"/>
      <c r="O130" s="56"/>
      <c r="P130" s="56"/>
      <c r="Q130" s="56"/>
      <c r="R130" s="126"/>
      <c r="S130" s="42"/>
      <c r="AJ130" s="41"/>
      <c r="AK130" s="42"/>
      <c r="AL130" s="311"/>
      <c r="AM130" s="311"/>
      <c r="AN130" s="311"/>
      <c r="AO130" s="311"/>
      <c r="AP130" s="43"/>
      <c r="AQ130" s="42"/>
      <c r="AR130" s="119"/>
      <c r="AS130" s="119"/>
      <c r="AT130" s="119"/>
      <c r="AU130" s="119"/>
      <c r="AV130" s="119"/>
      <c r="AW130" s="119"/>
      <c r="AX130" s="105"/>
      <c r="AZ130" s="119"/>
      <c r="BA130" s="119"/>
      <c r="BB130" s="119"/>
      <c r="BC130" s="119"/>
      <c r="BD130" s="119"/>
      <c r="BE130" s="119"/>
      <c r="BF130" s="119"/>
      <c r="BG130" s="119"/>
      <c r="BH130" s="124"/>
      <c r="BI130" s="41"/>
      <c r="BK130" s="194"/>
      <c r="BL130" s="123"/>
      <c r="BM130" s="195"/>
      <c r="BN130" s="194"/>
      <c r="BO130" s="123"/>
      <c r="BP130" s="195"/>
      <c r="BQ130" s="194"/>
      <c r="BR130" s="123"/>
      <c r="BS130" s="195"/>
      <c r="BT130" s="194"/>
      <c r="BU130" s="123"/>
      <c r="BV130" s="195"/>
      <c r="BW130" s="194"/>
      <c r="BX130" s="123"/>
      <c r="BY130" s="195"/>
      <c r="BZ130" s="194"/>
      <c r="CA130" s="123"/>
      <c r="CB130" s="195"/>
      <c r="CC130" s="194"/>
      <c r="CD130" s="123"/>
      <c r="CE130" s="195"/>
      <c r="CF130" s="194"/>
      <c r="CG130" s="123"/>
      <c r="CH130" s="195"/>
      <c r="CI130" s="194"/>
      <c r="CJ130" s="123"/>
      <c r="CK130" s="195"/>
      <c r="CL130" s="194"/>
      <c r="CM130" s="123"/>
      <c r="CN130" s="195"/>
      <c r="CO130" s="194"/>
      <c r="CP130" s="123"/>
      <c r="CQ130" s="195"/>
      <c r="CR130" s="194"/>
      <c r="CS130" s="123"/>
      <c r="CT130" s="195"/>
      <c r="CU130" s="194"/>
      <c r="CV130" s="123"/>
      <c r="CW130" s="195"/>
      <c r="CX130" s="194"/>
      <c r="CY130" s="123"/>
      <c r="CZ130" s="195"/>
      <c r="DA130" s="194"/>
      <c r="DB130" s="123"/>
      <c r="DC130" s="195"/>
      <c r="DD130" s="194"/>
      <c r="DE130" s="123"/>
      <c r="DF130" s="195"/>
      <c r="DL130" s="105"/>
      <c r="DM130" s="105"/>
      <c r="DN130" s="105"/>
      <c r="DO130" s="105"/>
      <c r="DP130" s="105"/>
      <c r="DQ130" s="105"/>
      <c r="DR130" s="105"/>
      <c r="DS130" s="105"/>
    </row>
    <row r="131" spans="1:123" ht="7.4" customHeight="1" x14ac:dyDescent="0.5">
      <c r="A131" s="42"/>
      <c r="B131" s="42"/>
      <c r="C131" s="311">
        <f>C127+1</f>
        <v>4</v>
      </c>
      <c r="D131" s="311"/>
      <c r="E131" s="41"/>
      <c r="F131" s="42"/>
      <c r="G131" s="319" t="str">
        <f>IF(AL131=0,"N/A","AXE_CC_SS")</f>
        <v>N/A</v>
      </c>
      <c r="H131" s="319"/>
      <c r="I131" s="319"/>
      <c r="J131" s="319"/>
      <c r="K131" s="319"/>
      <c r="L131" s="319"/>
      <c r="M131" s="319"/>
      <c r="N131" s="319"/>
      <c r="O131" s="319"/>
      <c r="P131" s="319"/>
      <c r="Q131" s="319"/>
      <c r="R131" s="320"/>
      <c r="S131" s="42"/>
      <c r="T131" s="521" t="str">
        <f>VLOOKUP(G131,PL!$B$9:$BH$1265,14,FALSE)</f>
        <v>No Item</v>
      </c>
      <c r="U131" s="521"/>
      <c r="V131" s="521"/>
      <c r="W131" s="521"/>
      <c r="X131" s="521"/>
      <c r="Y131" s="521"/>
      <c r="Z131" s="521"/>
      <c r="AA131" s="521"/>
      <c r="AB131" s="521"/>
      <c r="AC131" s="521"/>
      <c r="AD131" s="521"/>
      <c r="AE131" s="521"/>
      <c r="AF131" s="521"/>
      <c r="AG131" s="521"/>
      <c r="AH131" s="521"/>
      <c r="AI131" s="521"/>
      <c r="AJ131" s="522"/>
      <c r="AK131" s="42"/>
      <c r="AL131" s="311">
        <f>IF($N$66="Included",1,0)*ROUND(SUM(BK131:DF131)*(1+$BF$66),0)</f>
        <v>0</v>
      </c>
      <c r="AM131" s="311"/>
      <c r="AN131" s="311"/>
      <c r="AO131" s="311"/>
      <c r="AP131" s="43"/>
      <c r="AQ131" s="111"/>
      <c r="AR131" s="308" t="str">
        <f>VLOOKUP(G131,PL!$B$9:$BH$818,52,FALSE)</f>
        <v>-</v>
      </c>
      <c r="AS131" s="309"/>
      <c r="AT131" s="309"/>
      <c r="AU131" s="309"/>
      <c r="AV131" s="309"/>
      <c r="AW131" s="309"/>
      <c r="AX131" s="309"/>
      <c r="AY131" s="309"/>
      <c r="AZ131" s="309"/>
      <c r="BA131" s="309"/>
      <c r="BB131" s="309"/>
      <c r="BC131" s="309"/>
      <c r="BD131" s="309"/>
      <c r="BE131" s="309"/>
      <c r="BF131" s="309"/>
      <c r="BG131" s="309"/>
      <c r="BH131" s="124"/>
      <c r="BI131" s="41"/>
      <c r="BK131" s="412">
        <f>IF($N$66="Included",1,0)*M58*M54</f>
        <v>0</v>
      </c>
      <c r="BL131" s="413"/>
      <c r="BM131" s="414"/>
      <c r="BN131" s="412">
        <f t="shared" ref="BN131" si="0">IF($N$66="Included",1,0)*P58*P54</f>
        <v>0</v>
      </c>
      <c r="BO131" s="413"/>
      <c r="BP131" s="414"/>
      <c r="BQ131" s="412">
        <f t="shared" ref="BQ131" si="1">IF($N$66="Included",1,0)*S58*S54</f>
        <v>0</v>
      </c>
      <c r="BR131" s="413"/>
      <c r="BS131" s="414"/>
      <c r="BT131" s="412">
        <f t="shared" ref="BT131" si="2">IF($N$66="Included",1,0)*V58*V54</f>
        <v>0</v>
      </c>
      <c r="BU131" s="413"/>
      <c r="BV131" s="414"/>
      <c r="BW131" s="412">
        <f t="shared" ref="BW131" si="3">IF($N$66="Included",1,0)*Y58*Y54</f>
        <v>0</v>
      </c>
      <c r="BX131" s="413"/>
      <c r="BY131" s="414"/>
      <c r="BZ131" s="412">
        <f t="shared" ref="BZ131" si="4">IF($N$66="Included",1,0)*AB58*AB54</f>
        <v>0</v>
      </c>
      <c r="CA131" s="413"/>
      <c r="CB131" s="414"/>
      <c r="CC131" s="412">
        <f t="shared" ref="CC131" si="5">IF($N$66="Included",1,0)*AE58*AE54</f>
        <v>0</v>
      </c>
      <c r="CD131" s="413"/>
      <c r="CE131" s="414"/>
      <c r="CF131" s="412">
        <f t="shared" ref="CF131" si="6">IF($N$66="Included",1,0)*AH58*AH54</f>
        <v>0</v>
      </c>
      <c r="CG131" s="413"/>
      <c r="CH131" s="414"/>
      <c r="CI131" s="412">
        <f t="shared" ref="CI131" si="7">IF($N$66="Included",1,0)*AK58*AK54</f>
        <v>0</v>
      </c>
      <c r="CJ131" s="413"/>
      <c r="CK131" s="414"/>
      <c r="CL131" s="412">
        <f t="shared" ref="CL131" si="8">IF($N$66="Included",1,0)*AN58*AN54</f>
        <v>0</v>
      </c>
      <c r="CM131" s="413"/>
      <c r="CN131" s="414"/>
      <c r="CO131" s="412">
        <f t="shared" ref="CO131" si="9">IF($N$66="Included",1,0)*AQ58*AQ54</f>
        <v>0</v>
      </c>
      <c r="CP131" s="413"/>
      <c r="CQ131" s="414"/>
      <c r="CR131" s="412">
        <f t="shared" ref="CR131" si="10">IF($N$66="Included",1,0)*AT58*AT54</f>
        <v>0</v>
      </c>
      <c r="CS131" s="413"/>
      <c r="CT131" s="414"/>
      <c r="CU131" s="412">
        <f t="shared" ref="CU131" si="11">IF($N$66="Included",1,0)*AW58*AW54</f>
        <v>0</v>
      </c>
      <c r="CV131" s="413"/>
      <c r="CW131" s="414"/>
      <c r="CX131" s="412">
        <f t="shared" ref="CX131" si="12">IF($N$66="Included",1,0)*AZ58*AZ54</f>
        <v>0</v>
      </c>
      <c r="CY131" s="413"/>
      <c r="CZ131" s="414"/>
      <c r="DA131" s="412">
        <f t="shared" ref="DA131" si="13">IF($N$66="Included",1,0)*BC58*BC54</f>
        <v>0</v>
      </c>
      <c r="DB131" s="413"/>
      <c r="DC131" s="414"/>
      <c r="DD131" s="412">
        <f t="shared" ref="DD131" si="14">IF($N$66="Included",1,0)*BF58*BF54</f>
        <v>0</v>
      </c>
      <c r="DE131" s="413"/>
      <c r="DF131" s="414"/>
      <c r="DH131" s="311"/>
      <c r="DI131" s="311"/>
      <c r="DJ131" s="311"/>
      <c r="DK131" s="311"/>
      <c r="DL131" s="321"/>
      <c r="DM131" s="321"/>
      <c r="DN131" s="321"/>
      <c r="DO131" s="321"/>
      <c r="DP131" s="321"/>
      <c r="DQ131" s="321"/>
      <c r="DR131" s="321"/>
      <c r="DS131" s="321"/>
    </row>
    <row r="132" spans="1:123" ht="7.4" customHeight="1" x14ac:dyDescent="0.5">
      <c r="A132" s="42"/>
      <c r="B132" s="42"/>
      <c r="C132" s="311"/>
      <c r="D132" s="311"/>
      <c r="E132" s="41"/>
      <c r="F132" s="42"/>
      <c r="G132" s="319"/>
      <c r="H132" s="319"/>
      <c r="I132" s="319"/>
      <c r="J132" s="319"/>
      <c r="K132" s="319"/>
      <c r="L132" s="319"/>
      <c r="M132" s="319"/>
      <c r="N132" s="319"/>
      <c r="O132" s="319"/>
      <c r="P132" s="319"/>
      <c r="Q132" s="319"/>
      <c r="R132" s="320"/>
      <c r="S132" s="42"/>
      <c r="T132" s="521"/>
      <c r="U132" s="521"/>
      <c r="V132" s="521"/>
      <c r="W132" s="521"/>
      <c r="X132" s="521"/>
      <c r="Y132" s="521"/>
      <c r="Z132" s="521"/>
      <c r="AA132" s="521"/>
      <c r="AB132" s="521"/>
      <c r="AC132" s="521"/>
      <c r="AD132" s="521"/>
      <c r="AE132" s="521"/>
      <c r="AF132" s="521"/>
      <c r="AG132" s="521"/>
      <c r="AH132" s="521"/>
      <c r="AI132" s="521"/>
      <c r="AJ132" s="522"/>
      <c r="AK132" s="42"/>
      <c r="AL132" s="311"/>
      <c r="AM132" s="311"/>
      <c r="AN132" s="311"/>
      <c r="AO132" s="311"/>
      <c r="AP132" s="43"/>
      <c r="AQ132" s="111"/>
      <c r="AR132" s="309"/>
      <c r="AS132" s="309"/>
      <c r="AT132" s="309"/>
      <c r="AU132" s="309"/>
      <c r="AV132" s="309"/>
      <c r="AW132" s="309"/>
      <c r="AX132" s="309"/>
      <c r="AY132" s="309"/>
      <c r="AZ132" s="309"/>
      <c r="BA132" s="309"/>
      <c r="BB132" s="309"/>
      <c r="BC132" s="309"/>
      <c r="BD132" s="309"/>
      <c r="BE132" s="309"/>
      <c r="BF132" s="309"/>
      <c r="BG132" s="309"/>
      <c r="BH132" s="124"/>
      <c r="BI132" s="41"/>
      <c r="BK132" s="412"/>
      <c r="BL132" s="413"/>
      <c r="BM132" s="414"/>
      <c r="BN132" s="412"/>
      <c r="BO132" s="413"/>
      <c r="BP132" s="414"/>
      <c r="BQ132" s="412"/>
      <c r="BR132" s="413"/>
      <c r="BS132" s="414"/>
      <c r="BT132" s="412"/>
      <c r="BU132" s="413"/>
      <c r="BV132" s="414"/>
      <c r="BW132" s="412"/>
      <c r="BX132" s="413"/>
      <c r="BY132" s="414"/>
      <c r="BZ132" s="412"/>
      <c r="CA132" s="413"/>
      <c r="CB132" s="414"/>
      <c r="CC132" s="412"/>
      <c r="CD132" s="413"/>
      <c r="CE132" s="414"/>
      <c r="CF132" s="412"/>
      <c r="CG132" s="413"/>
      <c r="CH132" s="414"/>
      <c r="CI132" s="412"/>
      <c r="CJ132" s="413"/>
      <c r="CK132" s="414"/>
      <c r="CL132" s="412"/>
      <c r="CM132" s="413"/>
      <c r="CN132" s="414"/>
      <c r="CO132" s="412"/>
      <c r="CP132" s="413"/>
      <c r="CQ132" s="414"/>
      <c r="CR132" s="412"/>
      <c r="CS132" s="413"/>
      <c r="CT132" s="414"/>
      <c r="CU132" s="412"/>
      <c r="CV132" s="413"/>
      <c r="CW132" s="414"/>
      <c r="CX132" s="412"/>
      <c r="CY132" s="413"/>
      <c r="CZ132" s="414"/>
      <c r="DA132" s="412"/>
      <c r="DB132" s="413"/>
      <c r="DC132" s="414"/>
      <c r="DD132" s="412"/>
      <c r="DE132" s="413"/>
      <c r="DF132" s="414"/>
      <c r="DH132" s="311"/>
      <c r="DI132" s="311"/>
      <c r="DJ132" s="311"/>
      <c r="DK132" s="311"/>
      <c r="DL132" s="321"/>
      <c r="DM132" s="321"/>
      <c r="DN132" s="321"/>
      <c r="DO132" s="321"/>
      <c r="DP132" s="321"/>
      <c r="DQ132" s="321"/>
      <c r="DR132" s="321"/>
      <c r="DS132" s="321"/>
    </row>
    <row r="133" spans="1:123" ht="7.4" customHeight="1" x14ac:dyDescent="0.5">
      <c r="A133" s="42"/>
      <c r="B133" s="42"/>
      <c r="C133" s="75"/>
      <c r="D133" s="75"/>
      <c r="E133" s="41"/>
      <c r="F133" s="42"/>
      <c r="G133" s="120"/>
      <c r="H133" s="120"/>
      <c r="I133" s="120"/>
      <c r="J133" s="120"/>
      <c r="K133" s="120"/>
      <c r="L133" s="120"/>
      <c r="M133" s="120"/>
      <c r="N133" s="120"/>
      <c r="O133" s="120"/>
      <c r="P133" s="120"/>
      <c r="Q133" s="120"/>
      <c r="R133" s="121"/>
      <c r="S133" s="42"/>
      <c r="AJ133" s="41"/>
      <c r="AK133" s="42"/>
      <c r="AL133" s="75"/>
      <c r="AM133" s="75"/>
      <c r="AN133" s="75"/>
      <c r="AO133" s="75"/>
      <c r="AP133" s="43"/>
      <c r="AQ133" s="128"/>
      <c r="AR133" s="131"/>
      <c r="AS133" s="131"/>
      <c r="AT133" s="131"/>
      <c r="AU133" s="131"/>
      <c r="AV133" s="131"/>
      <c r="AW133" s="131"/>
      <c r="AX133" s="105"/>
      <c r="AY133" s="130"/>
      <c r="AZ133" s="119"/>
      <c r="BA133" s="119"/>
      <c r="BB133" s="119"/>
      <c r="BC133" s="119"/>
      <c r="BD133" s="119"/>
      <c r="BE133" s="119"/>
      <c r="BF133" s="119"/>
      <c r="BG133" s="119"/>
      <c r="BH133" s="124"/>
      <c r="BI133" s="41"/>
      <c r="BK133" s="194"/>
      <c r="BL133" s="123"/>
      <c r="BM133" s="195"/>
      <c r="BN133" s="194"/>
      <c r="BO133" s="123"/>
      <c r="BP133" s="195"/>
      <c r="BQ133" s="194"/>
      <c r="BR133" s="123"/>
      <c r="BS133" s="195"/>
      <c r="BT133" s="194"/>
      <c r="BU133" s="123"/>
      <c r="BV133" s="195"/>
      <c r="BW133" s="194"/>
      <c r="BX133" s="123"/>
      <c r="BY133" s="195"/>
      <c r="BZ133" s="194"/>
      <c r="CA133" s="123"/>
      <c r="CB133" s="195"/>
      <c r="CC133" s="194"/>
      <c r="CD133" s="123"/>
      <c r="CE133" s="195"/>
      <c r="CF133" s="194"/>
      <c r="CG133" s="123"/>
      <c r="CH133" s="195"/>
      <c r="CI133" s="194"/>
      <c r="CJ133" s="123"/>
      <c r="CK133" s="195"/>
      <c r="CL133" s="194"/>
      <c r="CM133" s="123"/>
      <c r="CN133" s="195"/>
      <c r="CO133" s="194"/>
      <c r="CP133" s="123"/>
      <c r="CQ133" s="195"/>
      <c r="CR133" s="194"/>
      <c r="CS133" s="123"/>
      <c r="CT133" s="195"/>
      <c r="CU133" s="194"/>
      <c r="CV133" s="123"/>
      <c r="CW133" s="195"/>
      <c r="CX133" s="194"/>
      <c r="CY133" s="123"/>
      <c r="CZ133" s="195"/>
      <c r="DA133" s="194"/>
      <c r="DB133" s="123"/>
      <c r="DC133" s="195"/>
      <c r="DD133" s="194"/>
      <c r="DE133" s="123"/>
      <c r="DF133" s="195"/>
      <c r="DL133" s="105"/>
      <c r="DM133" s="105"/>
      <c r="DN133" s="105"/>
      <c r="DO133" s="105"/>
      <c r="DP133" s="105"/>
      <c r="DQ133" s="105"/>
      <c r="DR133" s="105"/>
      <c r="DS133" s="105"/>
    </row>
    <row r="134" spans="1:123" ht="7.4" customHeight="1" x14ac:dyDescent="0.5">
      <c r="A134" s="42"/>
      <c r="B134" s="42"/>
      <c r="C134" s="55"/>
      <c r="D134" s="55"/>
      <c r="E134" s="41"/>
      <c r="F134" s="42"/>
      <c r="G134" s="56"/>
      <c r="H134" s="56"/>
      <c r="I134" s="56"/>
      <c r="J134" s="56"/>
      <c r="K134" s="56"/>
      <c r="L134" s="56"/>
      <c r="M134" s="56"/>
      <c r="N134" s="56"/>
      <c r="O134" s="56"/>
      <c r="P134" s="56"/>
      <c r="Q134" s="56"/>
      <c r="R134" s="126"/>
      <c r="S134" s="42"/>
      <c r="AJ134" s="41"/>
      <c r="AK134" s="42"/>
      <c r="AL134" s="311"/>
      <c r="AM134" s="311"/>
      <c r="AN134" s="311"/>
      <c r="AO134" s="311"/>
      <c r="AP134" s="43"/>
      <c r="AQ134" s="42"/>
      <c r="AR134" s="119"/>
      <c r="AS134" s="119"/>
      <c r="AT134" s="119"/>
      <c r="AU134" s="119"/>
      <c r="AV134" s="119"/>
      <c r="AW134" s="119"/>
      <c r="AX134" s="105"/>
      <c r="AZ134" s="119"/>
      <c r="BA134" s="119"/>
      <c r="BB134" s="119"/>
      <c r="BC134" s="119"/>
      <c r="BD134" s="119"/>
      <c r="BE134" s="119"/>
      <c r="BF134" s="119"/>
      <c r="BG134" s="119"/>
      <c r="BH134" s="124"/>
      <c r="BI134" s="41"/>
      <c r="BK134" s="194"/>
      <c r="BL134" s="123"/>
      <c r="BM134" s="195"/>
      <c r="BN134" s="194"/>
      <c r="BO134" s="123"/>
      <c r="BP134" s="195"/>
      <c r="BQ134" s="194"/>
      <c r="BR134" s="123"/>
      <c r="BS134" s="195"/>
      <c r="BT134" s="194"/>
      <c r="BU134" s="123"/>
      <c r="BV134" s="195"/>
      <c r="BW134" s="194"/>
      <c r="BX134" s="123"/>
      <c r="BY134" s="195"/>
      <c r="BZ134" s="194"/>
      <c r="CA134" s="123"/>
      <c r="CB134" s="195"/>
      <c r="CC134" s="194"/>
      <c r="CD134" s="123"/>
      <c r="CE134" s="195"/>
      <c r="CF134" s="194"/>
      <c r="CG134" s="123"/>
      <c r="CH134" s="195"/>
      <c r="CI134" s="194"/>
      <c r="CJ134" s="123"/>
      <c r="CK134" s="195"/>
      <c r="CL134" s="194"/>
      <c r="CM134" s="123"/>
      <c r="CN134" s="195"/>
      <c r="CO134" s="194"/>
      <c r="CP134" s="123"/>
      <c r="CQ134" s="195"/>
      <c r="CR134" s="194"/>
      <c r="CS134" s="123"/>
      <c r="CT134" s="195"/>
      <c r="CU134" s="194"/>
      <c r="CV134" s="123"/>
      <c r="CW134" s="195"/>
      <c r="CX134" s="194"/>
      <c r="CY134" s="123"/>
      <c r="CZ134" s="195"/>
      <c r="DA134" s="194"/>
      <c r="DB134" s="123"/>
      <c r="DC134" s="195"/>
      <c r="DD134" s="194"/>
      <c r="DE134" s="123"/>
      <c r="DF134" s="195"/>
      <c r="DL134" s="105"/>
      <c r="DM134" s="105"/>
      <c r="DN134" s="105"/>
      <c r="DO134" s="105"/>
      <c r="DP134" s="105"/>
      <c r="DQ134" s="105"/>
      <c r="DR134" s="105"/>
      <c r="DS134" s="105"/>
    </row>
    <row r="135" spans="1:123" ht="7.4" customHeight="1" x14ac:dyDescent="0.5">
      <c r="A135" s="42"/>
      <c r="B135" s="42"/>
      <c r="C135" s="311">
        <f>C131+1</f>
        <v>5</v>
      </c>
      <c r="D135" s="311"/>
      <c r="E135" s="41"/>
      <c r="F135" s="42"/>
      <c r="G135" s="319" t="str">
        <f>IF(AL135=0,"N/A","AXE_CS_8_"&amp;$AM$45-5&amp;"_SS")</f>
        <v>N/A</v>
      </c>
      <c r="H135" s="319"/>
      <c r="I135" s="319"/>
      <c r="J135" s="319"/>
      <c r="K135" s="319"/>
      <c r="L135" s="319"/>
      <c r="M135" s="319"/>
      <c r="N135" s="319"/>
      <c r="O135" s="319"/>
      <c r="P135" s="319"/>
      <c r="Q135" s="319"/>
      <c r="R135" s="320"/>
      <c r="S135" s="42"/>
      <c r="T135" s="521" t="str">
        <f>VLOOKUP(G135,PL!$B$9:$BH$1265,14,FALSE)</f>
        <v>No Item</v>
      </c>
      <c r="U135" s="521"/>
      <c r="V135" s="521"/>
      <c r="W135" s="521"/>
      <c r="X135" s="521"/>
      <c r="Y135" s="521"/>
      <c r="Z135" s="521"/>
      <c r="AA135" s="521"/>
      <c r="AB135" s="521"/>
      <c r="AC135" s="521"/>
      <c r="AD135" s="521"/>
      <c r="AE135" s="521"/>
      <c r="AF135" s="521"/>
      <c r="AG135" s="521"/>
      <c r="AH135" s="521"/>
      <c r="AI135" s="521"/>
      <c r="AJ135" s="522"/>
      <c r="AK135" s="42"/>
      <c r="AL135" s="311">
        <f>ROUND(SUM(BK135:DF135)*(1+$BF$72),0)</f>
        <v>0</v>
      </c>
      <c r="AM135" s="311"/>
      <c r="AN135" s="311"/>
      <c r="AO135" s="311"/>
      <c r="AP135" s="43"/>
      <c r="AQ135" s="111"/>
      <c r="AR135" s="308" t="str">
        <f>VLOOKUP(G135,PL!$B$9:$BH$818,52,FALSE)</f>
        <v>-</v>
      </c>
      <c r="AS135" s="309"/>
      <c r="AT135" s="309"/>
      <c r="AU135" s="309"/>
      <c r="AV135" s="309"/>
      <c r="AW135" s="309"/>
      <c r="AX135" s="309"/>
      <c r="AY135" s="309"/>
      <c r="AZ135" s="309"/>
      <c r="BA135" s="309"/>
      <c r="BB135" s="309"/>
      <c r="BC135" s="309"/>
      <c r="BD135" s="309"/>
      <c r="BE135" s="309"/>
      <c r="BF135" s="309"/>
      <c r="BG135" s="309"/>
      <c r="BH135" s="124"/>
      <c r="BI135" s="41"/>
      <c r="BK135" s="412">
        <f>IF($N$70="Included",0,BK119+BK123)</f>
        <v>0</v>
      </c>
      <c r="BL135" s="413"/>
      <c r="BM135" s="414"/>
      <c r="BN135" s="412">
        <f>IF($N$70="Included",0,BN119+BN123)</f>
        <v>0</v>
      </c>
      <c r="BO135" s="413"/>
      <c r="BP135" s="414"/>
      <c r="BQ135" s="412">
        <f>IF($N$70="Included",0,BQ119+BQ123)</f>
        <v>0</v>
      </c>
      <c r="BR135" s="413"/>
      <c r="BS135" s="414"/>
      <c r="BT135" s="412">
        <f>IF($N$70="Included",0,BT119+BT123)</f>
        <v>0</v>
      </c>
      <c r="BU135" s="413"/>
      <c r="BV135" s="414"/>
      <c r="BW135" s="412">
        <f>IF($N$70="Included",0,BW119+BW123)</f>
        <v>0</v>
      </c>
      <c r="BX135" s="413"/>
      <c r="BY135" s="414"/>
      <c r="BZ135" s="412">
        <f>IF($N$70="Included",0,BZ119+BZ123)</f>
        <v>0</v>
      </c>
      <c r="CA135" s="413"/>
      <c r="CB135" s="414"/>
      <c r="CC135" s="412">
        <f>IF($N$70="Included",0,CC119+CC123)</f>
        <v>0</v>
      </c>
      <c r="CD135" s="413"/>
      <c r="CE135" s="414"/>
      <c r="CF135" s="412">
        <f>IF($N$70="Included",0,CF119+CF123)</f>
        <v>0</v>
      </c>
      <c r="CG135" s="413"/>
      <c r="CH135" s="414"/>
      <c r="CI135" s="412">
        <f>IF($N$70="Included",0,CI119+CI123)</f>
        <v>0</v>
      </c>
      <c r="CJ135" s="413"/>
      <c r="CK135" s="414"/>
      <c r="CL135" s="412">
        <f>IF($N$70="Included",0,CL119+CL123)</f>
        <v>0</v>
      </c>
      <c r="CM135" s="413"/>
      <c r="CN135" s="414"/>
      <c r="CO135" s="412">
        <f>IF($N$70="Included",0,CO119+CO123)</f>
        <v>0</v>
      </c>
      <c r="CP135" s="413"/>
      <c r="CQ135" s="414"/>
      <c r="CR135" s="412">
        <f>IF($N$70="Included",0,CR119+CR123)</f>
        <v>0</v>
      </c>
      <c r="CS135" s="413"/>
      <c r="CT135" s="414"/>
      <c r="CU135" s="412">
        <f>IF($N$70="Included",0,CU119+CU123)</f>
        <v>0</v>
      </c>
      <c r="CV135" s="413"/>
      <c r="CW135" s="414"/>
      <c r="CX135" s="412">
        <f>IF($N$70="Included",0,CX119+CX123)</f>
        <v>0</v>
      </c>
      <c r="CY135" s="413"/>
      <c r="CZ135" s="414"/>
      <c r="DA135" s="412">
        <f>IF($N$70="Included",0,DA119+DA123)</f>
        <v>0</v>
      </c>
      <c r="DB135" s="413"/>
      <c r="DC135" s="414"/>
      <c r="DD135" s="412">
        <f>IF($N$70="Included",0,DD119+DD123)</f>
        <v>0</v>
      </c>
      <c r="DE135" s="413"/>
      <c r="DF135" s="414"/>
      <c r="DH135" s="311"/>
      <c r="DI135" s="311"/>
      <c r="DJ135" s="311"/>
      <c r="DK135" s="311"/>
      <c r="DL135" s="321"/>
      <c r="DM135" s="321"/>
      <c r="DN135" s="321"/>
      <c r="DO135" s="321"/>
      <c r="DP135" s="321"/>
      <c r="DQ135" s="321"/>
      <c r="DR135" s="321"/>
      <c r="DS135" s="321"/>
    </row>
    <row r="136" spans="1:123" ht="7.4" customHeight="1" x14ac:dyDescent="0.5">
      <c r="A136" s="42"/>
      <c r="B136" s="42"/>
      <c r="C136" s="311"/>
      <c r="D136" s="311"/>
      <c r="E136" s="41"/>
      <c r="F136" s="42"/>
      <c r="G136" s="319"/>
      <c r="H136" s="319"/>
      <c r="I136" s="319"/>
      <c r="J136" s="319"/>
      <c r="K136" s="319"/>
      <c r="L136" s="319"/>
      <c r="M136" s="319"/>
      <c r="N136" s="319"/>
      <c r="O136" s="319"/>
      <c r="P136" s="319"/>
      <c r="Q136" s="319"/>
      <c r="R136" s="320"/>
      <c r="S136" s="42"/>
      <c r="T136" s="521"/>
      <c r="U136" s="521"/>
      <c r="V136" s="521"/>
      <c r="W136" s="521"/>
      <c r="X136" s="521"/>
      <c r="Y136" s="521"/>
      <c r="Z136" s="521"/>
      <c r="AA136" s="521"/>
      <c r="AB136" s="521"/>
      <c r="AC136" s="521"/>
      <c r="AD136" s="521"/>
      <c r="AE136" s="521"/>
      <c r="AF136" s="521"/>
      <c r="AG136" s="521"/>
      <c r="AH136" s="521"/>
      <c r="AI136" s="521"/>
      <c r="AJ136" s="522"/>
      <c r="AK136" s="42"/>
      <c r="AL136" s="311"/>
      <c r="AM136" s="311"/>
      <c r="AN136" s="311"/>
      <c r="AO136" s="311"/>
      <c r="AP136" s="43"/>
      <c r="AQ136" s="111"/>
      <c r="AR136" s="309"/>
      <c r="AS136" s="309"/>
      <c r="AT136" s="309"/>
      <c r="AU136" s="309"/>
      <c r="AV136" s="309"/>
      <c r="AW136" s="309"/>
      <c r="AX136" s="309"/>
      <c r="AY136" s="309"/>
      <c r="AZ136" s="309"/>
      <c r="BA136" s="309"/>
      <c r="BB136" s="309"/>
      <c r="BC136" s="309"/>
      <c r="BD136" s="309"/>
      <c r="BE136" s="309"/>
      <c r="BF136" s="309"/>
      <c r="BG136" s="309"/>
      <c r="BH136" s="124"/>
      <c r="BI136" s="41"/>
      <c r="BK136" s="412"/>
      <c r="BL136" s="413"/>
      <c r="BM136" s="414"/>
      <c r="BN136" s="412"/>
      <c r="BO136" s="413"/>
      <c r="BP136" s="414"/>
      <c r="BQ136" s="412"/>
      <c r="BR136" s="413"/>
      <c r="BS136" s="414"/>
      <c r="BT136" s="412"/>
      <c r="BU136" s="413"/>
      <c r="BV136" s="414"/>
      <c r="BW136" s="412"/>
      <c r="BX136" s="413"/>
      <c r="BY136" s="414"/>
      <c r="BZ136" s="412"/>
      <c r="CA136" s="413"/>
      <c r="CB136" s="414"/>
      <c r="CC136" s="412"/>
      <c r="CD136" s="413"/>
      <c r="CE136" s="414"/>
      <c r="CF136" s="412"/>
      <c r="CG136" s="413"/>
      <c r="CH136" s="414"/>
      <c r="CI136" s="412"/>
      <c r="CJ136" s="413"/>
      <c r="CK136" s="414"/>
      <c r="CL136" s="412"/>
      <c r="CM136" s="413"/>
      <c r="CN136" s="414"/>
      <c r="CO136" s="412"/>
      <c r="CP136" s="413"/>
      <c r="CQ136" s="414"/>
      <c r="CR136" s="412"/>
      <c r="CS136" s="413"/>
      <c r="CT136" s="414"/>
      <c r="CU136" s="412"/>
      <c r="CV136" s="413"/>
      <c r="CW136" s="414"/>
      <c r="CX136" s="412"/>
      <c r="CY136" s="413"/>
      <c r="CZ136" s="414"/>
      <c r="DA136" s="412"/>
      <c r="DB136" s="413"/>
      <c r="DC136" s="414"/>
      <c r="DD136" s="412"/>
      <c r="DE136" s="413"/>
      <c r="DF136" s="414"/>
      <c r="DH136" s="311"/>
      <c r="DI136" s="311"/>
      <c r="DJ136" s="311"/>
      <c r="DK136" s="311"/>
      <c r="DL136" s="321"/>
      <c r="DM136" s="321"/>
      <c r="DN136" s="321"/>
      <c r="DO136" s="321"/>
      <c r="DP136" s="321"/>
      <c r="DQ136" s="321"/>
      <c r="DR136" s="321"/>
      <c r="DS136" s="321"/>
    </row>
    <row r="137" spans="1:123" ht="7.4" customHeight="1" x14ac:dyDescent="0.5">
      <c r="A137" s="42"/>
      <c r="B137" s="42"/>
      <c r="C137" s="333"/>
      <c r="D137" s="333"/>
      <c r="E137" s="41"/>
      <c r="F137" s="42"/>
      <c r="G137" s="56"/>
      <c r="H137" s="56"/>
      <c r="I137" s="56"/>
      <c r="J137" s="56"/>
      <c r="K137" s="56"/>
      <c r="L137" s="56"/>
      <c r="M137" s="56"/>
      <c r="N137" s="56"/>
      <c r="O137" s="56"/>
      <c r="P137" s="56"/>
      <c r="Q137" s="56"/>
      <c r="R137" s="126"/>
      <c r="S137" s="42"/>
      <c r="T137" s="116" t="str">
        <f>VLOOKUP(G135,PL!$B$9:$BH$1265,33,FALSE)</f>
        <v>.</v>
      </c>
      <c r="AJ137" s="41"/>
      <c r="AK137" s="42"/>
      <c r="AL137" s="311"/>
      <c r="AM137" s="311"/>
      <c r="AN137" s="311"/>
      <c r="AO137" s="311"/>
      <c r="AP137" s="43"/>
      <c r="AQ137" s="42"/>
      <c r="AR137" s="119"/>
      <c r="AS137" s="119"/>
      <c r="AT137" s="119"/>
      <c r="AU137" s="119"/>
      <c r="AV137" s="119"/>
      <c r="AW137" s="119"/>
      <c r="AX137" s="105"/>
      <c r="AZ137" s="119"/>
      <c r="BA137" s="119"/>
      <c r="BB137" s="119"/>
      <c r="BC137" s="119"/>
      <c r="BD137" s="119"/>
      <c r="BE137" s="119"/>
      <c r="BF137" s="119"/>
      <c r="BG137" s="119"/>
      <c r="BH137" s="124"/>
      <c r="BI137" s="41"/>
      <c r="BK137" s="194"/>
      <c r="BL137" s="123"/>
      <c r="BM137" s="195"/>
      <c r="BN137" s="194"/>
      <c r="BO137" s="123"/>
      <c r="BP137" s="195"/>
      <c r="BQ137" s="194"/>
      <c r="BR137" s="123"/>
      <c r="BS137" s="195"/>
      <c r="BT137" s="194"/>
      <c r="BU137" s="123"/>
      <c r="BV137" s="195"/>
      <c r="BW137" s="194"/>
      <c r="BX137" s="123"/>
      <c r="BY137" s="195"/>
      <c r="BZ137" s="194"/>
      <c r="CA137" s="123"/>
      <c r="CB137" s="195"/>
      <c r="CC137" s="194"/>
      <c r="CD137" s="123"/>
      <c r="CE137" s="195"/>
      <c r="CF137" s="194"/>
      <c r="CG137" s="123"/>
      <c r="CH137" s="195"/>
      <c r="CI137" s="194"/>
      <c r="CJ137" s="123"/>
      <c r="CK137" s="195"/>
      <c r="CL137" s="194"/>
      <c r="CM137" s="123"/>
      <c r="CN137" s="195"/>
      <c r="CO137" s="194"/>
      <c r="CP137" s="123"/>
      <c r="CQ137" s="195"/>
      <c r="CR137" s="194"/>
      <c r="CS137" s="123"/>
      <c r="CT137" s="195"/>
      <c r="CU137" s="194"/>
      <c r="CV137" s="123"/>
      <c r="CW137" s="195"/>
      <c r="CX137" s="194"/>
      <c r="CY137" s="123"/>
      <c r="CZ137" s="195"/>
      <c r="DA137" s="194"/>
      <c r="DB137" s="123"/>
      <c r="DC137" s="195"/>
      <c r="DD137" s="194"/>
      <c r="DE137" s="123"/>
      <c r="DF137" s="195"/>
      <c r="DH137" s="311"/>
      <c r="DI137" s="311"/>
      <c r="DJ137" s="311"/>
      <c r="DK137" s="311"/>
      <c r="DL137" s="321"/>
      <c r="DM137" s="321"/>
      <c r="DN137" s="321"/>
      <c r="DO137" s="321"/>
      <c r="DP137" s="321"/>
      <c r="DQ137" s="321"/>
      <c r="DR137" s="321"/>
      <c r="DS137" s="321"/>
    </row>
    <row r="138" spans="1:123" ht="7.4" customHeight="1" x14ac:dyDescent="0.5">
      <c r="A138" s="42"/>
      <c r="B138" s="42"/>
      <c r="C138" s="333"/>
      <c r="D138" s="333"/>
      <c r="E138" s="41"/>
      <c r="F138" s="42"/>
      <c r="G138" s="56"/>
      <c r="H138" s="56"/>
      <c r="I138" s="56"/>
      <c r="J138" s="56"/>
      <c r="K138" s="56"/>
      <c r="L138" s="56"/>
      <c r="M138" s="56"/>
      <c r="N138" s="56"/>
      <c r="O138" s="56"/>
      <c r="P138" s="56"/>
      <c r="Q138" s="56"/>
      <c r="R138" s="126"/>
      <c r="S138" s="42"/>
      <c r="AJ138" s="41"/>
      <c r="AK138" s="42"/>
      <c r="AL138" s="311"/>
      <c r="AM138" s="311"/>
      <c r="AN138" s="311"/>
      <c r="AO138" s="311"/>
      <c r="AP138" s="43"/>
      <c r="AQ138" s="42"/>
      <c r="AR138" s="119"/>
      <c r="AS138" s="119"/>
      <c r="AT138" s="119"/>
      <c r="AU138" s="119"/>
      <c r="AV138" s="119"/>
      <c r="AW138" s="119"/>
      <c r="AX138" s="105"/>
      <c r="AZ138" s="119"/>
      <c r="BA138" s="119"/>
      <c r="BB138" s="119"/>
      <c r="BC138" s="119"/>
      <c r="BD138" s="119"/>
      <c r="BE138" s="119"/>
      <c r="BF138" s="119"/>
      <c r="BG138" s="119"/>
      <c r="BH138" s="124"/>
      <c r="BI138" s="41"/>
      <c r="BK138" s="194"/>
      <c r="BL138" s="123"/>
      <c r="BM138" s="195"/>
      <c r="BN138" s="194"/>
      <c r="BO138" s="123"/>
      <c r="BP138" s="195"/>
      <c r="BQ138" s="194"/>
      <c r="BR138" s="123"/>
      <c r="BS138" s="195"/>
      <c r="BT138" s="194"/>
      <c r="BU138" s="123"/>
      <c r="BV138" s="195"/>
      <c r="BW138" s="194"/>
      <c r="BX138" s="123"/>
      <c r="BY138" s="195"/>
      <c r="BZ138" s="194"/>
      <c r="CA138" s="123"/>
      <c r="CB138" s="195"/>
      <c r="CC138" s="194"/>
      <c r="CD138" s="123"/>
      <c r="CE138" s="195"/>
      <c r="CF138" s="194"/>
      <c r="CG138" s="123"/>
      <c r="CH138" s="195"/>
      <c r="CI138" s="194"/>
      <c r="CJ138" s="123"/>
      <c r="CK138" s="195"/>
      <c r="CL138" s="194"/>
      <c r="CM138" s="123"/>
      <c r="CN138" s="195"/>
      <c r="CO138" s="194"/>
      <c r="CP138" s="123"/>
      <c r="CQ138" s="195"/>
      <c r="CR138" s="194"/>
      <c r="CS138" s="123"/>
      <c r="CT138" s="195"/>
      <c r="CU138" s="194"/>
      <c r="CV138" s="123"/>
      <c r="CW138" s="195"/>
      <c r="CX138" s="194"/>
      <c r="CY138" s="123"/>
      <c r="CZ138" s="195"/>
      <c r="DA138" s="194"/>
      <c r="DB138" s="123"/>
      <c r="DC138" s="195"/>
      <c r="DD138" s="194"/>
      <c r="DE138" s="123"/>
      <c r="DF138" s="195"/>
      <c r="DH138" s="311"/>
      <c r="DI138" s="311"/>
      <c r="DJ138" s="311"/>
      <c r="DK138" s="311"/>
      <c r="DL138" s="321"/>
      <c r="DM138" s="321"/>
      <c r="DN138" s="321"/>
      <c r="DO138" s="321"/>
      <c r="DP138" s="321"/>
      <c r="DQ138" s="321"/>
      <c r="DR138" s="321"/>
      <c r="DS138" s="321"/>
    </row>
    <row r="139" spans="1:123" ht="7.4" customHeight="1" x14ac:dyDescent="0.5">
      <c r="A139" s="42"/>
      <c r="B139" s="42"/>
      <c r="C139" s="311">
        <f>C135+1</f>
        <v>6</v>
      </c>
      <c r="D139" s="311"/>
      <c r="E139" s="41"/>
      <c r="F139" s="42"/>
      <c r="G139" s="319" t="str">
        <f>IF(AL139=0,"N/A","AXE_WS_8"&amp;"_SS")</f>
        <v>N/A</v>
      </c>
      <c r="H139" s="319"/>
      <c r="I139" s="319"/>
      <c r="J139" s="319"/>
      <c r="K139" s="319"/>
      <c r="L139" s="319"/>
      <c r="M139" s="319"/>
      <c r="N139" s="319"/>
      <c r="O139" s="319"/>
      <c r="P139" s="319"/>
      <c r="Q139" s="319"/>
      <c r="R139" s="320"/>
      <c r="S139" s="42"/>
      <c r="T139" s="521" t="str">
        <f>VLOOKUP(G139,PL!$B$9:$BH$1265,14,FALSE)</f>
        <v>No Item</v>
      </c>
      <c r="U139" s="521"/>
      <c r="V139" s="521"/>
      <c r="W139" s="521"/>
      <c r="X139" s="521"/>
      <c r="Y139" s="521"/>
      <c r="Z139" s="521"/>
      <c r="AA139" s="521"/>
      <c r="AB139" s="521"/>
      <c r="AC139" s="521"/>
      <c r="AD139" s="521"/>
      <c r="AE139" s="521"/>
      <c r="AF139" s="521"/>
      <c r="AG139" s="521"/>
      <c r="AH139" s="521"/>
      <c r="AI139" s="521"/>
      <c r="AJ139" s="522"/>
      <c r="AK139" s="42"/>
      <c r="AL139" s="311">
        <f>ROUND(SUM(BK139:DF139)*(1+$BF$72),0)</f>
        <v>0</v>
      </c>
      <c r="AM139" s="311"/>
      <c r="AN139" s="311"/>
      <c r="AO139" s="311"/>
      <c r="AP139" s="43"/>
      <c r="AQ139" s="111"/>
      <c r="AR139" s="308" t="str">
        <f>VLOOKUP(G139,PL!$B$9:$BH$818,52,FALSE)</f>
        <v>-</v>
      </c>
      <c r="AS139" s="309"/>
      <c r="AT139" s="309"/>
      <c r="AU139" s="309"/>
      <c r="AV139" s="309"/>
      <c r="AW139" s="309"/>
      <c r="AX139" s="309"/>
      <c r="AY139" s="309"/>
      <c r="AZ139" s="309"/>
      <c r="BA139" s="309"/>
      <c r="BB139" s="309"/>
      <c r="BC139" s="309"/>
      <c r="BD139" s="309"/>
      <c r="BE139" s="309"/>
      <c r="BF139" s="309"/>
      <c r="BG139" s="309"/>
      <c r="BH139" s="124"/>
      <c r="BI139" s="41"/>
      <c r="BK139" s="412">
        <f>BK135</f>
        <v>0</v>
      </c>
      <c r="BL139" s="413"/>
      <c r="BM139" s="414"/>
      <c r="BN139" s="412">
        <f>BN135</f>
        <v>0</v>
      </c>
      <c r="BO139" s="413"/>
      <c r="BP139" s="414"/>
      <c r="BQ139" s="412">
        <f>BQ135</f>
        <v>0</v>
      </c>
      <c r="BR139" s="413"/>
      <c r="BS139" s="414"/>
      <c r="BT139" s="412">
        <f>BT135</f>
        <v>0</v>
      </c>
      <c r="BU139" s="413"/>
      <c r="BV139" s="414"/>
      <c r="BW139" s="412">
        <f>BW135</f>
        <v>0</v>
      </c>
      <c r="BX139" s="413"/>
      <c r="BY139" s="414"/>
      <c r="BZ139" s="412">
        <f>BZ135</f>
        <v>0</v>
      </c>
      <c r="CA139" s="413"/>
      <c r="CB139" s="414"/>
      <c r="CC139" s="412">
        <f>CC135</f>
        <v>0</v>
      </c>
      <c r="CD139" s="413"/>
      <c r="CE139" s="414"/>
      <c r="CF139" s="412">
        <f>CF135</f>
        <v>0</v>
      </c>
      <c r="CG139" s="413"/>
      <c r="CH139" s="414"/>
      <c r="CI139" s="412">
        <f>CI135</f>
        <v>0</v>
      </c>
      <c r="CJ139" s="413"/>
      <c r="CK139" s="414"/>
      <c r="CL139" s="412">
        <f>CL135</f>
        <v>0</v>
      </c>
      <c r="CM139" s="413"/>
      <c r="CN139" s="414"/>
      <c r="CO139" s="412">
        <f>CO135</f>
        <v>0</v>
      </c>
      <c r="CP139" s="413"/>
      <c r="CQ139" s="414"/>
      <c r="CR139" s="412">
        <f>CR135</f>
        <v>0</v>
      </c>
      <c r="CS139" s="413"/>
      <c r="CT139" s="414"/>
      <c r="CU139" s="412">
        <f>CU135</f>
        <v>0</v>
      </c>
      <c r="CV139" s="413"/>
      <c r="CW139" s="414"/>
      <c r="CX139" s="412">
        <f>CX135</f>
        <v>0</v>
      </c>
      <c r="CY139" s="413"/>
      <c r="CZ139" s="414"/>
      <c r="DA139" s="412">
        <f>DA135</f>
        <v>0</v>
      </c>
      <c r="DB139" s="413"/>
      <c r="DC139" s="414"/>
      <c r="DD139" s="412">
        <f>DD135</f>
        <v>0</v>
      </c>
      <c r="DE139" s="413"/>
      <c r="DF139" s="414"/>
      <c r="DH139" s="311"/>
      <c r="DI139" s="311"/>
      <c r="DJ139" s="311"/>
      <c r="DK139" s="311"/>
      <c r="DL139" s="321"/>
      <c r="DM139" s="321"/>
      <c r="DN139" s="321"/>
      <c r="DO139" s="321"/>
      <c r="DP139" s="321"/>
      <c r="DQ139" s="321"/>
      <c r="DR139" s="321"/>
      <c r="DS139" s="321"/>
    </row>
    <row r="140" spans="1:123" ht="7.4" customHeight="1" x14ac:dyDescent="0.5">
      <c r="A140" s="42"/>
      <c r="B140" s="42"/>
      <c r="C140" s="311"/>
      <c r="D140" s="311"/>
      <c r="E140" s="41"/>
      <c r="F140" s="42"/>
      <c r="G140" s="319"/>
      <c r="H140" s="319"/>
      <c r="I140" s="319"/>
      <c r="J140" s="319"/>
      <c r="K140" s="319"/>
      <c r="L140" s="319"/>
      <c r="M140" s="319"/>
      <c r="N140" s="319"/>
      <c r="O140" s="319"/>
      <c r="P140" s="319"/>
      <c r="Q140" s="319"/>
      <c r="R140" s="320"/>
      <c r="S140" s="42"/>
      <c r="T140" s="521"/>
      <c r="U140" s="521"/>
      <c r="V140" s="521"/>
      <c r="W140" s="521"/>
      <c r="X140" s="521"/>
      <c r="Y140" s="521"/>
      <c r="Z140" s="521"/>
      <c r="AA140" s="521"/>
      <c r="AB140" s="521"/>
      <c r="AC140" s="521"/>
      <c r="AD140" s="521"/>
      <c r="AE140" s="521"/>
      <c r="AF140" s="521"/>
      <c r="AG140" s="521"/>
      <c r="AH140" s="521"/>
      <c r="AI140" s="521"/>
      <c r="AJ140" s="522"/>
      <c r="AK140" s="42"/>
      <c r="AL140" s="311"/>
      <c r="AM140" s="311"/>
      <c r="AN140" s="311"/>
      <c r="AO140" s="311"/>
      <c r="AP140" s="43"/>
      <c r="AQ140" s="111"/>
      <c r="AR140" s="309"/>
      <c r="AS140" s="309"/>
      <c r="AT140" s="309"/>
      <c r="AU140" s="309"/>
      <c r="AV140" s="309"/>
      <c r="AW140" s="309"/>
      <c r="AX140" s="309"/>
      <c r="AY140" s="309"/>
      <c r="AZ140" s="309"/>
      <c r="BA140" s="309"/>
      <c r="BB140" s="309"/>
      <c r="BC140" s="309"/>
      <c r="BD140" s="309"/>
      <c r="BE140" s="309"/>
      <c r="BF140" s="309"/>
      <c r="BG140" s="309"/>
      <c r="BH140" s="124"/>
      <c r="BI140" s="41"/>
      <c r="BK140" s="412"/>
      <c r="BL140" s="413"/>
      <c r="BM140" s="414"/>
      <c r="BN140" s="412"/>
      <c r="BO140" s="413"/>
      <c r="BP140" s="414"/>
      <c r="BQ140" s="412"/>
      <c r="BR140" s="413"/>
      <c r="BS140" s="414"/>
      <c r="BT140" s="412"/>
      <c r="BU140" s="413"/>
      <c r="BV140" s="414"/>
      <c r="BW140" s="412"/>
      <c r="BX140" s="413"/>
      <c r="BY140" s="414"/>
      <c r="BZ140" s="412"/>
      <c r="CA140" s="413"/>
      <c r="CB140" s="414"/>
      <c r="CC140" s="412"/>
      <c r="CD140" s="413"/>
      <c r="CE140" s="414"/>
      <c r="CF140" s="412"/>
      <c r="CG140" s="413"/>
      <c r="CH140" s="414"/>
      <c r="CI140" s="412"/>
      <c r="CJ140" s="413"/>
      <c r="CK140" s="414"/>
      <c r="CL140" s="412"/>
      <c r="CM140" s="413"/>
      <c r="CN140" s="414"/>
      <c r="CO140" s="412"/>
      <c r="CP140" s="413"/>
      <c r="CQ140" s="414"/>
      <c r="CR140" s="412"/>
      <c r="CS140" s="413"/>
      <c r="CT140" s="414"/>
      <c r="CU140" s="412"/>
      <c r="CV140" s="413"/>
      <c r="CW140" s="414"/>
      <c r="CX140" s="412"/>
      <c r="CY140" s="413"/>
      <c r="CZ140" s="414"/>
      <c r="DA140" s="412"/>
      <c r="DB140" s="413"/>
      <c r="DC140" s="414"/>
      <c r="DD140" s="412"/>
      <c r="DE140" s="413"/>
      <c r="DF140" s="414"/>
      <c r="DH140" s="311"/>
      <c r="DI140" s="311"/>
      <c r="DJ140" s="311"/>
      <c r="DK140" s="311"/>
      <c r="DL140" s="321"/>
      <c r="DM140" s="321"/>
      <c r="DN140" s="321"/>
      <c r="DO140" s="321"/>
      <c r="DP140" s="321"/>
      <c r="DQ140" s="321"/>
      <c r="DR140" s="321"/>
      <c r="DS140" s="321"/>
    </row>
    <row r="141" spans="1:123" ht="7.4" customHeight="1" x14ac:dyDescent="0.5">
      <c r="A141" s="42"/>
      <c r="B141" s="42"/>
      <c r="C141" s="333"/>
      <c r="D141" s="333"/>
      <c r="E141" s="41"/>
      <c r="F141" s="42"/>
      <c r="G141" s="56"/>
      <c r="H141" s="56"/>
      <c r="I141" s="56"/>
      <c r="J141" s="56"/>
      <c r="K141" s="56"/>
      <c r="L141" s="56"/>
      <c r="M141" s="56"/>
      <c r="N141" s="56"/>
      <c r="O141" s="56"/>
      <c r="P141" s="56"/>
      <c r="Q141" s="56"/>
      <c r="R141" s="126"/>
      <c r="S141" s="42"/>
      <c r="T141" s="116" t="str">
        <f>VLOOKUP(G139,PL!$B$9:$BH$1265,33,FALSE)</f>
        <v>.</v>
      </c>
      <c r="AJ141" s="41"/>
      <c r="AK141" s="42"/>
      <c r="AL141" s="311"/>
      <c r="AM141" s="311"/>
      <c r="AN141" s="311"/>
      <c r="AO141" s="311"/>
      <c r="AP141" s="43"/>
      <c r="AQ141" s="42"/>
      <c r="AR141" s="119"/>
      <c r="AS141" s="119"/>
      <c r="AT141" s="119"/>
      <c r="AU141" s="119"/>
      <c r="AV141" s="119"/>
      <c r="AW141" s="119"/>
      <c r="AX141" s="105"/>
      <c r="AZ141" s="119"/>
      <c r="BA141" s="119"/>
      <c r="BB141" s="119"/>
      <c r="BC141" s="119"/>
      <c r="BD141" s="119"/>
      <c r="BE141" s="119"/>
      <c r="BF141" s="119"/>
      <c r="BG141" s="119"/>
      <c r="BH141" s="124"/>
      <c r="BI141" s="41"/>
      <c r="BK141" s="194"/>
      <c r="BL141" s="123"/>
      <c r="BM141" s="195"/>
      <c r="BN141" s="194"/>
      <c r="BO141" s="123"/>
      <c r="BP141" s="195"/>
      <c r="BQ141" s="194"/>
      <c r="BR141" s="123"/>
      <c r="BS141" s="195"/>
      <c r="BT141" s="194"/>
      <c r="BU141" s="123"/>
      <c r="BV141" s="195"/>
      <c r="BW141" s="194"/>
      <c r="BX141" s="123"/>
      <c r="BY141" s="195"/>
      <c r="BZ141" s="194"/>
      <c r="CA141" s="123"/>
      <c r="CB141" s="195"/>
      <c r="CC141" s="194"/>
      <c r="CD141" s="123"/>
      <c r="CE141" s="195"/>
      <c r="CF141" s="194"/>
      <c r="CG141" s="123"/>
      <c r="CH141" s="195"/>
      <c r="CI141" s="194"/>
      <c r="CJ141" s="123"/>
      <c r="CK141" s="195"/>
      <c r="CL141" s="194"/>
      <c r="CM141" s="123"/>
      <c r="CN141" s="195"/>
      <c r="CO141" s="194"/>
      <c r="CP141" s="123"/>
      <c r="CQ141" s="195"/>
      <c r="CR141" s="194"/>
      <c r="CS141" s="123"/>
      <c r="CT141" s="195"/>
      <c r="CU141" s="194"/>
      <c r="CV141" s="123"/>
      <c r="CW141" s="195"/>
      <c r="CX141" s="194"/>
      <c r="CY141" s="123"/>
      <c r="CZ141" s="195"/>
      <c r="DA141" s="194"/>
      <c r="DB141" s="123"/>
      <c r="DC141" s="195"/>
      <c r="DD141" s="194"/>
      <c r="DE141" s="123"/>
      <c r="DF141" s="195"/>
      <c r="DH141" s="311"/>
      <c r="DI141" s="311"/>
      <c r="DJ141" s="311"/>
      <c r="DK141" s="311"/>
      <c r="DL141" s="321"/>
      <c r="DM141" s="321"/>
      <c r="DN141" s="321"/>
      <c r="DO141" s="321"/>
      <c r="DP141" s="321"/>
      <c r="DQ141" s="321"/>
      <c r="DR141" s="321"/>
      <c r="DS141" s="321"/>
    </row>
    <row r="142" spans="1:123" ht="7.4" customHeight="1" x14ac:dyDescent="0.5">
      <c r="A142" s="42"/>
      <c r="B142" s="42"/>
      <c r="C142" s="333"/>
      <c r="D142" s="333"/>
      <c r="E142" s="41"/>
      <c r="F142" s="42"/>
      <c r="G142" s="56"/>
      <c r="H142" s="56"/>
      <c r="I142" s="56"/>
      <c r="J142" s="56"/>
      <c r="K142" s="56"/>
      <c r="L142" s="56"/>
      <c r="M142" s="56"/>
      <c r="N142" s="56"/>
      <c r="O142" s="56"/>
      <c r="P142" s="56"/>
      <c r="Q142" s="56"/>
      <c r="R142" s="126"/>
      <c r="S142" s="42"/>
      <c r="AJ142" s="41"/>
      <c r="AK142" s="42"/>
      <c r="AL142" s="311"/>
      <c r="AM142" s="311"/>
      <c r="AN142" s="311"/>
      <c r="AO142" s="311"/>
      <c r="AP142" s="43"/>
      <c r="AQ142" s="42"/>
      <c r="AR142" s="119"/>
      <c r="AS142" s="119"/>
      <c r="AT142" s="119"/>
      <c r="AU142" s="119"/>
      <c r="AV142" s="119"/>
      <c r="AW142" s="119"/>
      <c r="AX142" s="105"/>
      <c r="AZ142" s="119"/>
      <c r="BA142" s="119"/>
      <c r="BB142" s="119"/>
      <c r="BC142" s="119"/>
      <c r="BD142" s="119"/>
      <c r="BE142" s="119"/>
      <c r="BF142" s="119"/>
      <c r="BG142" s="119"/>
      <c r="BH142" s="124"/>
      <c r="BI142" s="41"/>
      <c r="BK142" s="194"/>
      <c r="BL142" s="123"/>
      <c r="BM142" s="195"/>
      <c r="BN142" s="194"/>
      <c r="BO142" s="123"/>
      <c r="BP142" s="195"/>
      <c r="BQ142" s="194"/>
      <c r="BR142" s="123"/>
      <c r="BS142" s="195"/>
      <c r="BT142" s="194"/>
      <c r="BU142" s="123"/>
      <c r="BV142" s="195"/>
      <c r="BW142" s="194"/>
      <c r="BX142" s="123"/>
      <c r="BY142" s="195"/>
      <c r="BZ142" s="194"/>
      <c r="CA142" s="123"/>
      <c r="CB142" s="195"/>
      <c r="CC142" s="194"/>
      <c r="CD142" s="123"/>
      <c r="CE142" s="195"/>
      <c r="CF142" s="194"/>
      <c r="CG142" s="123"/>
      <c r="CH142" s="195"/>
      <c r="CI142" s="194"/>
      <c r="CJ142" s="123"/>
      <c r="CK142" s="195"/>
      <c r="CL142" s="194"/>
      <c r="CM142" s="123"/>
      <c r="CN142" s="195"/>
      <c r="CO142" s="194"/>
      <c r="CP142" s="123"/>
      <c r="CQ142" s="195"/>
      <c r="CR142" s="194"/>
      <c r="CS142" s="123"/>
      <c r="CT142" s="195"/>
      <c r="CU142" s="194"/>
      <c r="CV142" s="123"/>
      <c r="CW142" s="195"/>
      <c r="CX142" s="194"/>
      <c r="CY142" s="123"/>
      <c r="CZ142" s="195"/>
      <c r="DA142" s="194"/>
      <c r="DB142" s="123"/>
      <c r="DC142" s="195"/>
      <c r="DD142" s="194"/>
      <c r="DE142" s="123"/>
      <c r="DF142" s="195"/>
      <c r="DH142" s="311"/>
      <c r="DI142" s="311"/>
      <c r="DJ142" s="311"/>
      <c r="DK142" s="311"/>
      <c r="DL142" s="321"/>
      <c r="DM142" s="321"/>
      <c r="DN142" s="321"/>
      <c r="DO142" s="321"/>
      <c r="DP142" s="321"/>
      <c r="DQ142" s="321"/>
      <c r="DR142" s="321"/>
      <c r="DS142" s="321"/>
    </row>
    <row r="143" spans="1:123" ht="7.4" customHeight="1" x14ac:dyDescent="0.5">
      <c r="A143" s="42"/>
      <c r="B143" s="42"/>
      <c r="C143" s="311">
        <f>C139+1</f>
        <v>7</v>
      </c>
      <c r="D143" s="311"/>
      <c r="E143" s="41"/>
      <c r="F143" s="42"/>
      <c r="G143" s="319" t="str">
        <f>IF(AL143=0,"N/A","AXE_NSQ_8_SS")</f>
        <v>N/A</v>
      </c>
      <c r="H143" s="319"/>
      <c r="I143" s="319"/>
      <c r="J143" s="319"/>
      <c r="K143" s="319"/>
      <c r="L143" s="319"/>
      <c r="M143" s="319"/>
      <c r="N143" s="319"/>
      <c r="O143" s="319"/>
      <c r="P143" s="319"/>
      <c r="Q143" s="319"/>
      <c r="R143" s="320"/>
      <c r="S143" s="42"/>
      <c r="T143" s="521" t="str">
        <f>VLOOKUP(G143,PL!$B$9:$BH$1265,14,FALSE)</f>
        <v>No Item</v>
      </c>
      <c r="U143" s="521"/>
      <c r="V143" s="521"/>
      <c r="W143" s="521"/>
      <c r="X143" s="521"/>
      <c r="Y143" s="521"/>
      <c r="Z143" s="521"/>
      <c r="AA143" s="521"/>
      <c r="AB143" s="521"/>
      <c r="AC143" s="521"/>
      <c r="AD143" s="521"/>
      <c r="AE143" s="521"/>
      <c r="AF143" s="521"/>
      <c r="AG143" s="521"/>
      <c r="AH143" s="521"/>
      <c r="AI143" s="521"/>
      <c r="AJ143" s="522"/>
      <c r="AK143" s="42"/>
      <c r="AL143" s="311">
        <f>ROUND(SUM(BK143:DF143)*(1+$BF$72),0)</f>
        <v>0</v>
      </c>
      <c r="AM143" s="311"/>
      <c r="AN143" s="311"/>
      <c r="AO143" s="311"/>
      <c r="AP143" s="43"/>
      <c r="AQ143" s="111"/>
      <c r="AR143" s="308" t="str">
        <f>VLOOKUP(G143,PL!$B$9:$BH$818,52,FALSE)</f>
        <v>-</v>
      </c>
      <c r="AS143" s="309"/>
      <c r="AT143" s="309"/>
      <c r="AU143" s="309"/>
      <c r="AV143" s="309"/>
      <c r="AW143" s="309"/>
      <c r="AX143" s="309"/>
      <c r="AY143" s="309"/>
      <c r="AZ143" s="309"/>
      <c r="BA143" s="309"/>
      <c r="BB143" s="309"/>
      <c r="BC143" s="309"/>
      <c r="BD143" s="309"/>
      <c r="BE143" s="309"/>
      <c r="BF143" s="309"/>
      <c r="BG143" s="309"/>
      <c r="BH143" s="124"/>
      <c r="BI143" s="41"/>
      <c r="BK143" s="412">
        <f>BK135</f>
        <v>0</v>
      </c>
      <c r="BL143" s="413"/>
      <c r="BM143" s="414"/>
      <c r="BN143" s="412">
        <f>BN135</f>
        <v>0</v>
      </c>
      <c r="BO143" s="413"/>
      <c r="BP143" s="414"/>
      <c r="BQ143" s="412">
        <f>BQ135</f>
        <v>0</v>
      </c>
      <c r="BR143" s="413"/>
      <c r="BS143" s="414"/>
      <c r="BT143" s="412">
        <f>BT135</f>
        <v>0</v>
      </c>
      <c r="BU143" s="413"/>
      <c r="BV143" s="414"/>
      <c r="BW143" s="412">
        <f>BW135</f>
        <v>0</v>
      </c>
      <c r="BX143" s="413"/>
      <c r="BY143" s="414"/>
      <c r="BZ143" s="412">
        <f>BZ135</f>
        <v>0</v>
      </c>
      <c r="CA143" s="413"/>
      <c r="CB143" s="414"/>
      <c r="CC143" s="412">
        <f>CC135</f>
        <v>0</v>
      </c>
      <c r="CD143" s="413"/>
      <c r="CE143" s="414"/>
      <c r="CF143" s="412">
        <f>CF135</f>
        <v>0</v>
      </c>
      <c r="CG143" s="413"/>
      <c r="CH143" s="414"/>
      <c r="CI143" s="412">
        <f>CI135</f>
        <v>0</v>
      </c>
      <c r="CJ143" s="413"/>
      <c r="CK143" s="414"/>
      <c r="CL143" s="412">
        <f>CL135</f>
        <v>0</v>
      </c>
      <c r="CM143" s="413"/>
      <c r="CN143" s="414"/>
      <c r="CO143" s="412">
        <f>CO135</f>
        <v>0</v>
      </c>
      <c r="CP143" s="413"/>
      <c r="CQ143" s="414"/>
      <c r="CR143" s="412">
        <f>CR135</f>
        <v>0</v>
      </c>
      <c r="CS143" s="413"/>
      <c r="CT143" s="414"/>
      <c r="CU143" s="412">
        <f>CU135</f>
        <v>0</v>
      </c>
      <c r="CV143" s="413"/>
      <c r="CW143" s="414"/>
      <c r="CX143" s="412">
        <f>CX135</f>
        <v>0</v>
      </c>
      <c r="CY143" s="413"/>
      <c r="CZ143" s="414"/>
      <c r="DA143" s="412">
        <f>DA135</f>
        <v>0</v>
      </c>
      <c r="DB143" s="413"/>
      <c r="DC143" s="414"/>
      <c r="DD143" s="412">
        <f>DD135</f>
        <v>0</v>
      </c>
      <c r="DE143" s="413"/>
      <c r="DF143" s="414"/>
      <c r="DH143" s="311"/>
      <c r="DI143" s="311"/>
      <c r="DJ143" s="311"/>
      <c r="DK143" s="311"/>
      <c r="DL143" s="321"/>
      <c r="DM143" s="321"/>
      <c r="DN143" s="321"/>
      <c r="DO143" s="321"/>
      <c r="DP143" s="321"/>
      <c r="DQ143" s="321"/>
      <c r="DR143" s="321"/>
      <c r="DS143" s="321"/>
    </row>
    <row r="144" spans="1:123" ht="7.4" customHeight="1" x14ac:dyDescent="0.5">
      <c r="A144" s="42"/>
      <c r="B144" s="42"/>
      <c r="C144" s="311"/>
      <c r="D144" s="311"/>
      <c r="E144" s="41"/>
      <c r="F144" s="42"/>
      <c r="G144" s="319"/>
      <c r="H144" s="319"/>
      <c r="I144" s="319"/>
      <c r="J144" s="319"/>
      <c r="K144" s="319"/>
      <c r="L144" s="319"/>
      <c r="M144" s="319"/>
      <c r="N144" s="319"/>
      <c r="O144" s="319"/>
      <c r="P144" s="319"/>
      <c r="Q144" s="319"/>
      <c r="R144" s="320"/>
      <c r="S144" s="42"/>
      <c r="T144" s="521"/>
      <c r="U144" s="521"/>
      <c r="V144" s="521"/>
      <c r="W144" s="521"/>
      <c r="X144" s="521"/>
      <c r="Y144" s="521"/>
      <c r="Z144" s="521"/>
      <c r="AA144" s="521"/>
      <c r="AB144" s="521"/>
      <c r="AC144" s="521"/>
      <c r="AD144" s="521"/>
      <c r="AE144" s="521"/>
      <c r="AF144" s="521"/>
      <c r="AG144" s="521"/>
      <c r="AH144" s="521"/>
      <c r="AI144" s="521"/>
      <c r="AJ144" s="522"/>
      <c r="AK144" s="42"/>
      <c r="AL144" s="311"/>
      <c r="AM144" s="311"/>
      <c r="AN144" s="311"/>
      <c r="AO144" s="311"/>
      <c r="AP144" s="43"/>
      <c r="AQ144" s="111"/>
      <c r="AR144" s="309"/>
      <c r="AS144" s="309"/>
      <c r="AT144" s="309"/>
      <c r="AU144" s="309"/>
      <c r="AV144" s="309"/>
      <c r="AW144" s="309"/>
      <c r="AX144" s="309"/>
      <c r="AY144" s="309"/>
      <c r="AZ144" s="309"/>
      <c r="BA144" s="309"/>
      <c r="BB144" s="309"/>
      <c r="BC144" s="309"/>
      <c r="BD144" s="309"/>
      <c r="BE144" s="309"/>
      <c r="BF144" s="309"/>
      <c r="BG144" s="309"/>
      <c r="BH144" s="124"/>
      <c r="BI144" s="41"/>
      <c r="BK144" s="412"/>
      <c r="BL144" s="413"/>
      <c r="BM144" s="414"/>
      <c r="BN144" s="412"/>
      <c r="BO144" s="413"/>
      <c r="BP144" s="414"/>
      <c r="BQ144" s="412"/>
      <c r="BR144" s="413"/>
      <c r="BS144" s="414"/>
      <c r="BT144" s="412"/>
      <c r="BU144" s="413"/>
      <c r="BV144" s="414"/>
      <c r="BW144" s="412"/>
      <c r="BX144" s="413"/>
      <c r="BY144" s="414"/>
      <c r="BZ144" s="412"/>
      <c r="CA144" s="413"/>
      <c r="CB144" s="414"/>
      <c r="CC144" s="412"/>
      <c r="CD144" s="413"/>
      <c r="CE144" s="414"/>
      <c r="CF144" s="412"/>
      <c r="CG144" s="413"/>
      <c r="CH144" s="414"/>
      <c r="CI144" s="412"/>
      <c r="CJ144" s="413"/>
      <c r="CK144" s="414"/>
      <c r="CL144" s="412"/>
      <c r="CM144" s="413"/>
      <c r="CN144" s="414"/>
      <c r="CO144" s="412"/>
      <c r="CP144" s="413"/>
      <c r="CQ144" s="414"/>
      <c r="CR144" s="412"/>
      <c r="CS144" s="413"/>
      <c r="CT144" s="414"/>
      <c r="CU144" s="412"/>
      <c r="CV144" s="413"/>
      <c r="CW144" s="414"/>
      <c r="CX144" s="412"/>
      <c r="CY144" s="413"/>
      <c r="CZ144" s="414"/>
      <c r="DA144" s="412"/>
      <c r="DB144" s="413"/>
      <c r="DC144" s="414"/>
      <c r="DD144" s="412"/>
      <c r="DE144" s="413"/>
      <c r="DF144" s="414"/>
      <c r="DH144" s="311"/>
      <c r="DI144" s="311"/>
      <c r="DJ144" s="311"/>
      <c r="DK144" s="311"/>
      <c r="DL144" s="321"/>
      <c r="DM144" s="321"/>
      <c r="DN144" s="321"/>
      <c r="DO144" s="321"/>
      <c r="DP144" s="321"/>
      <c r="DQ144" s="321"/>
      <c r="DR144" s="321"/>
      <c r="DS144" s="321"/>
    </row>
    <row r="145" spans="1:123" ht="7.4" customHeight="1" x14ac:dyDescent="0.5">
      <c r="A145" s="42"/>
      <c r="B145" s="42"/>
      <c r="C145" s="333"/>
      <c r="D145" s="333"/>
      <c r="E145" s="41"/>
      <c r="F145" s="42"/>
      <c r="G145" s="56"/>
      <c r="H145" s="56"/>
      <c r="I145" s="56"/>
      <c r="J145" s="56"/>
      <c r="K145" s="56"/>
      <c r="L145" s="56"/>
      <c r="M145" s="56"/>
      <c r="N145" s="56"/>
      <c r="O145" s="56"/>
      <c r="P145" s="56"/>
      <c r="Q145" s="56"/>
      <c r="R145" s="126"/>
      <c r="S145" s="42"/>
      <c r="T145" s="116" t="str">
        <f>VLOOKUP(G143,PL!$B$9:$BH$1265,33,FALSE)</f>
        <v>.</v>
      </c>
      <c r="AJ145" s="41"/>
      <c r="AK145" s="42"/>
      <c r="AL145" s="311"/>
      <c r="AM145" s="311"/>
      <c r="AN145" s="311"/>
      <c r="AO145" s="311"/>
      <c r="AP145" s="43"/>
      <c r="AQ145" s="42"/>
      <c r="AR145" s="119"/>
      <c r="AS145" s="119"/>
      <c r="AT145" s="119"/>
      <c r="AU145" s="119"/>
      <c r="AV145" s="119"/>
      <c r="AW145" s="119"/>
      <c r="AX145" s="105"/>
      <c r="AZ145" s="119"/>
      <c r="BA145" s="119"/>
      <c r="BB145" s="119"/>
      <c r="BC145" s="119"/>
      <c r="BD145" s="119"/>
      <c r="BE145" s="119"/>
      <c r="BF145" s="119"/>
      <c r="BG145" s="119"/>
      <c r="BH145" s="124"/>
      <c r="BI145" s="41"/>
      <c r="BK145" s="194"/>
      <c r="BL145" s="123"/>
      <c r="BM145" s="195"/>
      <c r="BN145" s="194"/>
      <c r="BO145" s="123"/>
      <c r="BP145" s="195"/>
      <c r="BQ145" s="194"/>
      <c r="BR145" s="123"/>
      <c r="BS145" s="195"/>
      <c r="BT145" s="194"/>
      <c r="BU145" s="123"/>
      <c r="BV145" s="195"/>
      <c r="BW145" s="194"/>
      <c r="BX145" s="123"/>
      <c r="BY145" s="195"/>
      <c r="BZ145" s="194"/>
      <c r="CA145" s="123"/>
      <c r="CB145" s="195"/>
      <c r="CC145" s="194"/>
      <c r="CD145" s="123"/>
      <c r="CE145" s="195"/>
      <c r="CF145" s="194"/>
      <c r="CG145" s="123"/>
      <c r="CH145" s="195"/>
      <c r="CI145" s="194"/>
      <c r="CJ145" s="123"/>
      <c r="CK145" s="195"/>
      <c r="CL145" s="194"/>
      <c r="CM145" s="123"/>
      <c r="CN145" s="195"/>
      <c r="CO145" s="194"/>
      <c r="CP145" s="123"/>
      <c r="CQ145" s="195"/>
      <c r="CR145" s="194"/>
      <c r="CS145" s="123"/>
      <c r="CT145" s="195"/>
      <c r="CU145" s="194"/>
      <c r="CV145" s="123"/>
      <c r="CW145" s="195"/>
      <c r="CX145" s="194"/>
      <c r="CY145" s="123"/>
      <c r="CZ145" s="195"/>
      <c r="DA145" s="194"/>
      <c r="DB145" s="123"/>
      <c r="DC145" s="195"/>
      <c r="DD145" s="194"/>
      <c r="DE145" s="123"/>
      <c r="DF145" s="195"/>
      <c r="DH145" s="311"/>
      <c r="DI145" s="311"/>
      <c r="DJ145" s="311"/>
      <c r="DK145" s="311"/>
      <c r="DL145" s="321"/>
      <c r="DM145" s="321"/>
      <c r="DN145" s="321"/>
      <c r="DO145" s="321"/>
      <c r="DP145" s="321"/>
      <c r="DQ145" s="321"/>
      <c r="DR145" s="321"/>
      <c r="DS145" s="321"/>
    </row>
    <row r="146" spans="1:123" ht="7.4" customHeight="1" x14ac:dyDescent="0.5">
      <c r="A146" s="42"/>
      <c r="B146" s="42"/>
      <c r="C146" s="333"/>
      <c r="D146" s="333"/>
      <c r="E146" s="41"/>
      <c r="F146" s="42"/>
      <c r="G146" s="56"/>
      <c r="H146" s="56"/>
      <c r="I146" s="56"/>
      <c r="J146" s="56"/>
      <c r="K146" s="56"/>
      <c r="L146" s="56"/>
      <c r="M146" s="56"/>
      <c r="N146" s="56"/>
      <c r="O146" s="56"/>
      <c r="P146" s="56"/>
      <c r="Q146" s="56"/>
      <c r="R146" s="126"/>
      <c r="S146" s="42"/>
      <c r="AJ146" s="41"/>
      <c r="AK146" s="42"/>
      <c r="AL146" s="311"/>
      <c r="AM146" s="311"/>
      <c r="AN146" s="311"/>
      <c r="AO146" s="311"/>
      <c r="AP146" s="43"/>
      <c r="AQ146" s="42"/>
      <c r="AR146" s="119"/>
      <c r="AS146" s="119"/>
      <c r="AT146" s="119"/>
      <c r="AU146" s="119"/>
      <c r="AV146" s="119"/>
      <c r="AW146" s="119"/>
      <c r="AX146" s="105"/>
      <c r="AZ146" s="119"/>
      <c r="BA146" s="119"/>
      <c r="BB146" s="119"/>
      <c r="BC146" s="119"/>
      <c r="BD146" s="119"/>
      <c r="BE146" s="119"/>
      <c r="BF146" s="119"/>
      <c r="BG146" s="119"/>
      <c r="BH146" s="124"/>
      <c r="BI146" s="41"/>
      <c r="BK146" s="194"/>
      <c r="BL146" s="123"/>
      <c r="BM146" s="195"/>
      <c r="BN146" s="194"/>
      <c r="BO146" s="123"/>
      <c r="BP146" s="195"/>
      <c r="BQ146" s="194"/>
      <c r="BR146" s="123"/>
      <c r="BS146" s="195"/>
      <c r="BT146" s="194"/>
      <c r="BU146" s="123"/>
      <c r="BV146" s="195"/>
      <c r="BW146" s="194"/>
      <c r="BX146" s="123"/>
      <c r="BY146" s="195"/>
      <c r="BZ146" s="194"/>
      <c r="CA146" s="123"/>
      <c r="CB146" s="195"/>
      <c r="CC146" s="194"/>
      <c r="CD146" s="123"/>
      <c r="CE146" s="195"/>
      <c r="CF146" s="194"/>
      <c r="CG146" s="123"/>
      <c r="CH146" s="195"/>
      <c r="CI146" s="194"/>
      <c r="CJ146" s="123"/>
      <c r="CK146" s="195"/>
      <c r="CL146" s="194"/>
      <c r="CM146" s="123"/>
      <c r="CN146" s="195"/>
      <c r="CO146" s="194"/>
      <c r="CP146" s="123"/>
      <c r="CQ146" s="195"/>
      <c r="CR146" s="194"/>
      <c r="CS146" s="123"/>
      <c r="CT146" s="195"/>
      <c r="CU146" s="194"/>
      <c r="CV146" s="123"/>
      <c r="CW146" s="195"/>
      <c r="CX146" s="194"/>
      <c r="CY146" s="123"/>
      <c r="CZ146" s="195"/>
      <c r="DA146" s="194"/>
      <c r="DB146" s="123"/>
      <c r="DC146" s="195"/>
      <c r="DD146" s="194"/>
      <c r="DE146" s="123"/>
      <c r="DF146" s="195"/>
      <c r="DH146" s="311"/>
      <c r="DI146" s="311"/>
      <c r="DJ146" s="311"/>
      <c r="DK146" s="311"/>
      <c r="DL146" s="321"/>
      <c r="DM146" s="321"/>
      <c r="DN146" s="321"/>
      <c r="DO146" s="321"/>
      <c r="DP146" s="321"/>
      <c r="DQ146" s="321"/>
      <c r="DR146" s="321"/>
      <c r="DS146" s="321"/>
    </row>
    <row r="147" spans="1:123" ht="7.4" customHeight="1" x14ac:dyDescent="0.5">
      <c r="A147" s="42"/>
      <c r="B147" s="42"/>
      <c r="C147" s="311">
        <f>C143+1</f>
        <v>8</v>
      </c>
      <c r="D147" s="311"/>
      <c r="E147" s="41"/>
      <c r="F147" s="42"/>
      <c r="G147" s="319" t="str">
        <f>IF(AL147=0,"N/A","AXE_NST_8_PP")</f>
        <v>N/A</v>
      </c>
      <c r="H147" s="319"/>
      <c r="I147" s="319"/>
      <c r="J147" s="319"/>
      <c r="K147" s="319"/>
      <c r="L147" s="319"/>
      <c r="M147" s="319"/>
      <c r="N147" s="319"/>
      <c r="O147" s="319"/>
      <c r="P147" s="319"/>
      <c r="Q147" s="319"/>
      <c r="R147" s="320"/>
      <c r="S147" s="42"/>
      <c r="T147" s="521" t="str">
        <f>VLOOKUP(G147,PL!$B$9:$BH$1265,14,FALSE)</f>
        <v>No Item</v>
      </c>
      <c r="U147" s="521"/>
      <c r="V147" s="521"/>
      <c r="W147" s="521"/>
      <c r="X147" s="521"/>
      <c r="Y147" s="521"/>
      <c r="Z147" s="521"/>
      <c r="AA147" s="521"/>
      <c r="AB147" s="521"/>
      <c r="AC147" s="521"/>
      <c r="AD147" s="521"/>
      <c r="AE147" s="521"/>
      <c r="AF147" s="521"/>
      <c r="AG147" s="521"/>
      <c r="AH147" s="521"/>
      <c r="AI147" s="521"/>
      <c r="AJ147" s="522"/>
      <c r="AK147" s="42"/>
      <c r="AL147" s="311">
        <f>ROUND(SUM(BK147:DF147)*(1+$BF$72),0)</f>
        <v>0</v>
      </c>
      <c r="AM147" s="311"/>
      <c r="AN147" s="311"/>
      <c r="AO147" s="311"/>
      <c r="AP147" s="43"/>
      <c r="AQ147" s="111"/>
      <c r="AR147" s="308" t="str">
        <f>VLOOKUP(G147,PL!$B$9:$BH$818,52,FALSE)</f>
        <v>-</v>
      </c>
      <c r="AS147" s="309"/>
      <c r="AT147" s="309"/>
      <c r="AU147" s="309"/>
      <c r="AV147" s="309"/>
      <c r="AW147" s="309"/>
      <c r="AX147" s="309"/>
      <c r="AY147" s="309"/>
      <c r="AZ147" s="309"/>
      <c r="BA147" s="309"/>
      <c r="BB147" s="309"/>
      <c r="BC147" s="309"/>
      <c r="BD147" s="309"/>
      <c r="BE147" s="309"/>
      <c r="BF147" s="309"/>
      <c r="BG147" s="309"/>
      <c r="BH147" s="124"/>
      <c r="BI147" s="41"/>
      <c r="BK147" s="412">
        <f>BK143</f>
        <v>0</v>
      </c>
      <c r="BL147" s="413"/>
      <c r="BM147" s="414"/>
      <c r="BN147" s="412">
        <f>BN143</f>
        <v>0</v>
      </c>
      <c r="BO147" s="413"/>
      <c r="BP147" s="414"/>
      <c r="BQ147" s="412">
        <f>BQ143</f>
        <v>0</v>
      </c>
      <c r="BR147" s="413"/>
      <c r="BS147" s="414"/>
      <c r="BT147" s="412">
        <f>BT143</f>
        <v>0</v>
      </c>
      <c r="BU147" s="413"/>
      <c r="BV147" s="414"/>
      <c r="BW147" s="412">
        <f>BW143</f>
        <v>0</v>
      </c>
      <c r="BX147" s="413"/>
      <c r="BY147" s="414"/>
      <c r="BZ147" s="412">
        <f>BZ143</f>
        <v>0</v>
      </c>
      <c r="CA147" s="413"/>
      <c r="CB147" s="414"/>
      <c r="CC147" s="412">
        <f>CC143</f>
        <v>0</v>
      </c>
      <c r="CD147" s="413"/>
      <c r="CE147" s="414"/>
      <c r="CF147" s="412">
        <f>CF143</f>
        <v>0</v>
      </c>
      <c r="CG147" s="413"/>
      <c r="CH147" s="414"/>
      <c r="CI147" s="412">
        <f>CI143</f>
        <v>0</v>
      </c>
      <c r="CJ147" s="413"/>
      <c r="CK147" s="414"/>
      <c r="CL147" s="412">
        <f>CL143</f>
        <v>0</v>
      </c>
      <c r="CM147" s="413"/>
      <c r="CN147" s="414"/>
      <c r="CO147" s="412">
        <f>CO143</f>
        <v>0</v>
      </c>
      <c r="CP147" s="413"/>
      <c r="CQ147" s="414"/>
      <c r="CR147" s="412">
        <f>CR143</f>
        <v>0</v>
      </c>
      <c r="CS147" s="413"/>
      <c r="CT147" s="414"/>
      <c r="CU147" s="412">
        <f>CU143</f>
        <v>0</v>
      </c>
      <c r="CV147" s="413"/>
      <c r="CW147" s="414"/>
      <c r="CX147" s="412">
        <f>CX143</f>
        <v>0</v>
      </c>
      <c r="CY147" s="413"/>
      <c r="CZ147" s="414"/>
      <c r="DA147" s="412">
        <f>DA143</f>
        <v>0</v>
      </c>
      <c r="DB147" s="413"/>
      <c r="DC147" s="414"/>
      <c r="DD147" s="412">
        <f>DD143</f>
        <v>0</v>
      </c>
      <c r="DE147" s="413"/>
      <c r="DF147" s="414"/>
      <c r="DH147" s="311"/>
      <c r="DI147" s="311"/>
      <c r="DJ147" s="311"/>
      <c r="DK147" s="311"/>
      <c r="DL147" s="321"/>
      <c r="DM147" s="321"/>
      <c r="DN147" s="321"/>
      <c r="DO147" s="321"/>
      <c r="DP147" s="321"/>
      <c r="DQ147" s="321"/>
      <c r="DR147" s="321"/>
      <c r="DS147" s="321"/>
    </row>
    <row r="148" spans="1:123" ht="7.4" customHeight="1" x14ac:dyDescent="0.5">
      <c r="A148" s="42"/>
      <c r="B148" s="42"/>
      <c r="C148" s="311"/>
      <c r="D148" s="311"/>
      <c r="E148" s="41"/>
      <c r="F148" s="42"/>
      <c r="G148" s="319"/>
      <c r="H148" s="319"/>
      <c r="I148" s="319"/>
      <c r="J148" s="319"/>
      <c r="K148" s="319"/>
      <c r="L148" s="319"/>
      <c r="M148" s="319"/>
      <c r="N148" s="319"/>
      <c r="O148" s="319"/>
      <c r="P148" s="319"/>
      <c r="Q148" s="319"/>
      <c r="R148" s="320"/>
      <c r="S148" s="42"/>
      <c r="T148" s="521"/>
      <c r="U148" s="521"/>
      <c r="V148" s="521"/>
      <c r="W148" s="521"/>
      <c r="X148" s="521"/>
      <c r="Y148" s="521"/>
      <c r="Z148" s="521"/>
      <c r="AA148" s="521"/>
      <c r="AB148" s="521"/>
      <c r="AC148" s="521"/>
      <c r="AD148" s="521"/>
      <c r="AE148" s="521"/>
      <c r="AF148" s="521"/>
      <c r="AG148" s="521"/>
      <c r="AH148" s="521"/>
      <c r="AI148" s="521"/>
      <c r="AJ148" s="522"/>
      <c r="AK148" s="42"/>
      <c r="AL148" s="311"/>
      <c r="AM148" s="311"/>
      <c r="AN148" s="311"/>
      <c r="AO148" s="311"/>
      <c r="AP148" s="43"/>
      <c r="AQ148" s="111"/>
      <c r="AR148" s="309"/>
      <c r="AS148" s="309"/>
      <c r="AT148" s="309"/>
      <c r="AU148" s="309"/>
      <c r="AV148" s="309"/>
      <c r="AW148" s="309"/>
      <c r="AX148" s="309"/>
      <c r="AY148" s="309"/>
      <c r="AZ148" s="309"/>
      <c r="BA148" s="309"/>
      <c r="BB148" s="309"/>
      <c r="BC148" s="309"/>
      <c r="BD148" s="309"/>
      <c r="BE148" s="309"/>
      <c r="BF148" s="309"/>
      <c r="BG148" s="309"/>
      <c r="BH148" s="124"/>
      <c r="BI148" s="41"/>
      <c r="BK148" s="412"/>
      <c r="BL148" s="413"/>
      <c r="BM148" s="414"/>
      <c r="BN148" s="412"/>
      <c r="BO148" s="413"/>
      <c r="BP148" s="414"/>
      <c r="BQ148" s="412"/>
      <c r="BR148" s="413"/>
      <c r="BS148" s="414"/>
      <c r="BT148" s="412"/>
      <c r="BU148" s="413"/>
      <c r="BV148" s="414"/>
      <c r="BW148" s="412"/>
      <c r="BX148" s="413"/>
      <c r="BY148" s="414"/>
      <c r="BZ148" s="412"/>
      <c r="CA148" s="413"/>
      <c r="CB148" s="414"/>
      <c r="CC148" s="412"/>
      <c r="CD148" s="413"/>
      <c r="CE148" s="414"/>
      <c r="CF148" s="412"/>
      <c r="CG148" s="413"/>
      <c r="CH148" s="414"/>
      <c r="CI148" s="412"/>
      <c r="CJ148" s="413"/>
      <c r="CK148" s="414"/>
      <c r="CL148" s="412"/>
      <c r="CM148" s="413"/>
      <c r="CN148" s="414"/>
      <c r="CO148" s="412"/>
      <c r="CP148" s="413"/>
      <c r="CQ148" s="414"/>
      <c r="CR148" s="412"/>
      <c r="CS148" s="413"/>
      <c r="CT148" s="414"/>
      <c r="CU148" s="412"/>
      <c r="CV148" s="413"/>
      <c r="CW148" s="414"/>
      <c r="CX148" s="412"/>
      <c r="CY148" s="413"/>
      <c r="CZ148" s="414"/>
      <c r="DA148" s="412"/>
      <c r="DB148" s="413"/>
      <c r="DC148" s="414"/>
      <c r="DD148" s="412"/>
      <c r="DE148" s="413"/>
      <c r="DF148" s="414"/>
      <c r="DH148" s="311"/>
      <c r="DI148" s="311"/>
      <c r="DJ148" s="311"/>
      <c r="DK148" s="311"/>
      <c r="DL148" s="321"/>
      <c r="DM148" s="321"/>
      <c r="DN148" s="321"/>
      <c r="DO148" s="321"/>
      <c r="DP148" s="321"/>
      <c r="DQ148" s="321"/>
      <c r="DR148" s="321"/>
      <c r="DS148" s="321"/>
    </row>
    <row r="149" spans="1:123" ht="7.4" customHeight="1" x14ac:dyDescent="0.5">
      <c r="A149" s="42"/>
      <c r="B149" s="42"/>
      <c r="C149" s="333"/>
      <c r="D149" s="333"/>
      <c r="E149" s="41"/>
      <c r="F149" s="42"/>
      <c r="G149" s="56"/>
      <c r="H149" s="56"/>
      <c r="I149" s="56"/>
      <c r="J149" s="56"/>
      <c r="K149" s="56"/>
      <c r="L149" s="56"/>
      <c r="M149" s="56"/>
      <c r="N149" s="56"/>
      <c r="O149" s="56"/>
      <c r="P149" s="56"/>
      <c r="Q149" s="56"/>
      <c r="R149" s="126"/>
      <c r="S149" s="42"/>
      <c r="T149" s="116" t="str">
        <f>VLOOKUP(G147,PL!$B$9:$BH$1265,33,FALSE)</f>
        <v>.</v>
      </c>
      <c r="AJ149" s="41"/>
      <c r="AK149" s="42"/>
      <c r="AL149" s="311"/>
      <c r="AM149" s="311"/>
      <c r="AN149" s="311"/>
      <c r="AO149" s="311"/>
      <c r="AP149" s="43"/>
      <c r="AQ149" s="42"/>
      <c r="AR149" s="119"/>
      <c r="AS149" s="119"/>
      <c r="AT149" s="119"/>
      <c r="AU149" s="119"/>
      <c r="AV149" s="119"/>
      <c r="AW149" s="119"/>
      <c r="AX149" s="105"/>
      <c r="AZ149" s="119"/>
      <c r="BA149" s="119"/>
      <c r="BB149" s="119"/>
      <c r="BC149" s="119"/>
      <c r="BD149" s="119"/>
      <c r="BE149" s="119"/>
      <c r="BF149" s="119"/>
      <c r="BG149" s="119"/>
      <c r="BH149" s="124"/>
      <c r="BI149" s="41"/>
      <c r="BK149" s="194"/>
      <c r="BL149" s="123"/>
      <c r="BM149" s="195"/>
      <c r="BN149" s="194"/>
      <c r="BO149" s="123"/>
      <c r="BP149" s="195"/>
      <c r="BQ149" s="194"/>
      <c r="BR149" s="123"/>
      <c r="BS149" s="195"/>
      <c r="BT149" s="194"/>
      <c r="BU149" s="123"/>
      <c r="BV149" s="195"/>
      <c r="BW149" s="194"/>
      <c r="BX149" s="123"/>
      <c r="BY149" s="195"/>
      <c r="BZ149" s="194"/>
      <c r="CA149" s="123"/>
      <c r="CB149" s="195"/>
      <c r="CC149" s="194"/>
      <c r="CD149" s="123"/>
      <c r="CE149" s="195"/>
      <c r="CF149" s="194"/>
      <c r="CG149" s="123"/>
      <c r="CH149" s="195"/>
      <c r="CI149" s="194"/>
      <c r="CJ149" s="123"/>
      <c r="CK149" s="195"/>
      <c r="CL149" s="194"/>
      <c r="CM149" s="123"/>
      <c r="CN149" s="195"/>
      <c r="CO149" s="194"/>
      <c r="CP149" s="123"/>
      <c r="CQ149" s="195"/>
      <c r="CR149" s="194"/>
      <c r="CS149" s="123"/>
      <c r="CT149" s="195"/>
      <c r="CU149" s="194"/>
      <c r="CV149" s="123"/>
      <c r="CW149" s="195"/>
      <c r="CX149" s="194"/>
      <c r="CY149" s="123"/>
      <c r="CZ149" s="195"/>
      <c r="DA149" s="194"/>
      <c r="DB149" s="123"/>
      <c r="DC149" s="195"/>
      <c r="DD149" s="194"/>
      <c r="DE149" s="123"/>
      <c r="DF149" s="195"/>
      <c r="DH149" s="311"/>
      <c r="DI149" s="311"/>
      <c r="DJ149" s="311"/>
      <c r="DK149" s="311"/>
      <c r="DL149" s="321"/>
      <c r="DM149" s="321"/>
      <c r="DN149" s="321"/>
      <c r="DO149" s="321"/>
      <c r="DP149" s="321"/>
      <c r="DQ149" s="321"/>
      <c r="DR149" s="321"/>
      <c r="DS149" s="321"/>
    </row>
    <row r="150" spans="1:123" ht="7.4" customHeight="1" x14ac:dyDescent="0.5">
      <c r="A150" s="42"/>
      <c r="B150" s="42"/>
      <c r="C150" s="55"/>
      <c r="D150" s="55"/>
      <c r="E150" s="41"/>
      <c r="F150" s="42"/>
      <c r="G150" s="56"/>
      <c r="H150" s="56"/>
      <c r="I150" s="56"/>
      <c r="J150" s="56"/>
      <c r="K150" s="56"/>
      <c r="L150" s="56"/>
      <c r="M150" s="56"/>
      <c r="N150" s="56"/>
      <c r="O150" s="56"/>
      <c r="P150" s="56"/>
      <c r="Q150" s="56"/>
      <c r="R150" s="126"/>
      <c r="S150" s="42"/>
      <c r="AJ150" s="41"/>
      <c r="AK150" s="42"/>
      <c r="AL150" s="311"/>
      <c r="AM150" s="311"/>
      <c r="AN150" s="311"/>
      <c r="AO150" s="311"/>
      <c r="AP150" s="43"/>
      <c r="AQ150" s="42"/>
      <c r="AR150" s="119"/>
      <c r="AS150" s="119"/>
      <c r="AT150" s="119"/>
      <c r="AU150" s="119"/>
      <c r="AV150" s="119"/>
      <c r="AW150" s="119"/>
      <c r="AX150" s="105"/>
      <c r="AZ150" s="119"/>
      <c r="BA150" s="119"/>
      <c r="BB150" s="119"/>
      <c r="BC150" s="119"/>
      <c r="BD150" s="119"/>
      <c r="BE150" s="119"/>
      <c r="BF150" s="119"/>
      <c r="BG150" s="119"/>
      <c r="BH150" s="124"/>
      <c r="BI150" s="41"/>
      <c r="BK150" s="194"/>
      <c r="BL150" s="123"/>
      <c r="BM150" s="195"/>
      <c r="BN150" s="194"/>
      <c r="BO150" s="123"/>
      <c r="BP150" s="195"/>
      <c r="BQ150" s="194"/>
      <c r="BR150" s="123"/>
      <c r="BS150" s="195"/>
      <c r="BT150" s="194"/>
      <c r="BU150" s="123"/>
      <c r="BV150" s="195"/>
      <c r="BW150" s="194"/>
      <c r="BX150" s="123"/>
      <c r="BY150" s="195"/>
      <c r="BZ150" s="194"/>
      <c r="CA150" s="123"/>
      <c r="CB150" s="195"/>
      <c r="CC150" s="194"/>
      <c r="CD150" s="123"/>
      <c r="CE150" s="195"/>
      <c r="CF150" s="194"/>
      <c r="CG150" s="123"/>
      <c r="CH150" s="195"/>
      <c r="CI150" s="194"/>
      <c r="CJ150" s="123"/>
      <c r="CK150" s="195"/>
      <c r="CL150" s="194"/>
      <c r="CM150" s="123"/>
      <c r="CN150" s="195"/>
      <c r="CO150" s="194"/>
      <c r="CP150" s="123"/>
      <c r="CQ150" s="195"/>
      <c r="CR150" s="194"/>
      <c r="CS150" s="123"/>
      <c r="CT150" s="195"/>
      <c r="CU150" s="194"/>
      <c r="CV150" s="123"/>
      <c r="CW150" s="195"/>
      <c r="CX150" s="194"/>
      <c r="CY150" s="123"/>
      <c r="CZ150" s="195"/>
      <c r="DA150" s="194"/>
      <c r="DB150" s="123"/>
      <c r="DC150" s="195"/>
      <c r="DD150" s="194"/>
      <c r="DE150" s="123"/>
      <c r="DF150" s="195"/>
      <c r="DH150" s="311"/>
      <c r="DI150" s="311"/>
      <c r="DJ150" s="311"/>
      <c r="DK150" s="311"/>
      <c r="DL150" s="321"/>
      <c r="DM150" s="321"/>
      <c r="DN150" s="321"/>
      <c r="DO150" s="321"/>
      <c r="DP150" s="321"/>
      <c r="DQ150" s="321"/>
      <c r="DR150" s="321"/>
      <c r="DS150" s="321"/>
    </row>
    <row r="151" spans="1:123" ht="7.4" customHeight="1" x14ac:dyDescent="0.5">
      <c r="A151" s="42"/>
      <c r="B151" s="42"/>
      <c r="C151" s="311">
        <f>C147+1</f>
        <v>9</v>
      </c>
      <c r="D151" s="311"/>
      <c r="E151" s="41"/>
      <c r="F151" s="42"/>
      <c r="G151" s="319" t="str">
        <f>IF(AL151=0,"N/A","AXE_ST_6.3_22_SC")</f>
        <v>AXE_ST_6.3_22_SC</v>
      </c>
      <c r="H151" s="319"/>
      <c r="I151" s="319"/>
      <c r="J151" s="319"/>
      <c r="K151" s="319"/>
      <c r="L151" s="319"/>
      <c r="M151" s="319"/>
      <c r="N151" s="319"/>
      <c r="O151" s="319"/>
      <c r="P151" s="319"/>
      <c r="Q151" s="319"/>
      <c r="R151" s="320"/>
      <c r="S151" s="42"/>
      <c r="T151" s="521" t="str">
        <f>VLOOKUP(G151,PL!$B$9:$BH$1265,14,FALSE)</f>
        <v>Self Drilling Tek Screw</v>
      </c>
      <c r="U151" s="521"/>
      <c r="V151" s="521"/>
      <c r="W151" s="521"/>
      <c r="X151" s="521"/>
      <c r="Y151" s="521"/>
      <c r="Z151" s="521"/>
      <c r="AA151" s="521"/>
      <c r="AB151" s="521"/>
      <c r="AC151" s="521"/>
      <c r="AD151" s="521"/>
      <c r="AE151" s="521"/>
      <c r="AF151" s="521"/>
      <c r="AG151" s="521"/>
      <c r="AH151" s="521"/>
      <c r="AI151" s="521"/>
      <c r="AJ151" s="522"/>
      <c r="AK151" s="42"/>
      <c r="AL151" s="311">
        <f>ROUND(SUM(BK151:DF151)*(1+$BF$72),0)</f>
        <v>915</v>
      </c>
      <c r="AM151" s="311"/>
      <c r="AN151" s="311"/>
      <c r="AO151" s="311"/>
      <c r="AP151" s="43"/>
      <c r="AQ151" s="111"/>
      <c r="AR151" s="308" t="str">
        <f>VLOOKUP(G151,PL!$B$9:$BH$818,52,FALSE)</f>
        <v>SOL-5952</v>
      </c>
      <c r="AS151" s="309"/>
      <c r="AT151" s="309"/>
      <c r="AU151" s="309"/>
      <c r="AV151" s="309"/>
      <c r="AW151" s="309"/>
      <c r="AX151" s="309"/>
      <c r="AY151" s="309"/>
      <c r="AZ151" s="309"/>
      <c r="BA151" s="309"/>
      <c r="BB151" s="309"/>
      <c r="BC151" s="309"/>
      <c r="BD151" s="309"/>
      <c r="BE151" s="309"/>
      <c r="BF151" s="309"/>
      <c r="BG151" s="309"/>
      <c r="BH151" s="124"/>
      <c r="BI151" s="41"/>
      <c r="BK151" s="412">
        <f>IF(OR(MID($G$127,8,2)="FL",MID($G$127,8,2)="SL",MID($G$127,8,2)="PF"),0,
IF(MID($G$127,8,2)="RF",BK127*2,
IF(MID($G$127,8,2)="WS",BK127*3,
BK127*4)))</f>
        <v>880</v>
      </c>
      <c r="BL151" s="413"/>
      <c r="BM151" s="414"/>
      <c r="BN151" s="412">
        <f t="shared" ref="BN151" si="15">IF(OR(MID($G$127,8,2)="FL",MID($G$127,8,2)="SL",MID($G$127,8,2)="PF"),0,
IF(MID($G$127,8,2)="RF",BN127*2,
IF(MID($G$127,8,2)="WS",BN127*3,
BN127*4)))</f>
        <v>0</v>
      </c>
      <c r="BO151" s="413"/>
      <c r="BP151" s="414"/>
      <c r="BQ151" s="412">
        <f t="shared" ref="BQ151" si="16">IF(OR(MID($G$127,8,2)="FL",MID($G$127,8,2)="SL",MID($G$127,8,2)="PF"),0,
IF(MID($G$127,8,2)="RF",BQ127*2,
IF(MID($G$127,8,2)="WS",BQ127*3,
BQ127*4)))</f>
        <v>0</v>
      </c>
      <c r="BR151" s="413"/>
      <c r="BS151" s="414"/>
      <c r="BT151" s="412">
        <f t="shared" ref="BT151" si="17">IF(OR(MID($G$127,8,2)="FL",MID($G$127,8,2)="SL",MID($G$127,8,2)="PF"),0,
IF(MID($G$127,8,2)="RF",BT127*2,
IF(MID($G$127,8,2)="WS",BT127*3,
BT127*4)))</f>
        <v>0</v>
      </c>
      <c r="BU151" s="413"/>
      <c r="BV151" s="414"/>
      <c r="BW151" s="412">
        <f t="shared" ref="BW151" si="18">IF(OR(MID($G$127,8,2)="FL",MID($G$127,8,2)="SL",MID($G$127,8,2)="PF"),0,
IF(MID($G$127,8,2)="RF",BW127*2,
IF(MID($G$127,8,2)="WS",BW127*3,
BW127*4)))</f>
        <v>0</v>
      </c>
      <c r="BX151" s="413"/>
      <c r="BY151" s="414"/>
      <c r="BZ151" s="412">
        <f t="shared" ref="BZ151" si="19">IF(OR(MID($G$127,8,2)="FL",MID($G$127,8,2)="SL",MID($G$127,8,2)="PF"),0,
IF(MID($G$127,8,2)="RF",BZ127*2,
IF(MID($G$127,8,2)="WS",BZ127*3,
BZ127*4)))</f>
        <v>0</v>
      </c>
      <c r="CA151" s="413"/>
      <c r="CB151" s="414"/>
      <c r="CC151" s="412">
        <f t="shared" ref="CC151" si="20">IF(OR(MID($G$127,8,2)="FL",MID($G$127,8,2)="SL",MID($G$127,8,2)="PF"),0,
IF(MID($G$127,8,2)="RF",CC127*2,
IF(MID($G$127,8,2)="WS",CC127*3,
CC127*4)))</f>
        <v>0</v>
      </c>
      <c r="CD151" s="413"/>
      <c r="CE151" s="414"/>
      <c r="CF151" s="412">
        <f t="shared" ref="CF151" si="21">IF(OR(MID($G$127,8,2)="FL",MID($G$127,8,2)="SL",MID($G$127,8,2)="PF"),0,
IF(MID($G$127,8,2)="RF",CF127*2,
IF(MID($G$127,8,2)="WS",CF127*3,
CF127*4)))</f>
        <v>0</v>
      </c>
      <c r="CG151" s="413"/>
      <c r="CH151" s="414"/>
      <c r="CI151" s="412">
        <f t="shared" ref="CI151" si="22">IF(OR(MID($G$127,8,2)="FL",MID($G$127,8,2)="SL",MID($G$127,8,2)="PF"),0,
IF(MID($G$127,8,2)="RF",CI127*2,
IF(MID($G$127,8,2)="WS",CI127*3,
CI127*4)))</f>
        <v>0</v>
      </c>
      <c r="CJ151" s="413"/>
      <c r="CK151" s="414"/>
      <c r="CL151" s="412">
        <f t="shared" ref="CL151" si="23">IF(OR(MID($G$127,8,2)="FL",MID($G$127,8,2)="SL",MID($G$127,8,2)="PF"),0,
IF(MID($G$127,8,2)="RF",CL127*2,
IF(MID($G$127,8,2)="WS",CL127*3,
CL127*4)))</f>
        <v>0</v>
      </c>
      <c r="CM151" s="413"/>
      <c r="CN151" s="414"/>
      <c r="CO151" s="412">
        <f t="shared" ref="CO151" si="24">IF(OR(MID($G$127,8,2)="FL",MID($G$127,8,2)="SL",MID($G$127,8,2)="PF"),0,
IF(MID($G$127,8,2)="RF",CO127*2,
IF(MID($G$127,8,2)="WS",CO127*3,
CO127*4)))</f>
        <v>0</v>
      </c>
      <c r="CP151" s="413"/>
      <c r="CQ151" s="414"/>
      <c r="CR151" s="412">
        <f t="shared" ref="CR151" si="25">IF(OR(MID($G$127,8,2)="FL",MID($G$127,8,2)="SL",MID($G$127,8,2)="PF"),0,
IF(MID($G$127,8,2)="RF",CR127*2,
IF(MID($G$127,8,2)="WS",CR127*3,
CR127*4)))</f>
        <v>0</v>
      </c>
      <c r="CS151" s="413"/>
      <c r="CT151" s="414"/>
      <c r="CU151" s="412">
        <f t="shared" ref="CU151" si="26">IF(OR(MID($G$127,8,2)="FL",MID($G$127,8,2)="SL",MID($G$127,8,2)="PF"),0,
IF(MID($G$127,8,2)="RF",CU127*2,
IF(MID($G$127,8,2)="WS",CU127*3,
CU127*4)))</f>
        <v>0</v>
      </c>
      <c r="CV151" s="413"/>
      <c r="CW151" s="414"/>
      <c r="CX151" s="412">
        <f t="shared" ref="CX151" si="27">IF(OR(MID($G$127,8,2)="FL",MID($G$127,8,2)="SL",MID($G$127,8,2)="PF"),0,
IF(MID($G$127,8,2)="RF",CX127*2,
IF(MID($G$127,8,2)="WS",CX127*3,
CX127*4)))</f>
        <v>0</v>
      </c>
      <c r="CY151" s="413"/>
      <c r="CZ151" s="414"/>
      <c r="DA151" s="412">
        <f t="shared" ref="DA151" si="28">IF(OR(MID($G$127,8,2)="FL",MID($G$127,8,2)="SL",MID($G$127,8,2)="PF"),0,
IF(MID($G$127,8,2)="RF",DA127*2,
IF(MID($G$127,8,2)="WS",DA127*3,
DA127*4)))</f>
        <v>0</v>
      </c>
      <c r="DB151" s="413"/>
      <c r="DC151" s="414"/>
      <c r="DD151" s="412">
        <f t="shared" ref="DD151" si="29">IF(OR(MID($G$127,8,2)="FL",MID($G$127,8,2)="SL",MID($G$127,8,2)="PF"),0,
IF(MID($G$127,8,2)="RF",DD127*2,
IF(MID($G$127,8,2)="WS",DD127*3,
DD127*4)))</f>
        <v>0</v>
      </c>
      <c r="DE151" s="413"/>
      <c r="DF151" s="414"/>
      <c r="DH151" s="311"/>
      <c r="DI151" s="311"/>
      <c r="DJ151" s="311"/>
      <c r="DK151" s="311"/>
      <c r="DL151" s="321"/>
      <c r="DM151" s="321"/>
      <c r="DN151" s="321"/>
      <c r="DO151" s="321"/>
      <c r="DP151" s="321"/>
      <c r="DQ151" s="321"/>
      <c r="DR151" s="321"/>
      <c r="DS151" s="321"/>
    </row>
    <row r="152" spans="1:123" ht="7.4" customHeight="1" x14ac:dyDescent="0.5">
      <c r="A152" s="42"/>
      <c r="B152" s="42"/>
      <c r="C152" s="311"/>
      <c r="D152" s="311"/>
      <c r="E152" s="41"/>
      <c r="F152" s="42"/>
      <c r="G152" s="319"/>
      <c r="H152" s="319"/>
      <c r="I152" s="319"/>
      <c r="J152" s="319"/>
      <c r="K152" s="319"/>
      <c r="L152" s="319"/>
      <c r="M152" s="319"/>
      <c r="N152" s="319"/>
      <c r="O152" s="319"/>
      <c r="P152" s="319"/>
      <c r="Q152" s="319"/>
      <c r="R152" s="320"/>
      <c r="S152" s="42"/>
      <c r="T152" s="521"/>
      <c r="U152" s="521"/>
      <c r="V152" s="521"/>
      <c r="W152" s="521"/>
      <c r="X152" s="521"/>
      <c r="Y152" s="521"/>
      <c r="Z152" s="521"/>
      <c r="AA152" s="521"/>
      <c r="AB152" s="521"/>
      <c r="AC152" s="521"/>
      <c r="AD152" s="521"/>
      <c r="AE152" s="521"/>
      <c r="AF152" s="521"/>
      <c r="AG152" s="521"/>
      <c r="AH152" s="521"/>
      <c r="AI152" s="521"/>
      <c r="AJ152" s="522"/>
      <c r="AK152" s="42"/>
      <c r="AL152" s="311"/>
      <c r="AM152" s="311"/>
      <c r="AN152" s="311"/>
      <c r="AO152" s="311"/>
      <c r="AP152" s="43"/>
      <c r="AQ152" s="111"/>
      <c r="AR152" s="309"/>
      <c r="AS152" s="309"/>
      <c r="AT152" s="309"/>
      <c r="AU152" s="309"/>
      <c r="AV152" s="309"/>
      <c r="AW152" s="309"/>
      <c r="AX152" s="309"/>
      <c r="AY152" s="309"/>
      <c r="AZ152" s="309"/>
      <c r="BA152" s="309"/>
      <c r="BB152" s="309"/>
      <c r="BC152" s="309"/>
      <c r="BD152" s="309"/>
      <c r="BE152" s="309"/>
      <c r="BF152" s="309"/>
      <c r="BG152" s="309"/>
      <c r="BH152" s="124"/>
      <c r="BI152" s="41"/>
      <c r="BK152" s="412"/>
      <c r="BL152" s="413"/>
      <c r="BM152" s="414"/>
      <c r="BN152" s="412"/>
      <c r="BO152" s="413"/>
      <c r="BP152" s="414"/>
      <c r="BQ152" s="412"/>
      <c r="BR152" s="413"/>
      <c r="BS152" s="414"/>
      <c r="BT152" s="412"/>
      <c r="BU152" s="413"/>
      <c r="BV152" s="414"/>
      <c r="BW152" s="412"/>
      <c r="BX152" s="413"/>
      <c r="BY152" s="414"/>
      <c r="BZ152" s="412"/>
      <c r="CA152" s="413"/>
      <c r="CB152" s="414"/>
      <c r="CC152" s="412"/>
      <c r="CD152" s="413"/>
      <c r="CE152" s="414"/>
      <c r="CF152" s="412"/>
      <c r="CG152" s="413"/>
      <c r="CH152" s="414"/>
      <c r="CI152" s="412"/>
      <c r="CJ152" s="413"/>
      <c r="CK152" s="414"/>
      <c r="CL152" s="412"/>
      <c r="CM152" s="413"/>
      <c r="CN152" s="414"/>
      <c r="CO152" s="412"/>
      <c r="CP152" s="413"/>
      <c r="CQ152" s="414"/>
      <c r="CR152" s="412"/>
      <c r="CS152" s="413"/>
      <c r="CT152" s="414"/>
      <c r="CU152" s="412"/>
      <c r="CV152" s="413"/>
      <c r="CW152" s="414"/>
      <c r="CX152" s="412"/>
      <c r="CY152" s="413"/>
      <c r="CZ152" s="414"/>
      <c r="DA152" s="412"/>
      <c r="DB152" s="413"/>
      <c r="DC152" s="414"/>
      <c r="DD152" s="412"/>
      <c r="DE152" s="413"/>
      <c r="DF152" s="414"/>
      <c r="DH152" s="311"/>
      <c r="DI152" s="311"/>
      <c r="DJ152" s="311"/>
      <c r="DK152" s="311"/>
      <c r="DL152" s="321"/>
      <c r="DM152" s="321"/>
      <c r="DN152" s="321"/>
      <c r="DO152" s="321"/>
      <c r="DP152" s="321"/>
      <c r="DQ152" s="321"/>
      <c r="DR152" s="321"/>
      <c r="DS152" s="321"/>
    </row>
    <row r="153" spans="1:123" ht="7.4" customHeight="1" x14ac:dyDescent="0.5">
      <c r="A153" s="42"/>
      <c r="B153" s="42"/>
      <c r="C153" s="55"/>
      <c r="D153" s="55"/>
      <c r="E153" s="41"/>
      <c r="F153" s="42"/>
      <c r="G153" s="56"/>
      <c r="H153" s="56"/>
      <c r="I153" s="56"/>
      <c r="J153" s="56"/>
      <c r="K153" s="56"/>
      <c r="L153" s="56"/>
      <c r="M153" s="56"/>
      <c r="N153" s="56"/>
      <c r="O153" s="56"/>
      <c r="P153" s="56"/>
      <c r="Q153" s="56"/>
      <c r="R153" s="126"/>
      <c r="S153" s="42"/>
      <c r="T153" s="116" t="str">
        <f>VLOOKUP(G151,PL!$B$9:$BH$1265,33,FALSE)</f>
        <v>Class4 Coated Steel, M6.3x22</v>
      </c>
      <c r="AJ153" s="41"/>
      <c r="AK153" s="42"/>
      <c r="AL153" s="311"/>
      <c r="AM153" s="311"/>
      <c r="AN153" s="311"/>
      <c r="AO153" s="311"/>
      <c r="AP153" s="43"/>
      <c r="AQ153" s="42"/>
      <c r="AR153" s="119"/>
      <c r="AS153" s="119"/>
      <c r="AT153" s="119"/>
      <c r="AU153" s="119"/>
      <c r="AV153" s="119"/>
      <c r="AW153" s="119"/>
      <c r="AX153" s="105"/>
      <c r="AZ153" s="119"/>
      <c r="BA153" s="119"/>
      <c r="BB153" s="119"/>
      <c r="BC153" s="119"/>
      <c r="BD153" s="119"/>
      <c r="BE153" s="119"/>
      <c r="BF153" s="119"/>
      <c r="BG153" s="119"/>
      <c r="BH153" s="124"/>
      <c r="BI153" s="41"/>
      <c r="BK153" s="194"/>
      <c r="BL153" s="123"/>
      <c r="BM153" s="195"/>
      <c r="BN153" s="194"/>
      <c r="BO153" s="123"/>
      <c r="BP153" s="195"/>
      <c r="BQ153" s="194"/>
      <c r="BR153" s="123"/>
      <c r="BS153" s="195"/>
      <c r="BT153" s="194"/>
      <c r="BU153" s="123"/>
      <c r="BV153" s="195"/>
      <c r="BW153" s="194"/>
      <c r="BX153" s="123"/>
      <c r="BY153" s="195"/>
      <c r="BZ153" s="194"/>
      <c r="CA153" s="123"/>
      <c r="CB153" s="195"/>
      <c r="CC153" s="194"/>
      <c r="CD153" s="123"/>
      <c r="CE153" s="195"/>
      <c r="CF153" s="194"/>
      <c r="CG153" s="123"/>
      <c r="CH153" s="195"/>
      <c r="CI153" s="194"/>
      <c r="CJ153" s="123"/>
      <c r="CK153" s="195"/>
      <c r="CL153" s="194"/>
      <c r="CM153" s="123"/>
      <c r="CN153" s="195"/>
      <c r="CO153" s="194"/>
      <c r="CP153" s="123"/>
      <c r="CQ153" s="195"/>
      <c r="CR153" s="194"/>
      <c r="CS153" s="123"/>
      <c r="CT153" s="195"/>
      <c r="CU153" s="194"/>
      <c r="CV153" s="123"/>
      <c r="CW153" s="195"/>
      <c r="CX153" s="194"/>
      <c r="CY153" s="123"/>
      <c r="CZ153" s="195"/>
      <c r="DA153" s="194"/>
      <c r="DB153" s="123"/>
      <c r="DC153" s="195"/>
      <c r="DD153" s="194"/>
      <c r="DE153" s="123"/>
      <c r="DF153" s="195"/>
      <c r="DH153" s="311"/>
      <c r="DI153" s="311"/>
      <c r="DJ153" s="311"/>
      <c r="DK153" s="311"/>
      <c r="DL153" s="321"/>
      <c r="DM153" s="321"/>
      <c r="DN153" s="321"/>
      <c r="DO153" s="321"/>
      <c r="DP153" s="321"/>
      <c r="DQ153" s="321"/>
      <c r="DR153" s="321"/>
      <c r="DS153" s="321"/>
    </row>
    <row r="154" spans="1:123" ht="7.4" customHeight="1" x14ac:dyDescent="0.5">
      <c r="A154" s="42"/>
      <c r="B154" s="42"/>
      <c r="C154" s="55"/>
      <c r="D154" s="55"/>
      <c r="E154" s="41"/>
      <c r="F154" s="42"/>
      <c r="G154" s="56"/>
      <c r="H154" s="56"/>
      <c r="I154" s="56"/>
      <c r="J154" s="56"/>
      <c r="K154" s="56"/>
      <c r="L154" s="56"/>
      <c r="M154" s="56"/>
      <c r="N154" s="56"/>
      <c r="O154" s="56"/>
      <c r="P154" s="56"/>
      <c r="Q154" s="56"/>
      <c r="R154" s="126"/>
      <c r="S154" s="42"/>
      <c r="AJ154" s="41"/>
      <c r="AK154" s="42"/>
      <c r="AL154" s="311"/>
      <c r="AM154" s="311"/>
      <c r="AN154" s="311"/>
      <c r="AO154" s="311"/>
      <c r="AP154" s="43"/>
      <c r="AQ154" s="42"/>
      <c r="AR154" s="119"/>
      <c r="AS154" s="119"/>
      <c r="AT154" s="119"/>
      <c r="AU154" s="119"/>
      <c r="AV154" s="119"/>
      <c r="AW154" s="119"/>
      <c r="AX154" s="105"/>
      <c r="AZ154" s="119"/>
      <c r="BA154" s="119"/>
      <c r="BB154" s="119"/>
      <c r="BC154" s="119"/>
      <c r="BD154" s="119"/>
      <c r="BE154" s="119"/>
      <c r="BF154" s="119"/>
      <c r="BG154" s="119"/>
      <c r="BH154" s="124"/>
      <c r="BI154" s="41"/>
      <c r="BK154" s="194"/>
      <c r="BL154" s="123"/>
      <c r="BM154" s="195"/>
      <c r="BN154" s="194"/>
      <c r="BO154" s="123"/>
      <c r="BP154" s="195"/>
      <c r="BQ154" s="194"/>
      <c r="BR154" s="123"/>
      <c r="BS154" s="195"/>
      <c r="BT154" s="194"/>
      <c r="BU154" s="123"/>
      <c r="BV154" s="195"/>
      <c r="BW154" s="194"/>
      <c r="BX154" s="123"/>
      <c r="BY154" s="195"/>
      <c r="BZ154" s="194"/>
      <c r="CA154" s="123"/>
      <c r="CB154" s="195"/>
      <c r="CC154" s="194"/>
      <c r="CD154" s="123"/>
      <c r="CE154" s="195"/>
      <c r="CF154" s="194"/>
      <c r="CG154" s="123"/>
      <c r="CH154" s="195"/>
      <c r="CI154" s="194"/>
      <c r="CJ154" s="123"/>
      <c r="CK154" s="195"/>
      <c r="CL154" s="194"/>
      <c r="CM154" s="123"/>
      <c r="CN154" s="195"/>
      <c r="CO154" s="194"/>
      <c r="CP154" s="123"/>
      <c r="CQ154" s="195"/>
      <c r="CR154" s="194"/>
      <c r="CS154" s="123"/>
      <c r="CT154" s="195"/>
      <c r="CU154" s="194"/>
      <c r="CV154" s="123"/>
      <c r="CW154" s="195"/>
      <c r="CX154" s="194"/>
      <c r="CY154" s="123"/>
      <c r="CZ154" s="195"/>
      <c r="DA154" s="194"/>
      <c r="DB154" s="123"/>
      <c r="DC154" s="195"/>
      <c r="DD154" s="194"/>
      <c r="DE154" s="123"/>
      <c r="DF154" s="195"/>
      <c r="DL154" s="105"/>
      <c r="DM154" s="105"/>
      <c r="DN154" s="105"/>
      <c r="DO154" s="105"/>
      <c r="DP154" s="105"/>
      <c r="DQ154" s="105"/>
      <c r="DR154" s="105"/>
      <c r="DS154" s="105"/>
    </row>
    <row r="155" spans="1:123" ht="7.4" customHeight="1" x14ac:dyDescent="0.5">
      <c r="A155" s="42"/>
      <c r="B155" s="42"/>
      <c r="C155" s="311">
        <f>C151+1</f>
        <v>10</v>
      </c>
      <c r="D155" s="311"/>
      <c r="E155" s="41"/>
      <c r="F155" s="42"/>
      <c r="G155" s="322" t="str">
        <f>IF(AL155=0,"N/A","Anti_Seize_S")</f>
        <v>N/A</v>
      </c>
      <c r="H155" s="322"/>
      <c r="I155" s="322"/>
      <c r="J155" s="322"/>
      <c r="K155" s="322"/>
      <c r="L155" s="322"/>
      <c r="M155" s="322"/>
      <c r="N155" s="322"/>
      <c r="O155" s="322"/>
      <c r="P155" s="322"/>
      <c r="Q155" s="322"/>
      <c r="R155" s="323"/>
      <c r="S155" s="42"/>
      <c r="T155" s="316" t="str">
        <f>VLOOKUP(G155,PL!$B$9:$BH$1265,14,FALSE)</f>
        <v>No Item</v>
      </c>
      <c r="U155" s="316"/>
      <c r="V155" s="316"/>
      <c r="W155" s="316"/>
      <c r="X155" s="316"/>
      <c r="Y155" s="316"/>
      <c r="Z155" s="316"/>
      <c r="AA155" s="316"/>
      <c r="AB155" s="316"/>
      <c r="AC155" s="316"/>
      <c r="AD155" s="316"/>
      <c r="AE155" s="316"/>
      <c r="AF155" s="316"/>
      <c r="AG155" s="316"/>
      <c r="AH155" s="316"/>
      <c r="AI155" s="316"/>
      <c r="AJ155" s="317"/>
      <c r="AK155" s="42"/>
      <c r="AL155" s="311">
        <f>SUM(BK155:DF155)</f>
        <v>0</v>
      </c>
      <c r="AM155" s="311"/>
      <c r="AN155" s="311"/>
      <c r="AO155" s="311"/>
      <c r="AP155" s="43"/>
      <c r="AQ155" s="111"/>
      <c r="AR155" s="308" t="str">
        <f>VLOOKUP(G155,PL!$B$9:$BH$818,52,FALSE)</f>
        <v>-</v>
      </c>
      <c r="AS155" s="309"/>
      <c r="AT155" s="309"/>
      <c r="AU155" s="309"/>
      <c r="AV155" s="309"/>
      <c r="AW155" s="309"/>
      <c r="AX155" s="309"/>
      <c r="AY155" s="309"/>
      <c r="AZ155" s="309"/>
      <c r="BA155" s="309"/>
      <c r="BB155" s="309"/>
      <c r="BC155" s="309"/>
      <c r="BD155" s="309"/>
      <c r="BE155" s="309"/>
      <c r="BF155" s="309"/>
      <c r="BG155" s="309"/>
      <c r="BH155" s="124"/>
      <c r="BI155" s="41"/>
      <c r="BK155" s="500">
        <f>IF($N$70="Not Included",ROUNDUP((SUM(BK119:DF119)+SUM(BK123:DF123))/1000,0),0)</f>
        <v>0</v>
      </c>
      <c r="BL155" s="501"/>
      <c r="BM155" s="502"/>
      <c r="BN155" s="194"/>
      <c r="BO155" s="123"/>
      <c r="BP155" s="195"/>
      <c r="BQ155" s="194"/>
      <c r="BR155" s="123"/>
      <c r="BS155" s="195"/>
      <c r="BT155" s="194"/>
      <c r="BU155" s="123"/>
      <c r="BV155" s="195"/>
      <c r="BW155" s="194"/>
      <c r="BX155" s="123"/>
      <c r="BY155" s="195"/>
      <c r="BZ155" s="194"/>
      <c r="CA155" s="123"/>
      <c r="CB155" s="195"/>
      <c r="CC155" s="194"/>
      <c r="CD155" s="123"/>
      <c r="CE155" s="195"/>
      <c r="CF155" s="194"/>
      <c r="CG155" s="123"/>
      <c r="CH155" s="195"/>
      <c r="CI155" s="194"/>
      <c r="CJ155" s="123"/>
      <c r="CK155" s="195"/>
      <c r="CL155" s="194"/>
      <c r="CM155" s="123"/>
      <c r="CN155" s="195"/>
      <c r="CO155" s="194"/>
      <c r="CP155" s="123"/>
      <c r="CQ155" s="195"/>
      <c r="CR155" s="194"/>
      <c r="CS155" s="123"/>
      <c r="CT155" s="195"/>
      <c r="CU155" s="194"/>
      <c r="CV155" s="123"/>
      <c r="CW155" s="195"/>
      <c r="CX155" s="194"/>
      <c r="CY155" s="123"/>
      <c r="CZ155" s="195"/>
      <c r="DA155" s="194"/>
      <c r="DB155" s="123"/>
      <c r="DC155" s="195"/>
      <c r="DD155" s="194"/>
      <c r="DE155" s="123"/>
      <c r="DF155" s="195"/>
      <c r="DL155" s="105"/>
      <c r="DM155" s="105"/>
      <c r="DN155" s="105"/>
      <c r="DO155" s="105"/>
      <c r="DP155" s="105"/>
      <c r="DQ155" s="105"/>
      <c r="DR155" s="105"/>
      <c r="DS155" s="105"/>
    </row>
    <row r="156" spans="1:123" ht="7.4" customHeight="1" x14ac:dyDescent="0.5">
      <c r="A156" s="42"/>
      <c r="B156" s="42"/>
      <c r="C156" s="311"/>
      <c r="D156" s="311"/>
      <c r="E156" s="41"/>
      <c r="F156" s="42"/>
      <c r="G156" s="322"/>
      <c r="H156" s="322"/>
      <c r="I156" s="322"/>
      <c r="J156" s="322"/>
      <c r="K156" s="322"/>
      <c r="L156" s="322"/>
      <c r="M156" s="322"/>
      <c r="N156" s="322"/>
      <c r="O156" s="322"/>
      <c r="P156" s="322"/>
      <c r="Q156" s="322"/>
      <c r="R156" s="323"/>
      <c r="S156" s="42"/>
      <c r="T156" s="316"/>
      <c r="U156" s="316"/>
      <c r="V156" s="316"/>
      <c r="W156" s="316"/>
      <c r="X156" s="316"/>
      <c r="Y156" s="316"/>
      <c r="Z156" s="316"/>
      <c r="AA156" s="316"/>
      <c r="AB156" s="316"/>
      <c r="AC156" s="316"/>
      <c r="AD156" s="316"/>
      <c r="AE156" s="316"/>
      <c r="AF156" s="316"/>
      <c r="AG156" s="316"/>
      <c r="AH156" s="316"/>
      <c r="AI156" s="316"/>
      <c r="AJ156" s="317"/>
      <c r="AK156" s="42"/>
      <c r="AL156" s="311"/>
      <c r="AM156" s="311"/>
      <c r="AN156" s="311"/>
      <c r="AO156" s="311"/>
      <c r="AP156" s="43"/>
      <c r="AQ156" s="111"/>
      <c r="AR156" s="309"/>
      <c r="AS156" s="309"/>
      <c r="AT156" s="309"/>
      <c r="AU156" s="309"/>
      <c r="AV156" s="309"/>
      <c r="AW156" s="309"/>
      <c r="AX156" s="309"/>
      <c r="AY156" s="309"/>
      <c r="AZ156" s="309"/>
      <c r="BA156" s="309"/>
      <c r="BB156" s="309"/>
      <c r="BC156" s="309"/>
      <c r="BD156" s="309"/>
      <c r="BE156" s="309"/>
      <c r="BF156" s="309"/>
      <c r="BG156" s="309"/>
      <c r="BH156" s="124"/>
      <c r="BI156" s="41"/>
      <c r="BK156" s="500"/>
      <c r="BL156" s="501"/>
      <c r="BM156" s="502"/>
      <c r="BN156" s="194"/>
      <c r="BO156" s="123"/>
      <c r="BP156" s="195"/>
      <c r="BQ156" s="194"/>
      <c r="BR156" s="123"/>
      <c r="BS156" s="195"/>
      <c r="BT156" s="194"/>
      <c r="BU156" s="123"/>
      <c r="BV156" s="195"/>
      <c r="BW156" s="194"/>
      <c r="BX156" s="123"/>
      <c r="BY156" s="195"/>
      <c r="BZ156" s="194"/>
      <c r="CA156" s="123"/>
      <c r="CB156" s="195"/>
      <c r="CC156" s="194"/>
      <c r="CD156" s="123"/>
      <c r="CE156" s="195"/>
      <c r="CF156" s="194"/>
      <c r="CG156" s="123"/>
      <c r="CH156" s="195"/>
      <c r="CI156" s="194"/>
      <c r="CJ156" s="123"/>
      <c r="CK156" s="195"/>
      <c r="CL156" s="194"/>
      <c r="CM156" s="123"/>
      <c r="CN156" s="195"/>
      <c r="CO156" s="194"/>
      <c r="CP156" s="123"/>
      <c r="CQ156" s="195"/>
      <c r="CR156" s="194"/>
      <c r="CS156" s="123"/>
      <c r="CT156" s="195"/>
      <c r="CU156" s="194"/>
      <c r="CV156" s="123"/>
      <c r="CW156" s="195"/>
      <c r="CX156" s="194"/>
      <c r="CY156" s="123"/>
      <c r="CZ156" s="195"/>
      <c r="DA156" s="194"/>
      <c r="DB156" s="123"/>
      <c r="DC156" s="195"/>
      <c r="DD156" s="194"/>
      <c r="DE156" s="123"/>
      <c r="DF156" s="195"/>
      <c r="DL156" s="105"/>
      <c r="DM156" s="105"/>
      <c r="DN156" s="105"/>
      <c r="DO156" s="105"/>
      <c r="DP156" s="105"/>
      <c r="DQ156" s="105"/>
      <c r="DR156" s="105"/>
      <c r="DS156" s="105"/>
    </row>
    <row r="157" spans="1:123" ht="7.4" customHeight="1" x14ac:dyDescent="0.5">
      <c r="A157" s="42"/>
      <c r="B157" s="42"/>
      <c r="C157" s="75"/>
      <c r="D157" s="75"/>
      <c r="E157" s="41"/>
      <c r="F157" s="42"/>
      <c r="G157" s="56"/>
      <c r="H157" s="56"/>
      <c r="I157" s="56"/>
      <c r="J157" s="56"/>
      <c r="K157" s="56"/>
      <c r="L157" s="56"/>
      <c r="M157" s="56"/>
      <c r="N157" s="56"/>
      <c r="O157" s="56"/>
      <c r="P157" s="56"/>
      <c r="Q157" s="56"/>
      <c r="R157" s="126"/>
      <c r="S157" s="42"/>
      <c r="T157" s="116" t="str">
        <f>VLOOKUP(G155,PL!$B$9:$BH$1265,33,FALSE)</f>
        <v>.</v>
      </c>
      <c r="U157" s="49"/>
      <c r="V157" s="49"/>
      <c r="W157" s="49"/>
      <c r="X157" s="49"/>
      <c r="Y157" s="49"/>
      <c r="Z157" s="49"/>
      <c r="AA157" s="49"/>
      <c r="AB157" s="49"/>
      <c r="AC157" s="49"/>
      <c r="AD157" s="49"/>
      <c r="AE157" s="49"/>
      <c r="AF157" s="49"/>
      <c r="AG157" s="49"/>
      <c r="AH157" s="49"/>
      <c r="AI157" s="49"/>
      <c r="AJ157" s="110"/>
      <c r="AK157" s="42"/>
      <c r="AL157" s="127"/>
      <c r="AM157" s="127"/>
      <c r="AN157" s="127"/>
      <c r="AO157" s="127"/>
      <c r="AP157" s="43"/>
      <c r="AQ157" s="111"/>
      <c r="AR157" s="112"/>
      <c r="AS157" s="112"/>
      <c r="AT157" s="112"/>
      <c r="AU157" s="112"/>
      <c r="AV157" s="112"/>
      <c r="AW157" s="112"/>
      <c r="AX157" s="112"/>
      <c r="AY157" s="112"/>
      <c r="AZ157" s="112"/>
      <c r="BA157" s="112"/>
      <c r="BB157" s="112"/>
      <c r="BC157" s="112"/>
      <c r="BD157" s="112"/>
      <c r="BE157" s="112"/>
      <c r="BF157" s="112"/>
      <c r="BG157" s="112"/>
      <c r="BH157" s="124"/>
      <c r="BI157" s="41"/>
      <c r="BK157" s="288"/>
      <c r="BL157" s="289"/>
      <c r="BM157" s="290"/>
      <c r="BN157" s="194"/>
      <c r="BO157" s="123"/>
      <c r="BP157" s="195"/>
      <c r="BQ157" s="194"/>
      <c r="BR157" s="123"/>
      <c r="BS157" s="195"/>
      <c r="BT157" s="194"/>
      <c r="BU157" s="123"/>
      <c r="BV157" s="195"/>
      <c r="BW157" s="194"/>
      <c r="BX157" s="123"/>
      <c r="BY157" s="195"/>
      <c r="BZ157" s="194"/>
      <c r="CA157" s="123"/>
      <c r="CB157" s="195"/>
      <c r="CC157" s="194"/>
      <c r="CD157" s="123"/>
      <c r="CE157" s="195"/>
      <c r="CF157" s="194"/>
      <c r="CG157" s="123"/>
      <c r="CH157" s="195"/>
      <c r="CI157" s="194"/>
      <c r="CJ157" s="123"/>
      <c r="CK157" s="195"/>
      <c r="CL157" s="194"/>
      <c r="CM157" s="123"/>
      <c r="CN157" s="195"/>
      <c r="CO157" s="194"/>
      <c r="CP157" s="123"/>
      <c r="CQ157" s="195"/>
      <c r="CR157" s="194"/>
      <c r="CS157" s="123"/>
      <c r="CT157" s="195"/>
      <c r="CU157" s="194"/>
      <c r="CV157" s="123"/>
      <c r="CW157" s="195"/>
      <c r="CX157" s="194"/>
      <c r="CY157" s="123"/>
      <c r="CZ157" s="195"/>
      <c r="DA157" s="194"/>
      <c r="DB157" s="123"/>
      <c r="DC157" s="195"/>
      <c r="DD157" s="194"/>
      <c r="DE157" s="123"/>
      <c r="DF157" s="195"/>
      <c r="DL157" s="105"/>
      <c r="DM157" s="105"/>
      <c r="DN157" s="105"/>
      <c r="DO157" s="105"/>
      <c r="DP157" s="105"/>
      <c r="DQ157" s="105"/>
      <c r="DR157" s="105"/>
      <c r="DS157" s="105"/>
    </row>
    <row r="158" spans="1:123" ht="7.4" customHeight="1" x14ac:dyDescent="0.5">
      <c r="A158" s="42"/>
      <c r="B158" s="42"/>
      <c r="C158" s="55"/>
      <c r="D158" s="55"/>
      <c r="E158" s="41"/>
      <c r="F158" s="42"/>
      <c r="G158" s="56"/>
      <c r="H158" s="56"/>
      <c r="I158" s="56"/>
      <c r="J158" s="56"/>
      <c r="K158" s="56"/>
      <c r="L158" s="56"/>
      <c r="M158" s="56"/>
      <c r="N158" s="56"/>
      <c r="O158" s="56"/>
      <c r="P158" s="56"/>
      <c r="Q158" s="56"/>
      <c r="R158" s="126"/>
      <c r="S158" s="42"/>
      <c r="AJ158" s="41"/>
      <c r="AK158" s="42"/>
      <c r="AL158" s="75"/>
      <c r="AM158" s="75"/>
      <c r="AN158" s="75"/>
      <c r="AO158" s="75"/>
      <c r="AP158" s="43"/>
      <c r="AQ158" s="42"/>
      <c r="AR158" s="119"/>
      <c r="AS158" s="119"/>
      <c r="AT158" s="119"/>
      <c r="AU158" s="119"/>
      <c r="AV158" s="119"/>
      <c r="AW158" s="119"/>
      <c r="AX158" s="105"/>
      <c r="AZ158" s="119"/>
      <c r="BA158" s="119"/>
      <c r="BB158" s="119"/>
      <c r="BC158" s="119"/>
      <c r="BD158" s="119"/>
      <c r="BE158" s="119"/>
      <c r="BF158" s="119"/>
      <c r="BG158" s="119"/>
      <c r="BH158" s="124"/>
      <c r="BI158" s="41"/>
      <c r="BK158" s="194"/>
      <c r="BL158" s="123"/>
      <c r="BM158" s="195"/>
      <c r="BN158" s="194"/>
      <c r="BO158" s="123"/>
      <c r="BP158" s="195"/>
      <c r="BQ158" s="194"/>
      <c r="BR158" s="123"/>
      <c r="BS158" s="195"/>
      <c r="BT158" s="194"/>
      <c r="BU158" s="123"/>
      <c r="BV158" s="195"/>
      <c r="BW158" s="194"/>
      <c r="BX158" s="123"/>
      <c r="BY158" s="195"/>
      <c r="BZ158" s="194"/>
      <c r="CA158" s="123"/>
      <c r="CB158" s="195"/>
      <c r="CC158" s="194"/>
      <c r="CD158" s="123"/>
      <c r="CE158" s="195"/>
      <c r="CF158" s="194"/>
      <c r="CG158" s="123"/>
      <c r="CH158" s="195"/>
      <c r="CI158" s="194"/>
      <c r="CJ158" s="123"/>
      <c r="CK158" s="195"/>
      <c r="CL158" s="194"/>
      <c r="CM158" s="123"/>
      <c r="CN158" s="195"/>
      <c r="CO158" s="194"/>
      <c r="CP158" s="123"/>
      <c r="CQ158" s="195"/>
      <c r="CR158" s="194"/>
      <c r="CS158" s="123"/>
      <c r="CT158" s="195"/>
      <c r="CU158" s="194"/>
      <c r="CV158" s="123"/>
      <c r="CW158" s="195"/>
      <c r="CX158" s="194"/>
      <c r="CY158" s="123"/>
      <c r="CZ158" s="195"/>
      <c r="DA158" s="194"/>
      <c r="DB158" s="123"/>
      <c r="DC158" s="195"/>
      <c r="DD158" s="194"/>
      <c r="DE158" s="123"/>
      <c r="DF158" s="195"/>
      <c r="DL158" s="105"/>
      <c r="DM158" s="105"/>
      <c r="DN158" s="105"/>
      <c r="DO158" s="105"/>
      <c r="DP158" s="105"/>
      <c r="DQ158" s="105"/>
      <c r="DR158" s="105"/>
      <c r="DS158" s="105"/>
    </row>
    <row r="159" spans="1:123" ht="7.4" customHeight="1" x14ac:dyDescent="0.5">
      <c r="A159" s="42"/>
      <c r="B159" s="42"/>
      <c r="C159" s="311">
        <f>C155+1</f>
        <v>11</v>
      </c>
      <c r="D159" s="311"/>
      <c r="E159" s="41"/>
      <c r="F159" s="42"/>
      <c r="G159" s="314" t="s">
        <v>55</v>
      </c>
      <c r="H159" s="314"/>
      <c r="I159" s="314"/>
      <c r="J159" s="314"/>
      <c r="K159" s="314"/>
      <c r="L159" s="314"/>
      <c r="M159" s="314"/>
      <c r="N159" s="314"/>
      <c r="O159" s="314"/>
      <c r="P159" s="314"/>
      <c r="Q159" s="314"/>
      <c r="R159" s="315"/>
      <c r="S159" s="42"/>
      <c r="T159" s="316" t="str">
        <f>IF(AL159=1,"Transport estimate","Transport excluded")</f>
        <v>Transport excluded</v>
      </c>
      <c r="U159" s="316"/>
      <c r="V159" s="316"/>
      <c r="W159" s="316"/>
      <c r="X159" s="316"/>
      <c r="Y159" s="316"/>
      <c r="Z159" s="316"/>
      <c r="AA159" s="316"/>
      <c r="AB159" s="316"/>
      <c r="AC159" s="316"/>
      <c r="AD159" s="316"/>
      <c r="AE159" s="316"/>
      <c r="AF159" s="316"/>
      <c r="AG159" s="316"/>
      <c r="AH159" s="316"/>
      <c r="AI159" s="316"/>
      <c r="AJ159" s="317"/>
      <c r="AK159" s="42"/>
      <c r="AL159" s="318">
        <v>0</v>
      </c>
      <c r="AM159" s="318"/>
      <c r="AN159" s="318"/>
      <c r="AO159" s="318"/>
      <c r="AP159" s="43"/>
      <c r="AQ159" s="111"/>
      <c r="AR159" s="308" t="str">
        <f>VLOOKUP(G159,PL!$B$9:$BH$818,52,FALSE)</f>
        <v>-</v>
      </c>
      <c r="AS159" s="309"/>
      <c r="AT159" s="309"/>
      <c r="AU159" s="309"/>
      <c r="AV159" s="309"/>
      <c r="AW159" s="309"/>
      <c r="AX159" s="309"/>
      <c r="AY159" s="309"/>
      <c r="AZ159" s="309"/>
      <c r="BA159" s="309"/>
      <c r="BB159" s="309"/>
      <c r="BC159" s="309"/>
      <c r="BD159" s="309"/>
      <c r="BE159" s="309"/>
      <c r="BF159" s="309"/>
      <c r="BG159" s="309"/>
      <c r="BH159" s="124"/>
      <c r="BI159" s="41"/>
      <c r="BK159" s="412"/>
      <c r="BL159" s="413"/>
      <c r="BM159" s="414"/>
      <c r="BN159" s="412"/>
      <c r="BO159" s="413"/>
      <c r="BP159" s="414"/>
      <c r="BQ159" s="412"/>
      <c r="BR159" s="413"/>
      <c r="BS159" s="414"/>
      <c r="BT159" s="412"/>
      <c r="BU159" s="413"/>
      <c r="BV159" s="414"/>
      <c r="BW159" s="412"/>
      <c r="BX159" s="413"/>
      <c r="BY159" s="414"/>
      <c r="BZ159" s="412"/>
      <c r="CA159" s="413"/>
      <c r="CB159" s="414"/>
      <c r="CC159" s="412"/>
      <c r="CD159" s="413"/>
      <c r="CE159" s="414"/>
      <c r="CF159" s="412"/>
      <c r="CG159" s="413"/>
      <c r="CH159" s="414"/>
      <c r="CI159" s="412"/>
      <c r="CJ159" s="413"/>
      <c r="CK159" s="414"/>
      <c r="CL159" s="412"/>
      <c r="CM159" s="413"/>
      <c r="CN159" s="414"/>
      <c r="CO159" s="412"/>
      <c r="CP159" s="413"/>
      <c r="CQ159" s="414"/>
      <c r="CR159" s="412"/>
      <c r="CS159" s="413"/>
      <c r="CT159" s="414"/>
      <c r="CU159" s="412"/>
      <c r="CV159" s="413"/>
      <c r="CW159" s="414"/>
      <c r="CX159" s="412"/>
      <c r="CY159" s="413"/>
      <c r="CZ159" s="414"/>
      <c r="DA159" s="412"/>
      <c r="DB159" s="413"/>
      <c r="DC159" s="414"/>
      <c r="DD159" s="412"/>
      <c r="DE159" s="413"/>
      <c r="DF159" s="414"/>
      <c r="DH159" s="311"/>
      <c r="DI159" s="311"/>
      <c r="DJ159" s="311"/>
      <c r="DK159" s="311"/>
      <c r="DL159" s="321"/>
      <c r="DM159" s="321"/>
      <c r="DN159" s="321"/>
      <c r="DO159" s="321"/>
      <c r="DP159" s="321"/>
      <c r="DQ159" s="321"/>
      <c r="DR159" s="321"/>
      <c r="DS159" s="321"/>
    </row>
    <row r="160" spans="1:123" ht="7.4" customHeight="1" x14ac:dyDescent="0.5">
      <c r="A160" s="42"/>
      <c r="B160" s="42"/>
      <c r="C160" s="311"/>
      <c r="D160" s="311"/>
      <c r="E160" s="41"/>
      <c r="F160" s="42"/>
      <c r="G160" s="314"/>
      <c r="H160" s="314"/>
      <c r="I160" s="314"/>
      <c r="J160" s="314"/>
      <c r="K160" s="314"/>
      <c r="L160" s="314"/>
      <c r="M160" s="314"/>
      <c r="N160" s="314"/>
      <c r="O160" s="314"/>
      <c r="P160" s="314"/>
      <c r="Q160" s="314"/>
      <c r="R160" s="315"/>
      <c r="S160" s="42"/>
      <c r="T160" s="316"/>
      <c r="U160" s="316"/>
      <c r="V160" s="316"/>
      <c r="W160" s="316"/>
      <c r="X160" s="316"/>
      <c r="Y160" s="316"/>
      <c r="Z160" s="316"/>
      <c r="AA160" s="316"/>
      <c r="AB160" s="316"/>
      <c r="AC160" s="316"/>
      <c r="AD160" s="316"/>
      <c r="AE160" s="316"/>
      <c r="AF160" s="316"/>
      <c r="AG160" s="316"/>
      <c r="AH160" s="316"/>
      <c r="AI160" s="316"/>
      <c r="AJ160" s="317"/>
      <c r="AK160" s="42"/>
      <c r="AL160" s="318"/>
      <c r="AM160" s="318"/>
      <c r="AN160" s="318"/>
      <c r="AO160" s="318"/>
      <c r="AP160" s="43"/>
      <c r="AQ160" s="111"/>
      <c r="AR160" s="309"/>
      <c r="AS160" s="309"/>
      <c r="AT160" s="309"/>
      <c r="AU160" s="309"/>
      <c r="AV160" s="309"/>
      <c r="AW160" s="309"/>
      <c r="AX160" s="309"/>
      <c r="AY160" s="309"/>
      <c r="AZ160" s="309"/>
      <c r="BA160" s="309"/>
      <c r="BB160" s="309"/>
      <c r="BC160" s="309"/>
      <c r="BD160" s="309"/>
      <c r="BE160" s="309"/>
      <c r="BF160" s="309"/>
      <c r="BG160" s="309"/>
      <c r="BH160" s="124"/>
      <c r="BI160" s="41"/>
      <c r="BK160" s="412"/>
      <c r="BL160" s="413"/>
      <c r="BM160" s="414"/>
      <c r="BN160" s="412"/>
      <c r="BO160" s="413"/>
      <c r="BP160" s="414"/>
      <c r="BQ160" s="412"/>
      <c r="BR160" s="413"/>
      <c r="BS160" s="414"/>
      <c r="BT160" s="412"/>
      <c r="BU160" s="413"/>
      <c r="BV160" s="414"/>
      <c r="BW160" s="412"/>
      <c r="BX160" s="413"/>
      <c r="BY160" s="414"/>
      <c r="BZ160" s="412"/>
      <c r="CA160" s="413"/>
      <c r="CB160" s="414"/>
      <c r="CC160" s="412"/>
      <c r="CD160" s="413"/>
      <c r="CE160" s="414"/>
      <c r="CF160" s="412"/>
      <c r="CG160" s="413"/>
      <c r="CH160" s="414"/>
      <c r="CI160" s="412"/>
      <c r="CJ160" s="413"/>
      <c r="CK160" s="414"/>
      <c r="CL160" s="412"/>
      <c r="CM160" s="413"/>
      <c r="CN160" s="414"/>
      <c r="CO160" s="412"/>
      <c r="CP160" s="413"/>
      <c r="CQ160" s="414"/>
      <c r="CR160" s="412"/>
      <c r="CS160" s="413"/>
      <c r="CT160" s="414"/>
      <c r="CU160" s="412"/>
      <c r="CV160" s="413"/>
      <c r="CW160" s="414"/>
      <c r="CX160" s="412"/>
      <c r="CY160" s="413"/>
      <c r="CZ160" s="414"/>
      <c r="DA160" s="412"/>
      <c r="DB160" s="413"/>
      <c r="DC160" s="414"/>
      <c r="DD160" s="412"/>
      <c r="DE160" s="413"/>
      <c r="DF160" s="414"/>
      <c r="DH160" s="311"/>
      <c r="DI160" s="311"/>
      <c r="DJ160" s="311"/>
      <c r="DK160" s="311"/>
      <c r="DL160" s="321"/>
      <c r="DM160" s="321"/>
      <c r="DN160" s="321"/>
      <c r="DO160" s="321"/>
      <c r="DP160" s="321"/>
      <c r="DQ160" s="321"/>
      <c r="DR160" s="321"/>
      <c r="DS160" s="321"/>
    </row>
    <row r="161" spans="1:123" ht="7.4" customHeight="1" x14ac:dyDescent="0.5">
      <c r="A161" s="42"/>
      <c r="B161" s="50"/>
      <c r="C161" s="51"/>
      <c r="D161" s="51"/>
      <c r="E161" s="52"/>
      <c r="F161" s="50"/>
      <c r="G161" s="132"/>
      <c r="H161" s="132"/>
      <c r="I161" s="132"/>
      <c r="J161" s="132"/>
      <c r="K161" s="132"/>
      <c r="L161" s="132"/>
      <c r="M161" s="132"/>
      <c r="N161" s="132"/>
      <c r="O161" s="132"/>
      <c r="P161" s="132"/>
      <c r="Q161" s="132"/>
      <c r="R161" s="204"/>
      <c r="S161" s="50"/>
      <c r="T161" s="51"/>
      <c r="U161" s="51"/>
      <c r="V161" s="51"/>
      <c r="W161" s="51"/>
      <c r="X161" s="51"/>
      <c r="Y161" s="51"/>
      <c r="Z161" s="51"/>
      <c r="AA161" s="51"/>
      <c r="AB161" s="51"/>
      <c r="AC161" s="51"/>
      <c r="AD161" s="51"/>
      <c r="AE161" s="51"/>
      <c r="AF161" s="51"/>
      <c r="AG161" s="51"/>
      <c r="AH161" s="51"/>
      <c r="AI161" s="51"/>
      <c r="AJ161" s="52"/>
      <c r="AK161" s="50"/>
      <c r="AL161" s="355"/>
      <c r="AM161" s="355"/>
      <c r="AN161" s="355"/>
      <c r="AO161" s="355"/>
      <c r="AP161" s="84"/>
      <c r="AQ161" s="50"/>
      <c r="AR161" s="51"/>
      <c r="AS161" s="262"/>
      <c r="AT161" s="262"/>
      <c r="AU161" s="262"/>
      <c r="AV161" s="262"/>
      <c r="AW161" s="262"/>
      <c r="AX161" s="135"/>
      <c r="AY161" s="51"/>
      <c r="AZ161" s="51"/>
      <c r="BA161" s="263"/>
      <c r="BB161" s="263"/>
      <c r="BC161" s="263"/>
      <c r="BD161" s="263"/>
      <c r="BE161" s="263"/>
      <c r="BF161" s="263"/>
      <c r="BG161" s="263"/>
      <c r="BH161" s="158"/>
      <c r="BI161" s="41"/>
      <c r="BK161" s="205"/>
      <c r="BL161" s="206"/>
      <c r="BM161" s="207"/>
      <c r="BN161" s="205"/>
      <c r="BO161" s="206"/>
      <c r="BP161" s="207"/>
      <c r="BQ161" s="205"/>
      <c r="BR161" s="206"/>
      <c r="BS161" s="207"/>
      <c r="BT161" s="205"/>
      <c r="BU161" s="206"/>
      <c r="BV161" s="207"/>
      <c r="BW161" s="205"/>
      <c r="BX161" s="206"/>
      <c r="BY161" s="207"/>
      <c r="BZ161" s="205"/>
      <c r="CA161" s="206"/>
      <c r="CB161" s="207"/>
      <c r="CC161" s="205"/>
      <c r="CD161" s="206"/>
      <c r="CE161" s="207"/>
      <c r="CF161" s="205"/>
      <c r="CG161" s="206"/>
      <c r="CH161" s="207"/>
      <c r="CI161" s="205"/>
      <c r="CJ161" s="206"/>
      <c r="CK161" s="207"/>
      <c r="CL161" s="205"/>
      <c r="CM161" s="206"/>
      <c r="CN161" s="207"/>
      <c r="CO161" s="205"/>
      <c r="CP161" s="206"/>
      <c r="CQ161" s="207"/>
      <c r="CR161" s="205"/>
      <c r="CS161" s="206"/>
      <c r="CT161" s="207"/>
      <c r="CU161" s="205"/>
      <c r="CV161" s="206"/>
      <c r="CW161" s="207"/>
      <c r="CX161" s="205"/>
      <c r="CY161" s="206"/>
      <c r="CZ161" s="207"/>
      <c r="DA161" s="205"/>
      <c r="DB161" s="206"/>
      <c r="DC161" s="207"/>
      <c r="DD161" s="205"/>
      <c r="DE161" s="206"/>
      <c r="DF161" s="207"/>
      <c r="DH161" s="311"/>
      <c r="DI161" s="311"/>
      <c r="DJ161" s="311"/>
      <c r="DK161" s="311"/>
      <c r="DL161" s="321"/>
      <c r="DM161" s="321"/>
      <c r="DN161" s="321"/>
      <c r="DO161" s="321"/>
      <c r="DP161" s="321"/>
      <c r="DQ161" s="321"/>
      <c r="DR161" s="321"/>
      <c r="DS161" s="321"/>
    </row>
    <row r="162" spans="1:123" ht="7.4" customHeight="1" x14ac:dyDescent="0.5">
      <c r="A162" s="50"/>
      <c r="B162" s="51"/>
      <c r="C162" s="51"/>
      <c r="D162" s="51"/>
      <c r="E162" s="51"/>
      <c r="F162" s="51"/>
      <c r="G162" s="51"/>
      <c r="H162" s="51"/>
      <c r="I162" s="51"/>
      <c r="J162" s="51"/>
      <c r="K162" s="51"/>
      <c r="L162" s="51"/>
      <c r="M162" s="51"/>
      <c r="N162" s="51"/>
      <c r="O162" s="51"/>
      <c r="P162" s="51"/>
      <c r="Q162" s="51"/>
      <c r="R162" s="51"/>
      <c r="S162" s="51"/>
      <c r="T162" s="51"/>
      <c r="U162" s="51"/>
      <c r="V162" s="51"/>
      <c r="W162" s="208"/>
      <c r="X162" s="208"/>
      <c r="Y162" s="208"/>
      <c r="Z162" s="208"/>
      <c r="AA162" s="208"/>
      <c r="AB162" s="51"/>
      <c r="AC162" s="51"/>
      <c r="AD162" s="208"/>
      <c r="AE162" s="208"/>
      <c r="AF162" s="208"/>
      <c r="AG162" s="208"/>
      <c r="AH162" s="208"/>
      <c r="AI162" s="51"/>
      <c r="AJ162" s="51"/>
      <c r="AK162" s="51"/>
      <c r="AL162" s="51"/>
      <c r="AM162" s="51"/>
      <c r="AN162" s="51"/>
      <c r="AO162" s="51"/>
      <c r="AP162" s="51"/>
      <c r="AQ162" s="51"/>
      <c r="AR162" s="51"/>
      <c r="AS162" s="51"/>
      <c r="AT162" s="51"/>
      <c r="AU162" s="51"/>
      <c r="AV162" s="51"/>
      <c r="AW162" s="51"/>
      <c r="AX162" s="51"/>
      <c r="AY162" s="51"/>
      <c r="AZ162" s="51"/>
      <c r="BA162" s="51"/>
      <c r="BB162" s="51"/>
      <c r="BC162" s="51"/>
      <c r="BD162" s="51"/>
      <c r="BE162" s="51"/>
      <c r="BF162" s="51"/>
      <c r="BG162" s="51"/>
      <c r="BH162" s="51"/>
      <c r="BI162" s="52"/>
    </row>
    <row r="163" spans="1:123" ht="7.4" customHeight="1" x14ac:dyDescent="0.5"/>
    <row r="164" spans="1:123" ht="7.4" customHeight="1" x14ac:dyDescent="0.5">
      <c r="A164" s="505" t="s">
        <v>56</v>
      </c>
      <c r="B164" s="505"/>
      <c r="C164" s="505"/>
      <c r="D164" s="505"/>
      <c r="E164" s="505"/>
      <c r="F164" s="505"/>
      <c r="G164" s="505"/>
      <c r="H164" s="505"/>
      <c r="I164" s="505"/>
      <c r="J164" s="505"/>
      <c r="K164" s="505"/>
      <c r="L164" s="505"/>
      <c r="M164" s="505"/>
      <c r="N164" s="505"/>
      <c r="O164" s="505"/>
      <c r="P164" s="505"/>
      <c r="Q164" s="505"/>
      <c r="R164" s="505"/>
      <c r="S164" s="505"/>
      <c r="T164" s="505"/>
      <c r="U164" s="505"/>
      <c r="V164" s="505"/>
      <c r="W164" s="505"/>
      <c r="X164" s="505"/>
      <c r="Y164" s="505"/>
      <c r="Z164" s="505"/>
      <c r="AA164" s="505"/>
      <c r="AB164" s="505"/>
      <c r="AC164" s="505"/>
      <c r="AD164" s="505"/>
      <c r="AE164" s="505"/>
      <c r="AF164" s="505"/>
      <c r="AG164" s="505"/>
      <c r="AH164" s="505"/>
      <c r="AI164" s="505"/>
      <c r="AJ164" s="505"/>
      <c r="AK164" s="505"/>
      <c r="AL164" s="505"/>
      <c r="AM164" s="505"/>
      <c r="AN164" s="505"/>
      <c r="AO164" s="505"/>
      <c r="AP164" s="505"/>
      <c r="AQ164" s="505"/>
      <c r="AR164" s="505"/>
      <c r="AS164" s="505"/>
      <c r="AT164" s="505"/>
      <c r="AU164" s="505"/>
      <c r="AV164" s="505"/>
      <c r="AW164" s="505"/>
      <c r="AX164" s="505"/>
      <c r="AY164" s="505"/>
      <c r="AZ164" s="505"/>
      <c r="BA164" s="505"/>
      <c r="BB164" s="505"/>
      <c r="BC164" s="505"/>
      <c r="BD164" s="505"/>
      <c r="BE164" s="505"/>
      <c r="BF164" s="505"/>
      <c r="BG164" s="505"/>
      <c r="BH164" s="505"/>
      <c r="BI164" s="505"/>
    </row>
    <row r="165" spans="1:123" ht="7.4" customHeight="1" x14ac:dyDescent="0.5">
      <c r="A165" s="505"/>
      <c r="B165" s="505"/>
      <c r="C165" s="505"/>
      <c r="D165" s="505"/>
      <c r="E165" s="505"/>
      <c r="F165" s="505"/>
      <c r="G165" s="505"/>
      <c r="H165" s="505"/>
      <c r="I165" s="505"/>
      <c r="J165" s="505"/>
      <c r="K165" s="505"/>
      <c r="L165" s="505"/>
      <c r="M165" s="505"/>
      <c r="N165" s="505"/>
      <c r="O165" s="505"/>
      <c r="P165" s="505"/>
      <c r="Q165" s="505"/>
      <c r="R165" s="505"/>
      <c r="S165" s="505"/>
      <c r="T165" s="505"/>
      <c r="U165" s="505"/>
      <c r="V165" s="505"/>
      <c r="W165" s="505"/>
      <c r="X165" s="505"/>
      <c r="Y165" s="505"/>
      <c r="Z165" s="505"/>
      <c r="AA165" s="505"/>
      <c r="AB165" s="505"/>
      <c r="AC165" s="505"/>
      <c r="AD165" s="505"/>
      <c r="AE165" s="505"/>
      <c r="AF165" s="505"/>
      <c r="AG165" s="505"/>
      <c r="AH165" s="505"/>
      <c r="AI165" s="505"/>
      <c r="AJ165" s="505"/>
      <c r="AK165" s="505"/>
      <c r="AL165" s="505"/>
      <c r="AM165" s="505"/>
      <c r="AN165" s="505"/>
      <c r="AO165" s="505"/>
      <c r="AP165" s="505"/>
      <c r="AQ165" s="505"/>
      <c r="AR165" s="505"/>
      <c r="AS165" s="505"/>
      <c r="AT165" s="505"/>
      <c r="AU165" s="505"/>
      <c r="AV165" s="505"/>
      <c r="AW165" s="505"/>
      <c r="AX165" s="505"/>
      <c r="AY165" s="505"/>
      <c r="AZ165" s="505"/>
      <c r="BA165" s="505"/>
      <c r="BB165" s="505"/>
      <c r="BC165" s="505"/>
      <c r="BD165" s="505"/>
      <c r="BE165" s="505"/>
      <c r="BF165" s="505"/>
      <c r="BG165" s="505"/>
      <c r="BH165" s="505"/>
      <c r="BI165" s="505"/>
    </row>
    <row r="166" spans="1:123" ht="7.4" customHeight="1" x14ac:dyDescent="0.5"/>
    <row r="167" spans="1:123" ht="7.4" customHeight="1" x14ac:dyDescent="0.5">
      <c r="A167" s="298" t="s">
        <v>57</v>
      </c>
      <c r="B167" s="298"/>
      <c r="C167" s="298"/>
      <c r="D167" s="298"/>
      <c r="E167" s="298"/>
      <c r="F167" s="298"/>
      <c r="G167" s="298"/>
      <c r="H167" s="298"/>
      <c r="I167" s="298"/>
      <c r="J167" s="298"/>
      <c r="K167" s="298"/>
      <c r="L167" s="298"/>
      <c r="M167" s="298"/>
      <c r="N167" s="298"/>
      <c r="O167" s="298"/>
      <c r="P167" s="298"/>
      <c r="Q167" s="298"/>
      <c r="R167" s="298"/>
      <c r="S167" s="298"/>
      <c r="T167" s="298"/>
      <c r="U167" s="298"/>
      <c r="V167" s="298"/>
      <c r="W167" s="298"/>
      <c r="X167" s="298"/>
      <c r="Y167" s="298"/>
      <c r="Z167" s="298"/>
      <c r="AA167" s="298"/>
      <c r="AB167" s="298"/>
      <c r="AC167" s="298"/>
      <c r="AD167" s="298"/>
      <c r="AE167" s="298"/>
      <c r="AF167" s="298"/>
      <c r="AG167" s="298"/>
      <c r="AH167" s="298"/>
      <c r="AI167" s="298"/>
      <c r="AJ167" s="298"/>
      <c r="AK167" s="298"/>
      <c r="AL167" s="298"/>
      <c r="AM167" s="298"/>
      <c r="AN167" s="298"/>
      <c r="AO167" s="298"/>
      <c r="AP167" s="298"/>
      <c r="AQ167" s="298"/>
      <c r="AR167" s="298"/>
      <c r="AS167" s="298"/>
      <c r="AT167" s="298"/>
      <c r="AU167" s="298"/>
      <c r="AV167" s="298"/>
      <c r="AW167" s="298"/>
      <c r="AX167" s="298"/>
      <c r="AY167" s="298"/>
      <c r="AZ167" s="298"/>
      <c r="BA167" s="298"/>
      <c r="BB167" s="298"/>
      <c r="BC167" s="298"/>
      <c r="BD167" s="298"/>
      <c r="BE167" s="298"/>
      <c r="BF167" s="298"/>
      <c r="BG167" s="298"/>
      <c r="BH167" s="298"/>
      <c r="BI167" s="298"/>
    </row>
    <row r="168" spans="1:123" ht="7.4" customHeight="1" x14ac:dyDescent="0.5">
      <c r="A168" s="298"/>
      <c r="B168" s="298"/>
      <c r="C168" s="298"/>
      <c r="D168" s="298"/>
      <c r="E168" s="298"/>
      <c r="F168" s="298"/>
      <c r="G168" s="298"/>
      <c r="H168" s="298"/>
      <c r="I168" s="298"/>
      <c r="J168" s="298"/>
      <c r="K168" s="298"/>
      <c r="L168" s="298"/>
      <c r="M168" s="298"/>
      <c r="N168" s="298"/>
      <c r="O168" s="298"/>
      <c r="P168" s="298"/>
      <c r="Q168" s="298"/>
      <c r="R168" s="298"/>
      <c r="S168" s="298"/>
      <c r="T168" s="298"/>
      <c r="U168" s="298"/>
      <c r="V168" s="298"/>
      <c r="W168" s="298"/>
      <c r="X168" s="298"/>
      <c r="Y168" s="298"/>
      <c r="Z168" s="298"/>
      <c r="AA168" s="298"/>
      <c r="AB168" s="298"/>
      <c r="AC168" s="298"/>
      <c r="AD168" s="298"/>
      <c r="AE168" s="298"/>
      <c r="AF168" s="298"/>
      <c r="AG168" s="298"/>
      <c r="AH168" s="298"/>
      <c r="AI168" s="298"/>
      <c r="AJ168" s="298"/>
      <c r="AK168" s="298"/>
      <c r="AL168" s="298"/>
      <c r="AM168" s="298"/>
      <c r="AN168" s="298"/>
      <c r="AO168" s="298"/>
      <c r="AP168" s="298"/>
      <c r="AQ168" s="298"/>
      <c r="AR168" s="298"/>
      <c r="AS168" s="298"/>
      <c r="AT168" s="298"/>
      <c r="AU168" s="298"/>
      <c r="AV168" s="298"/>
      <c r="AW168" s="298"/>
      <c r="AX168" s="298"/>
      <c r="AY168" s="298"/>
      <c r="AZ168" s="298"/>
      <c r="BA168" s="298"/>
      <c r="BB168" s="298"/>
      <c r="BC168" s="298"/>
      <c r="BD168" s="298"/>
      <c r="BE168" s="298"/>
      <c r="BF168" s="298"/>
      <c r="BG168" s="298"/>
      <c r="BH168" s="298"/>
      <c r="BI168" s="298"/>
    </row>
    <row r="169" spans="1:123" ht="7.4" customHeight="1" x14ac:dyDescent="0.5"/>
    <row r="170" spans="1:123" ht="7.4" customHeight="1" x14ac:dyDescent="0.5">
      <c r="BA170" s="79"/>
      <c r="BB170" s="79"/>
      <c r="BC170" s="79"/>
      <c r="BD170" s="79"/>
      <c r="BE170" s="79"/>
      <c r="BF170" s="79"/>
      <c r="BG170" s="79"/>
      <c r="BH170" s="79"/>
      <c r="BI170" s="79"/>
    </row>
    <row r="171" spans="1:123" ht="7.4" customHeight="1" x14ac:dyDescent="0.5">
      <c r="V171" s="25"/>
      <c r="W171" s="25"/>
      <c r="X171" s="25"/>
      <c r="Y171" s="25"/>
      <c r="Z171" s="25"/>
      <c r="AA171" s="25"/>
      <c r="AB171" s="25"/>
      <c r="AC171" s="25"/>
      <c r="AD171" s="25"/>
      <c r="AE171" s="25"/>
      <c r="AF171" s="25"/>
      <c r="AG171" s="25"/>
      <c r="AH171" s="25"/>
      <c r="AI171" s="25"/>
      <c r="AJ171" s="25"/>
      <c r="AK171" s="25"/>
      <c r="AL171" s="25"/>
      <c r="AM171" s="25"/>
      <c r="AN171" s="25"/>
      <c r="AO171" s="25"/>
      <c r="AP171" s="25"/>
      <c r="AQ171" s="25"/>
      <c r="AR171" s="25"/>
      <c r="BA171" s="79"/>
      <c r="BB171" s="79"/>
      <c r="BC171" s="79"/>
      <c r="BD171" s="79"/>
      <c r="BE171" s="79"/>
      <c r="BF171" s="79"/>
      <c r="BG171" s="79"/>
      <c r="BH171" s="79"/>
      <c r="BI171" s="79"/>
    </row>
    <row r="172" spans="1:123" ht="7.4" customHeight="1" x14ac:dyDescent="0.5"/>
    <row r="173" spans="1:123" ht="7.4" customHeight="1" x14ac:dyDescent="0.5"/>
    <row r="174" spans="1:123" ht="7.4" customHeight="1" x14ac:dyDescent="0.5"/>
    <row r="175" spans="1:123" ht="7.4" customHeight="1" x14ac:dyDescent="0.5"/>
    <row r="176" spans="1:123" ht="7.4" customHeight="1" x14ac:dyDescent="0.5"/>
    <row r="177" ht="7.4" customHeight="1" x14ac:dyDescent="0.5"/>
    <row r="178" ht="7.4" customHeight="1" x14ac:dyDescent="0.5"/>
    <row r="179" ht="7.4" customHeight="1" x14ac:dyDescent="0.5"/>
    <row r="180" ht="7.4" customHeight="1" x14ac:dyDescent="0.5"/>
    <row r="181" ht="7.4" customHeight="1" x14ac:dyDescent="0.5"/>
    <row r="182" ht="7.4" customHeight="1" x14ac:dyDescent="0.5"/>
    <row r="183" ht="7.4" customHeight="1" x14ac:dyDescent="0.5"/>
    <row r="184" ht="7.4" customHeight="1" x14ac:dyDescent="0.5"/>
    <row r="185" ht="7.4" customHeight="1" x14ac:dyDescent="0.5"/>
    <row r="186" ht="7.4" customHeight="1" x14ac:dyDescent="0.5"/>
    <row r="187" ht="7.4" customHeight="1" x14ac:dyDescent="0.5"/>
    <row r="188" ht="7.4" customHeight="1" x14ac:dyDescent="0.5"/>
    <row r="189" ht="7.4" customHeight="1" x14ac:dyDescent="0.5"/>
    <row r="190" ht="7.4" customHeight="1" x14ac:dyDescent="0.5"/>
    <row r="191" ht="7.4" customHeight="1" x14ac:dyDescent="0.5"/>
    <row r="192" ht="7.4" customHeight="1" x14ac:dyDescent="0.5"/>
    <row r="193" ht="7.4" customHeight="1" x14ac:dyDescent="0.5"/>
    <row r="194" ht="7.4" customHeight="1" x14ac:dyDescent="0.5"/>
    <row r="195" ht="7.4" customHeight="1" x14ac:dyDescent="0.5"/>
    <row r="196" ht="7.4" customHeight="1" x14ac:dyDescent="0.5"/>
    <row r="197" ht="7.4" customHeight="1" x14ac:dyDescent="0.5"/>
    <row r="200" ht="7.4" customHeight="1" x14ac:dyDescent="0.5"/>
  </sheetData>
  <sheetProtection algorithmName="SHA-512" hashValue="gU0uItPz3d0uOOODm0BjSEO42g6fEyR34ioOePkzPikwqFDasn5DB34ZBKAKE2JadVNydtlF4WVFz6vLrQmSUg==" saltValue="3MP2h0AjDVlo8+tqtxqwWg==" spinCount="100000" sheet="1" objects="1" scenarios="1" selectLockedCells="1"/>
  <mergeCells count="486">
    <mergeCell ref="C1:AI9"/>
    <mergeCell ref="AN1:BH2"/>
    <mergeCell ref="AN3:BH4"/>
    <mergeCell ref="AN5:BH6"/>
    <mergeCell ref="AN7:BH8"/>
    <mergeCell ref="A10:AL15"/>
    <mergeCell ref="AN11:AV12"/>
    <mergeCell ref="AX11:BH12"/>
    <mergeCell ref="AN13:AV14"/>
    <mergeCell ref="AX13:BH14"/>
    <mergeCell ref="U21:AO22"/>
    <mergeCell ref="B25:AC27"/>
    <mergeCell ref="AE25:BH27"/>
    <mergeCell ref="C28:R30"/>
    <mergeCell ref="T28:AC30"/>
    <mergeCell ref="AF28:AM30"/>
    <mergeCell ref="AO28:BH30"/>
    <mergeCell ref="C17:F18"/>
    <mergeCell ref="G17:X18"/>
    <mergeCell ref="Y17:AC18"/>
    <mergeCell ref="AD17:AS18"/>
    <mergeCell ref="AT17:AW18"/>
    <mergeCell ref="AX17:BH18"/>
    <mergeCell ref="AK51:AM52"/>
    <mergeCell ref="BF51:BH52"/>
    <mergeCell ref="AN51:AP52"/>
    <mergeCell ref="AQ51:AS52"/>
    <mergeCell ref="AT51:AV52"/>
    <mergeCell ref="AW51:AY52"/>
    <mergeCell ref="AZ51:BB52"/>
    <mergeCell ref="BC51:BE52"/>
    <mergeCell ref="C31:R33"/>
    <mergeCell ref="T31:AC33"/>
    <mergeCell ref="AF31:AM33"/>
    <mergeCell ref="AO31:BH33"/>
    <mergeCell ref="AF34:AM37"/>
    <mergeCell ref="AO35:AX36"/>
    <mergeCell ref="BF54:BH55"/>
    <mergeCell ref="AN54:AP55"/>
    <mergeCell ref="AQ54:AS55"/>
    <mergeCell ref="AT54:AV55"/>
    <mergeCell ref="AW54:AY55"/>
    <mergeCell ref="B39:BH41"/>
    <mergeCell ref="C43:G45"/>
    <mergeCell ref="J43:N45"/>
    <mergeCell ref="Q43:T45"/>
    <mergeCell ref="W43:AS44"/>
    <mergeCell ref="AV43:AZ45"/>
    <mergeCell ref="BC43:BG45"/>
    <mergeCell ref="W45:Z45"/>
    <mergeCell ref="AE45:AH45"/>
    <mergeCell ref="AM45:AP45"/>
    <mergeCell ref="C48:BG50"/>
    <mergeCell ref="M51:O52"/>
    <mergeCell ref="P51:R52"/>
    <mergeCell ref="S51:U52"/>
    <mergeCell ref="V51:X52"/>
    <mergeCell ref="Y51:AA52"/>
    <mergeCell ref="AB51:AD52"/>
    <mergeCell ref="AE51:AG52"/>
    <mergeCell ref="AH51:AJ52"/>
    <mergeCell ref="AK54:AM55"/>
    <mergeCell ref="Y54:AA55"/>
    <mergeCell ref="AB54:AD55"/>
    <mergeCell ref="AE54:AG55"/>
    <mergeCell ref="AH54:AJ55"/>
    <mergeCell ref="BC54:BE55"/>
    <mergeCell ref="C54:L55"/>
    <mergeCell ref="M54:O55"/>
    <mergeCell ref="P54:R55"/>
    <mergeCell ref="S54:U55"/>
    <mergeCell ref="V54:X55"/>
    <mergeCell ref="AZ54:BB55"/>
    <mergeCell ref="B62:U64"/>
    <mergeCell ref="AR62:BH64"/>
    <mergeCell ref="C65:M67"/>
    <mergeCell ref="N66:U67"/>
    <mergeCell ref="AS66:BD67"/>
    <mergeCell ref="BF66:BH69"/>
    <mergeCell ref="AS68:BD69"/>
    <mergeCell ref="AH58:AJ59"/>
    <mergeCell ref="AK58:AM59"/>
    <mergeCell ref="AN58:AP59"/>
    <mergeCell ref="AQ58:AS59"/>
    <mergeCell ref="AT58:AV59"/>
    <mergeCell ref="AW58:AY59"/>
    <mergeCell ref="Y58:AA59"/>
    <mergeCell ref="AB58:AD59"/>
    <mergeCell ref="AE58:AG59"/>
    <mergeCell ref="C58:L59"/>
    <mergeCell ref="M58:O59"/>
    <mergeCell ref="P58:R59"/>
    <mergeCell ref="S58:U59"/>
    <mergeCell ref="V58:X59"/>
    <mergeCell ref="AZ58:BB59"/>
    <mergeCell ref="BC58:BE59"/>
    <mergeCell ref="BF58:BH59"/>
    <mergeCell ref="BW75:BY76"/>
    <mergeCell ref="BZ75:CB76"/>
    <mergeCell ref="CC75:CE76"/>
    <mergeCell ref="DA77:DC78"/>
    <mergeCell ref="DD77:DF78"/>
    <mergeCell ref="CR77:CT78"/>
    <mergeCell ref="CU77:CW78"/>
    <mergeCell ref="BK68:BM69"/>
    <mergeCell ref="C69:M71"/>
    <mergeCell ref="N70:U71"/>
    <mergeCell ref="AS72:BD73"/>
    <mergeCell ref="BF72:BH73"/>
    <mergeCell ref="BK72:BM73"/>
    <mergeCell ref="BK75:BM76"/>
    <mergeCell ref="CX75:CZ76"/>
    <mergeCell ref="DA75:DC76"/>
    <mergeCell ref="CX77:CZ78"/>
    <mergeCell ref="CO111:CT112"/>
    <mergeCell ref="BA107:BI108"/>
    <mergeCell ref="BK109:BP110"/>
    <mergeCell ref="BQ109:BV110"/>
    <mergeCell ref="BW109:CB110"/>
    <mergeCell ref="CC109:CH110"/>
    <mergeCell ref="CI109:CN110"/>
    <mergeCell ref="DD75:DF76"/>
    <mergeCell ref="AS76:BD77"/>
    <mergeCell ref="BF76:BH77"/>
    <mergeCell ref="BK77:BM78"/>
    <mergeCell ref="BN77:BP78"/>
    <mergeCell ref="BQ77:BS78"/>
    <mergeCell ref="BT77:BV78"/>
    <mergeCell ref="BW77:BY78"/>
    <mergeCell ref="CF75:CH76"/>
    <mergeCell ref="CI75:CK76"/>
    <mergeCell ref="CL75:CN76"/>
    <mergeCell ref="CO75:CQ76"/>
    <mergeCell ref="CR75:CT76"/>
    <mergeCell ref="CU75:CW76"/>
    <mergeCell ref="BN75:BP76"/>
    <mergeCell ref="BQ75:BS76"/>
    <mergeCell ref="BT75:BV76"/>
    <mergeCell ref="A81:BI82"/>
    <mergeCell ref="BZ77:CB78"/>
    <mergeCell ref="CC77:CE78"/>
    <mergeCell ref="CF77:CH78"/>
    <mergeCell ref="CI77:CK78"/>
    <mergeCell ref="CL77:CN78"/>
    <mergeCell ref="CO77:CQ78"/>
    <mergeCell ref="DD115:DF116"/>
    <mergeCell ref="DH115:DK116"/>
    <mergeCell ref="CO113:CT113"/>
    <mergeCell ref="C114:E117"/>
    <mergeCell ref="G114:R117"/>
    <mergeCell ref="T114:AJ117"/>
    <mergeCell ref="AL114:AP117"/>
    <mergeCell ref="BK115:BM116"/>
    <mergeCell ref="BN115:BP116"/>
    <mergeCell ref="BQ115:BS116"/>
    <mergeCell ref="CO109:CT110"/>
    <mergeCell ref="U110:AO111"/>
    <mergeCell ref="BK111:BP112"/>
    <mergeCell ref="BQ111:BV112"/>
    <mergeCell ref="BW111:CB112"/>
    <mergeCell ref="CC111:CH112"/>
    <mergeCell ref="CI111:CN112"/>
    <mergeCell ref="DL115:DT116"/>
    <mergeCell ref="BK118:BM118"/>
    <mergeCell ref="BN118:BP118"/>
    <mergeCell ref="BQ118:BS118"/>
    <mergeCell ref="BT118:BV118"/>
    <mergeCell ref="BW118:BY118"/>
    <mergeCell ref="BZ118:CB118"/>
    <mergeCell ref="CC118:CE118"/>
    <mergeCell ref="CL115:CN116"/>
    <mergeCell ref="CO115:CQ116"/>
    <mergeCell ref="CR115:CT116"/>
    <mergeCell ref="CU115:CW116"/>
    <mergeCell ref="CX115:CZ116"/>
    <mergeCell ref="DA115:DC116"/>
    <mergeCell ref="BT115:BV116"/>
    <mergeCell ref="BW115:BY116"/>
    <mergeCell ref="BZ115:CB116"/>
    <mergeCell ref="CC115:CE116"/>
    <mergeCell ref="CF115:CH116"/>
    <mergeCell ref="CI115:CK116"/>
    <mergeCell ref="BQ119:BS120"/>
    <mergeCell ref="BT119:BV120"/>
    <mergeCell ref="BW119:BY120"/>
    <mergeCell ref="CX118:CZ118"/>
    <mergeCell ref="DA118:DC118"/>
    <mergeCell ref="DD118:DF118"/>
    <mergeCell ref="C119:D120"/>
    <mergeCell ref="G119:R120"/>
    <mergeCell ref="T119:AJ120"/>
    <mergeCell ref="AL119:AO120"/>
    <mergeCell ref="CF118:CH118"/>
    <mergeCell ref="CI118:CK118"/>
    <mergeCell ref="CL118:CN118"/>
    <mergeCell ref="CO118:CQ118"/>
    <mergeCell ref="CR118:CT118"/>
    <mergeCell ref="CU118:CW118"/>
    <mergeCell ref="AL122:AO122"/>
    <mergeCell ref="C123:D124"/>
    <mergeCell ref="G123:R124"/>
    <mergeCell ref="T123:AJ124"/>
    <mergeCell ref="AL123:AO124"/>
    <mergeCell ref="DL119:DS120"/>
    <mergeCell ref="C121:D121"/>
    <mergeCell ref="AL121:AO121"/>
    <mergeCell ref="DH121:DK121"/>
    <mergeCell ref="DL121:DS121"/>
    <mergeCell ref="CR119:CT120"/>
    <mergeCell ref="CU119:CW120"/>
    <mergeCell ref="CX119:CZ120"/>
    <mergeCell ref="DA119:DC120"/>
    <mergeCell ref="DD119:DF120"/>
    <mergeCell ref="DH119:DK120"/>
    <mergeCell ref="BZ119:CB120"/>
    <mergeCell ref="CC119:CE120"/>
    <mergeCell ref="CF119:CH120"/>
    <mergeCell ref="CI119:CK120"/>
    <mergeCell ref="CL119:CN120"/>
    <mergeCell ref="CO119:CQ120"/>
    <mergeCell ref="BK119:BM120"/>
    <mergeCell ref="BN119:BP120"/>
    <mergeCell ref="DH126:DK126"/>
    <mergeCell ref="DL126:DS126"/>
    <mergeCell ref="DL123:DS124"/>
    <mergeCell ref="AL125:AO125"/>
    <mergeCell ref="DH125:DK125"/>
    <mergeCell ref="DL125:DS125"/>
    <mergeCell ref="CR123:CT124"/>
    <mergeCell ref="CU123:CW124"/>
    <mergeCell ref="CX123:CZ124"/>
    <mergeCell ref="DA123:DC124"/>
    <mergeCell ref="DD123:DF124"/>
    <mergeCell ref="DH123:DK124"/>
    <mergeCell ref="BZ123:CB124"/>
    <mergeCell ref="CC123:CE124"/>
    <mergeCell ref="CF123:CH124"/>
    <mergeCell ref="CI123:CK124"/>
    <mergeCell ref="CL123:CN124"/>
    <mergeCell ref="CO123:CQ124"/>
    <mergeCell ref="BK123:BM124"/>
    <mergeCell ref="BN123:BP124"/>
    <mergeCell ref="BQ123:BS124"/>
    <mergeCell ref="BT123:BV124"/>
    <mergeCell ref="BW123:BY124"/>
    <mergeCell ref="BN127:BP128"/>
    <mergeCell ref="BQ127:BS128"/>
    <mergeCell ref="BT127:BV128"/>
    <mergeCell ref="C127:D128"/>
    <mergeCell ref="G127:R128"/>
    <mergeCell ref="T127:AJ128"/>
    <mergeCell ref="AL127:AO128"/>
    <mergeCell ref="C126:D126"/>
    <mergeCell ref="AL126:AO126"/>
    <mergeCell ref="AL130:AO130"/>
    <mergeCell ref="C131:D132"/>
    <mergeCell ref="G131:R132"/>
    <mergeCell ref="T131:AJ132"/>
    <mergeCell ref="AL131:AO132"/>
    <mergeCell ref="DH127:DK128"/>
    <mergeCell ref="DL127:DS128"/>
    <mergeCell ref="C129:D129"/>
    <mergeCell ref="AL129:AO129"/>
    <mergeCell ref="DH129:DK129"/>
    <mergeCell ref="DL129:DS129"/>
    <mergeCell ref="CO127:CQ128"/>
    <mergeCell ref="CR127:CT128"/>
    <mergeCell ref="CU127:CW128"/>
    <mergeCell ref="CX127:CZ128"/>
    <mergeCell ref="DA127:DC128"/>
    <mergeCell ref="DD127:DF128"/>
    <mergeCell ref="BW127:BY128"/>
    <mergeCell ref="BZ127:CB128"/>
    <mergeCell ref="CC127:CE128"/>
    <mergeCell ref="CF127:CH128"/>
    <mergeCell ref="CI127:CK128"/>
    <mergeCell ref="CL127:CN128"/>
    <mergeCell ref="BK127:BM128"/>
    <mergeCell ref="DL131:DS132"/>
    <mergeCell ref="AL134:AO134"/>
    <mergeCell ref="C135:D136"/>
    <mergeCell ref="G135:R136"/>
    <mergeCell ref="T135:AJ136"/>
    <mergeCell ref="AL135:AO136"/>
    <mergeCell ref="CR131:CT132"/>
    <mergeCell ref="CU131:CW132"/>
    <mergeCell ref="CX131:CZ132"/>
    <mergeCell ref="DA131:DC132"/>
    <mergeCell ref="DD131:DF132"/>
    <mergeCell ref="DH131:DK132"/>
    <mergeCell ref="BZ131:CB132"/>
    <mergeCell ref="CC131:CE132"/>
    <mergeCell ref="CF131:CH132"/>
    <mergeCell ref="CI131:CK132"/>
    <mergeCell ref="CL131:CN132"/>
    <mergeCell ref="CO131:CQ132"/>
    <mergeCell ref="BK131:BM132"/>
    <mergeCell ref="BN131:BP132"/>
    <mergeCell ref="BQ131:BS132"/>
    <mergeCell ref="BT131:BV132"/>
    <mergeCell ref="BW131:BY132"/>
    <mergeCell ref="DH138:DK138"/>
    <mergeCell ref="DL138:DS138"/>
    <mergeCell ref="DD135:DF136"/>
    <mergeCell ref="DH135:DK136"/>
    <mergeCell ref="DL135:DS136"/>
    <mergeCell ref="C137:D137"/>
    <mergeCell ref="AL137:AO137"/>
    <mergeCell ref="DH137:DK137"/>
    <mergeCell ref="DL137:DS137"/>
    <mergeCell ref="CL135:CN136"/>
    <mergeCell ref="CO135:CQ136"/>
    <mergeCell ref="CR135:CT136"/>
    <mergeCell ref="CU135:CW136"/>
    <mergeCell ref="CX135:CZ136"/>
    <mergeCell ref="DA135:DC136"/>
    <mergeCell ref="BT135:BV136"/>
    <mergeCell ref="BW135:BY136"/>
    <mergeCell ref="BZ135:CB136"/>
    <mergeCell ref="CC135:CE136"/>
    <mergeCell ref="CF135:CH136"/>
    <mergeCell ref="CI135:CK136"/>
    <mergeCell ref="BK135:BM136"/>
    <mergeCell ref="BN135:BP136"/>
    <mergeCell ref="BQ135:BS136"/>
    <mergeCell ref="DH139:DK140"/>
    <mergeCell ref="DL139:DS140"/>
    <mergeCell ref="C141:D141"/>
    <mergeCell ref="AL141:AO141"/>
    <mergeCell ref="DH141:DK141"/>
    <mergeCell ref="DL141:DS141"/>
    <mergeCell ref="CO139:CQ140"/>
    <mergeCell ref="CR139:CT140"/>
    <mergeCell ref="CU139:CW140"/>
    <mergeCell ref="CX139:CZ140"/>
    <mergeCell ref="DA139:DC140"/>
    <mergeCell ref="DD139:DF140"/>
    <mergeCell ref="BW139:BY140"/>
    <mergeCell ref="BZ139:CB140"/>
    <mergeCell ref="CC139:CE140"/>
    <mergeCell ref="CF139:CH140"/>
    <mergeCell ref="CI139:CK140"/>
    <mergeCell ref="CL139:CN140"/>
    <mergeCell ref="BK139:BM140"/>
    <mergeCell ref="BN139:BP140"/>
    <mergeCell ref="BQ139:BS140"/>
    <mergeCell ref="BT139:BV140"/>
    <mergeCell ref="C139:D140"/>
    <mergeCell ref="G139:R140"/>
    <mergeCell ref="BT143:BV144"/>
    <mergeCell ref="C143:D144"/>
    <mergeCell ref="G143:R144"/>
    <mergeCell ref="T143:AJ144"/>
    <mergeCell ref="AL143:AO144"/>
    <mergeCell ref="C142:D142"/>
    <mergeCell ref="AL142:AO142"/>
    <mergeCell ref="DH142:DK142"/>
    <mergeCell ref="DL142:DS142"/>
    <mergeCell ref="DH146:DK146"/>
    <mergeCell ref="DL146:DS146"/>
    <mergeCell ref="DH143:DK144"/>
    <mergeCell ref="DL143:DS144"/>
    <mergeCell ref="C145:D145"/>
    <mergeCell ref="AL145:AO145"/>
    <mergeCell ref="DH145:DK145"/>
    <mergeCell ref="DL145:DS145"/>
    <mergeCell ref="AR143:BG144"/>
    <mergeCell ref="CO143:CQ144"/>
    <mergeCell ref="CR143:CT144"/>
    <mergeCell ref="CU143:CW144"/>
    <mergeCell ref="CX143:CZ144"/>
    <mergeCell ref="DA143:DC144"/>
    <mergeCell ref="DD143:DF144"/>
    <mergeCell ref="BW143:BY144"/>
    <mergeCell ref="BZ143:CB144"/>
    <mergeCell ref="CC143:CE144"/>
    <mergeCell ref="CF143:CH144"/>
    <mergeCell ref="CI143:CK144"/>
    <mergeCell ref="CL143:CN144"/>
    <mergeCell ref="BK143:BM144"/>
    <mergeCell ref="BN143:BP144"/>
    <mergeCell ref="BQ143:BS144"/>
    <mergeCell ref="CL147:CN148"/>
    <mergeCell ref="BK147:BM148"/>
    <mergeCell ref="BN147:BP148"/>
    <mergeCell ref="BQ147:BS148"/>
    <mergeCell ref="BT147:BV148"/>
    <mergeCell ref="C147:D148"/>
    <mergeCell ref="G147:R148"/>
    <mergeCell ref="T147:AJ148"/>
    <mergeCell ref="AL147:AO148"/>
    <mergeCell ref="DH150:DK150"/>
    <mergeCell ref="DL150:DS150"/>
    <mergeCell ref="C151:D152"/>
    <mergeCell ref="G151:R152"/>
    <mergeCell ref="T151:AJ152"/>
    <mergeCell ref="AL151:AO152"/>
    <mergeCell ref="DH147:DK148"/>
    <mergeCell ref="DL147:DS148"/>
    <mergeCell ref="C149:D149"/>
    <mergeCell ref="AL149:AO149"/>
    <mergeCell ref="DH149:DK149"/>
    <mergeCell ref="DL149:DS149"/>
    <mergeCell ref="AR147:BG148"/>
    <mergeCell ref="CO147:CQ148"/>
    <mergeCell ref="CR147:CT148"/>
    <mergeCell ref="CU147:CW148"/>
    <mergeCell ref="CX147:CZ148"/>
    <mergeCell ref="DA147:DC148"/>
    <mergeCell ref="DD147:DF148"/>
    <mergeCell ref="BW147:BY148"/>
    <mergeCell ref="BZ147:CB148"/>
    <mergeCell ref="CC147:CE148"/>
    <mergeCell ref="CF147:CH148"/>
    <mergeCell ref="CI147:CK148"/>
    <mergeCell ref="BK155:BM156"/>
    <mergeCell ref="AL154:AO154"/>
    <mergeCell ref="DD151:DF152"/>
    <mergeCell ref="DH151:DK152"/>
    <mergeCell ref="DL151:DS152"/>
    <mergeCell ref="AL153:AO153"/>
    <mergeCell ref="DH153:DK153"/>
    <mergeCell ref="DL153:DS153"/>
    <mergeCell ref="AR151:BG152"/>
    <mergeCell ref="CL151:CN152"/>
    <mergeCell ref="CO151:CQ152"/>
    <mergeCell ref="CR151:CT152"/>
    <mergeCell ref="CU151:CW152"/>
    <mergeCell ref="CX151:CZ152"/>
    <mergeCell ref="DA151:DC152"/>
    <mergeCell ref="BT151:BV152"/>
    <mergeCell ref="BW151:BY152"/>
    <mergeCell ref="BZ151:CB152"/>
    <mergeCell ref="CC151:CE152"/>
    <mergeCell ref="CF151:CH152"/>
    <mergeCell ref="CI151:CK152"/>
    <mergeCell ref="BK151:BM152"/>
    <mergeCell ref="BN151:BP152"/>
    <mergeCell ref="BQ151:BS152"/>
    <mergeCell ref="DD159:DF160"/>
    <mergeCell ref="DH159:DK160"/>
    <mergeCell ref="DL159:DS160"/>
    <mergeCell ref="AL161:AO161"/>
    <mergeCell ref="DH161:DK161"/>
    <mergeCell ref="DL161:DS161"/>
    <mergeCell ref="AR159:BG160"/>
    <mergeCell ref="CL159:CN160"/>
    <mergeCell ref="CO159:CQ160"/>
    <mergeCell ref="CR159:CT160"/>
    <mergeCell ref="CU159:CW160"/>
    <mergeCell ref="CX159:CZ160"/>
    <mergeCell ref="DA159:DC160"/>
    <mergeCell ref="BT159:BV160"/>
    <mergeCell ref="BW159:BY160"/>
    <mergeCell ref="BZ159:CB160"/>
    <mergeCell ref="CC159:CE160"/>
    <mergeCell ref="CF159:CH160"/>
    <mergeCell ref="CI159:CK160"/>
    <mergeCell ref="BK159:BM160"/>
    <mergeCell ref="BN159:BP160"/>
    <mergeCell ref="BQ159:BS160"/>
    <mergeCell ref="AL159:AO160"/>
    <mergeCell ref="C155:D156"/>
    <mergeCell ref="G155:R156"/>
    <mergeCell ref="T155:AJ156"/>
    <mergeCell ref="AL155:AO156"/>
    <mergeCell ref="A164:BI165"/>
    <mergeCell ref="A167:BI168"/>
    <mergeCell ref="AQ114:BH117"/>
    <mergeCell ref="AR119:BG120"/>
    <mergeCell ref="AR123:BG124"/>
    <mergeCell ref="AR127:BG128"/>
    <mergeCell ref="AR131:BG132"/>
    <mergeCell ref="AR135:BG136"/>
    <mergeCell ref="AR139:BG140"/>
    <mergeCell ref="C159:D160"/>
    <mergeCell ref="G159:R160"/>
    <mergeCell ref="T159:AJ160"/>
    <mergeCell ref="AR155:BG156"/>
    <mergeCell ref="AL150:AO150"/>
    <mergeCell ref="C146:D146"/>
    <mergeCell ref="AL146:AO146"/>
    <mergeCell ref="T139:AJ140"/>
    <mergeCell ref="AL139:AO140"/>
    <mergeCell ref="C138:D138"/>
    <mergeCell ref="AL138:AO138"/>
  </mergeCells>
  <dataValidations count="4">
    <dataValidation type="list" allowBlank="1" showInputMessage="1" showErrorMessage="1" sqref="AO35:AX36" xr:uid="{70D8161B-6491-475C-B775-76B65469D244}">
      <formula1>$BK$1:$BK$21</formula1>
    </dataValidation>
    <dataValidation type="list" allowBlank="1" showInputMessage="1" showErrorMessage="1" sqref="CI111:CN112" xr:uid="{3108657E-D778-4C49-8671-2ECC601C3147}">
      <formula1>"EUR,USD,ZAR"</formula1>
    </dataValidation>
    <dataValidation type="list" allowBlank="1" showInputMessage="1" showErrorMessage="1" sqref="N70 N66" xr:uid="{163B3A12-66BF-4B8A-AC0F-B0402E0B8E86}">
      <formula1>"Included,Not Included"</formula1>
    </dataValidation>
    <dataValidation type="list" allowBlank="1" showInputMessage="1" showErrorMessage="1" sqref="AY35:AY36" xr:uid="{EC31759C-D296-4731-A80F-7709249EDDF8}">
      <formula1>"Corrugated,IBR (Rib Surface),IBR,Craft-Lock,Brownbuilt,Dimondek,Klip-Lok,ProLok,Saflok"</formula1>
    </dataValidation>
  </dataValidations>
  <pageMargins left="0.7" right="0.7" top="0.75" bottom="0.75" header="0.3" footer="0.3"/>
  <pageSetup paperSize="9" scale="85" fitToWidth="0" fitToHeight="0" orientation="portrait" r:id="rId1"/>
  <headerFooter>
    <oddFooter>&amp;RPage &amp;P of &amp;N</oddFooter>
  </headerFooter>
  <rowBreaks count="1" manualBreakCount="1">
    <brk id="108" max="60"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E1AEB-BCEC-4E25-9B64-D8EA759FF1B3}">
  <sheetPr codeName="Sheet130">
    <tabColor theme="9"/>
  </sheetPr>
  <dimension ref="A1:CX114"/>
  <sheetViews>
    <sheetView view="pageBreakPreview" zoomScaleNormal="100" zoomScaleSheetLayoutView="100" workbookViewId="0">
      <selection activeCell="G17" sqref="G17:X18"/>
    </sheetView>
  </sheetViews>
  <sheetFormatPr defaultColWidth="1.54296875" defaultRowHeight="7.4" customHeight="1" x14ac:dyDescent="0.5"/>
  <cols>
    <col min="1" max="1" width="1.54296875" style="24"/>
    <col min="2" max="2" width="1.54296875" style="24" customWidth="1"/>
    <col min="3" max="4" width="2.54296875" style="24" customWidth="1"/>
    <col min="5" max="12" width="1.54296875" style="24"/>
    <col min="13" max="13" width="1.453125" style="24" customWidth="1"/>
    <col min="14" max="18" width="1.54296875" style="24"/>
    <col min="19" max="19" width="1.54296875" style="24" customWidth="1"/>
    <col min="20" max="30" width="1.54296875" style="24"/>
    <col min="31" max="33" width="1.54296875" style="24" customWidth="1"/>
    <col min="34" max="37" width="1.54296875" style="24"/>
    <col min="38" max="38" width="1.54296875" style="24" customWidth="1"/>
    <col min="39" max="43" width="1.54296875" style="24"/>
    <col min="44" max="44" width="1.453125" style="24" customWidth="1"/>
    <col min="45" max="45" width="1.54296875" style="24" customWidth="1"/>
    <col min="46" max="46" width="1.453125" style="24" customWidth="1"/>
    <col min="47" max="47" width="1.54296875" style="24"/>
    <col min="48" max="48" width="1.54296875" style="24" customWidth="1"/>
    <col min="49" max="51" width="1.54296875" style="24"/>
    <col min="52" max="53" width="1.54296875" style="24" customWidth="1"/>
    <col min="54" max="54" width="1.453125" style="24" customWidth="1"/>
    <col min="55" max="61" width="1.54296875" style="24"/>
    <col min="62" max="62" width="1.54296875" style="24" bestFit="1" customWidth="1"/>
    <col min="63" max="68" width="1.54296875" style="24"/>
    <col min="69" max="69" width="1.54296875" style="24" bestFit="1" customWidth="1"/>
    <col min="70" max="16384" width="1.54296875" style="24"/>
  </cols>
  <sheetData>
    <row r="1" spans="1:61" ht="7.4" customHeight="1" x14ac:dyDescent="0.5">
      <c r="C1" s="333" t="e" vm="9">
        <v>#VALUE!</v>
      </c>
      <c r="D1" s="333"/>
      <c r="E1" s="333"/>
      <c r="F1" s="333"/>
      <c r="G1" s="333"/>
      <c r="H1" s="333"/>
      <c r="I1" s="333"/>
      <c r="J1" s="333"/>
      <c r="K1" s="333"/>
      <c r="L1" s="333"/>
      <c r="M1" s="333"/>
      <c r="N1" s="333"/>
      <c r="O1" s="333"/>
      <c r="P1" s="333"/>
      <c r="Q1" s="333"/>
      <c r="R1" s="333"/>
      <c r="S1" s="333"/>
      <c r="T1" s="333"/>
      <c r="U1" s="333"/>
      <c r="V1" s="333"/>
      <c r="W1" s="333"/>
      <c r="X1" s="333"/>
      <c r="Y1" s="333"/>
      <c r="Z1" s="333"/>
      <c r="AA1" s="333"/>
      <c r="AB1" s="333"/>
      <c r="AC1" s="333"/>
      <c r="AD1" s="333"/>
      <c r="AE1" s="333"/>
      <c r="AF1" s="333"/>
      <c r="AG1" s="333"/>
      <c r="AH1" s="333"/>
      <c r="AI1" s="333"/>
      <c r="AN1" s="405" t="s">
        <v>0</v>
      </c>
      <c r="AO1" s="405"/>
      <c r="AP1" s="405"/>
      <c r="AQ1" s="405"/>
      <c r="AR1" s="405"/>
      <c r="AS1" s="405"/>
      <c r="AT1" s="405"/>
      <c r="AU1" s="405"/>
      <c r="AV1" s="405"/>
      <c r="AW1" s="405"/>
      <c r="AX1" s="405"/>
      <c r="AY1" s="405"/>
      <c r="AZ1" s="405"/>
      <c r="BA1" s="405"/>
      <c r="BB1" s="405"/>
      <c r="BC1" s="405"/>
      <c r="BD1" s="405"/>
      <c r="BE1" s="405"/>
      <c r="BF1" s="405"/>
      <c r="BG1" s="405"/>
      <c r="BH1" s="405"/>
    </row>
    <row r="2" spans="1:61" ht="7.4" customHeight="1" x14ac:dyDescent="0.5">
      <c r="C2" s="333"/>
      <c r="D2" s="333"/>
      <c r="E2" s="333"/>
      <c r="F2" s="333"/>
      <c r="G2" s="333"/>
      <c r="H2" s="333"/>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N2" s="405"/>
      <c r="AO2" s="405"/>
      <c r="AP2" s="405"/>
      <c r="AQ2" s="405"/>
      <c r="AR2" s="405"/>
      <c r="AS2" s="405"/>
      <c r="AT2" s="405"/>
      <c r="AU2" s="405"/>
      <c r="AV2" s="405"/>
      <c r="AW2" s="405"/>
      <c r="AX2" s="405"/>
      <c r="AY2" s="405"/>
      <c r="AZ2" s="405"/>
      <c r="BA2" s="405"/>
      <c r="BB2" s="405"/>
      <c r="BC2" s="405"/>
      <c r="BD2" s="405"/>
      <c r="BE2" s="405"/>
      <c r="BF2" s="405"/>
      <c r="BG2" s="405"/>
      <c r="BH2" s="405"/>
    </row>
    <row r="3" spans="1:61" ht="7.4" customHeight="1" x14ac:dyDescent="0.5">
      <c r="C3" s="333"/>
      <c r="D3" s="333"/>
      <c r="E3" s="333"/>
      <c r="F3" s="333"/>
      <c r="G3" s="333"/>
      <c r="H3" s="333"/>
      <c r="I3" s="333"/>
      <c r="J3" s="333"/>
      <c r="K3" s="333"/>
      <c r="L3" s="333"/>
      <c r="M3" s="333"/>
      <c r="N3" s="333"/>
      <c r="O3" s="333"/>
      <c r="P3" s="333"/>
      <c r="Q3" s="333"/>
      <c r="R3" s="333"/>
      <c r="S3" s="333"/>
      <c r="T3" s="333"/>
      <c r="U3" s="333"/>
      <c r="V3" s="333"/>
      <c r="W3" s="333"/>
      <c r="X3" s="333"/>
      <c r="Y3" s="333"/>
      <c r="Z3" s="333"/>
      <c r="AA3" s="333"/>
      <c r="AB3" s="333"/>
      <c r="AC3" s="333"/>
      <c r="AD3" s="333"/>
      <c r="AE3" s="333"/>
      <c r="AF3" s="333"/>
      <c r="AG3" s="333"/>
      <c r="AH3" s="333"/>
      <c r="AI3" s="333"/>
      <c r="AN3" s="314" t="s">
        <v>3</v>
      </c>
      <c r="AO3" s="314"/>
      <c r="AP3" s="314"/>
      <c r="AQ3" s="314"/>
      <c r="AR3" s="314"/>
      <c r="AS3" s="314"/>
      <c r="AT3" s="314"/>
      <c r="AU3" s="314"/>
      <c r="AV3" s="314"/>
      <c r="AW3" s="314"/>
      <c r="AX3" s="314"/>
      <c r="AY3" s="314"/>
      <c r="AZ3" s="314"/>
      <c r="BA3" s="314"/>
      <c r="BB3" s="314"/>
      <c r="BC3" s="314"/>
      <c r="BD3" s="314"/>
      <c r="BE3" s="314"/>
      <c r="BF3" s="314"/>
      <c r="BG3" s="314"/>
      <c r="BH3" s="314"/>
    </row>
    <row r="4" spans="1:61" ht="7.4" customHeight="1" x14ac:dyDescent="0.5">
      <c r="C4" s="333"/>
      <c r="D4" s="333"/>
      <c r="E4" s="333"/>
      <c r="F4" s="333"/>
      <c r="G4" s="333"/>
      <c r="H4" s="333"/>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N4" s="314"/>
      <c r="AO4" s="314"/>
      <c r="AP4" s="314"/>
      <c r="AQ4" s="314"/>
      <c r="AR4" s="314"/>
      <c r="AS4" s="314"/>
      <c r="AT4" s="314"/>
      <c r="AU4" s="314"/>
      <c r="AV4" s="314"/>
      <c r="AW4" s="314"/>
      <c r="AX4" s="314"/>
      <c r="AY4" s="314"/>
      <c r="AZ4" s="314"/>
      <c r="BA4" s="314"/>
      <c r="BB4" s="314"/>
      <c r="BC4" s="314"/>
      <c r="BD4" s="314"/>
      <c r="BE4" s="314"/>
      <c r="BF4" s="314"/>
      <c r="BG4" s="314"/>
      <c r="BH4" s="314"/>
    </row>
    <row r="5" spans="1:61" ht="7.4" customHeight="1" x14ac:dyDescent="0.5">
      <c r="C5" s="333"/>
      <c r="D5" s="333"/>
      <c r="E5" s="333"/>
      <c r="F5" s="333"/>
      <c r="G5" s="333"/>
      <c r="H5" s="333"/>
      <c r="I5" s="333"/>
      <c r="J5" s="333"/>
      <c r="K5" s="333"/>
      <c r="L5" s="333"/>
      <c r="M5" s="333"/>
      <c r="N5" s="333"/>
      <c r="O5" s="333"/>
      <c r="P5" s="333"/>
      <c r="Q5" s="333"/>
      <c r="R5" s="333"/>
      <c r="S5" s="333"/>
      <c r="T5" s="333"/>
      <c r="U5" s="333"/>
      <c r="V5" s="333"/>
      <c r="W5" s="333"/>
      <c r="X5" s="333"/>
      <c r="Y5" s="333"/>
      <c r="Z5" s="333"/>
      <c r="AA5" s="333"/>
      <c r="AB5" s="333"/>
      <c r="AC5" s="333"/>
      <c r="AD5" s="333"/>
      <c r="AE5" s="333"/>
      <c r="AF5" s="333"/>
      <c r="AG5" s="333"/>
      <c r="AH5" s="333"/>
      <c r="AI5" s="333"/>
      <c r="AN5" s="406" t="s">
        <v>6</v>
      </c>
      <c r="AO5" s="314"/>
      <c r="AP5" s="314"/>
      <c r="AQ5" s="314"/>
      <c r="AR5" s="314"/>
      <c r="AS5" s="314"/>
      <c r="AT5" s="314"/>
      <c r="AU5" s="314"/>
      <c r="AV5" s="314"/>
      <c r="AW5" s="314"/>
      <c r="AX5" s="314"/>
      <c r="AY5" s="314"/>
      <c r="AZ5" s="314"/>
      <c r="BA5" s="314"/>
      <c r="BB5" s="314"/>
      <c r="BC5" s="314"/>
      <c r="BD5" s="314"/>
      <c r="BE5" s="314"/>
      <c r="BF5" s="314"/>
      <c r="BG5" s="314"/>
      <c r="BH5" s="314"/>
    </row>
    <row r="6" spans="1:61" ht="7.4" customHeight="1" x14ac:dyDescent="0.5">
      <c r="C6" s="333"/>
      <c r="D6" s="333"/>
      <c r="E6" s="333"/>
      <c r="F6" s="333"/>
      <c r="G6" s="333"/>
      <c r="H6" s="333"/>
      <c r="I6" s="333"/>
      <c r="J6" s="333"/>
      <c r="K6" s="333"/>
      <c r="L6" s="333"/>
      <c r="M6" s="333"/>
      <c r="N6" s="333"/>
      <c r="O6" s="333"/>
      <c r="P6" s="333"/>
      <c r="Q6" s="333"/>
      <c r="R6" s="333"/>
      <c r="S6" s="333"/>
      <c r="T6" s="333"/>
      <c r="U6" s="333"/>
      <c r="V6" s="333"/>
      <c r="W6" s="333"/>
      <c r="X6" s="333"/>
      <c r="Y6" s="333"/>
      <c r="Z6" s="333"/>
      <c r="AA6" s="333"/>
      <c r="AB6" s="333"/>
      <c r="AC6" s="333"/>
      <c r="AD6" s="333"/>
      <c r="AE6" s="333"/>
      <c r="AF6" s="333"/>
      <c r="AG6" s="333"/>
      <c r="AH6" s="333"/>
      <c r="AI6" s="333"/>
      <c r="AN6" s="314"/>
      <c r="AO6" s="314"/>
      <c r="AP6" s="314"/>
      <c r="AQ6" s="314"/>
      <c r="AR6" s="314"/>
      <c r="AS6" s="314"/>
      <c r="AT6" s="314"/>
      <c r="AU6" s="314"/>
      <c r="AV6" s="314"/>
      <c r="AW6" s="314"/>
      <c r="AX6" s="314"/>
      <c r="AY6" s="314"/>
      <c r="AZ6" s="314"/>
      <c r="BA6" s="314"/>
      <c r="BB6" s="314"/>
      <c r="BC6" s="314"/>
      <c r="BD6" s="314"/>
      <c r="BE6" s="314"/>
      <c r="BF6" s="314"/>
      <c r="BG6" s="314"/>
      <c r="BH6" s="314"/>
    </row>
    <row r="7" spans="1:61" ht="7.4" customHeight="1" x14ac:dyDescent="0.5">
      <c r="C7" s="333"/>
      <c r="D7" s="333"/>
      <c r="E7" s="333"/>
      <c r="F7" s="333"/>
      <c r="G7" s="333"/>
      <c r="H7" s="333"/>
      <c r="I7" s="333"/>
      <c r="J7" s="333"/>
      <c r="K7" s="333"/>
      <c r="L7" s="333"/>
      <c r="M7" s="333"/>
      <c r="N7" s="333"/>
      <c r="O7" s="333"/>
      <c r="P7" s="333"/>
      <c r="Q7" s="333"/>
      <c r="R7" s="333"/>
      <c r="S7" s="333"/>
      <c r="T7" s="333"/>
      <c r="U7" s="333"/>
      <c r="V7" s="333"/>
      <c r="W7" s="333"/>
      <c r="X7" s="333"/>
      <c r="Y7" s="333"/>
      <c r="Z7" s="333"/>
      <c r="AA7" s="333"/>
      <c r="AB7" s="333"/>
      <c r="AC7" s="333"/>
      <c r="AD7" s="333"/>
      <c r="AE7" s="333"/>
      <c r="AF7" s="333"/>
      <c r="AG7" s="333"/>
      <c r="AH7" s="333"/>
      <c r="AI7" s="333"/>
      <c r="AN7" s="405" t="s">
        <v>9</v>
      </c>
      <c r="AO7" s="405"/>
      <c r="AP7" s="405"/>
      <c r="AQ7" s="405"/>
      <c r="AR7" s="405"/>
      <c r="AS7" s="405"/>
      <c r="AT7" s="405"/>
      <c r="AU7" s="405"/>
      <c r="AV7" s="405"/>
      <c r="AW7" s="405"/>
      <c r="AX7" s="405"/>
      <c r="AY7" s="405"/>
      <c r="AZ7" s="405"/>
      <c r="BA7" s="405"/>
      <c r="BB7" s="405"/>
      <c r="BC7" s="405"/>
      <c r="BD7" s="405"/>
      <c r="BE7" s="405"/>
      <c r="BF7" s="405"/>
      <c r="BG7" s="405"/>
      <c r="BH7" s="405"/>
    </row>
    <row r="8" spans="1:61" ht="7.4" customHeight="1" x14ac:dyDescent="0.5">
      <c r="C8" s="333"/>
      <c r="D8" s="333"/>
      <c r="E8" s="333"/>
      <c r="F8" s="333"/>
      <c r="G8" s="333"/>
      <c r="H8" s="333"/>
      <c r="I8" s="333"/>
      <c r="J8" s="333"/>
      <c r="K8" s="333"/>
      <c r="L8" s="333"/>
      <c r="M8" s="333"/>
      <c r="N8" s="333"/>
      <c r="O8" s="333"/>
      <c r="P8" s="333"/>
      <c r="Q8" s="333"/>
      <c r="R8" s="333"/>
      <c r="S8" s="333"/>
      <c r="T8" s="333"/>
      <c r="U8" s="333"/>
      <c r="V8" s="333"/>
      <c r="W8" s="333"/>
      <c r="X8" s="333"/>
      <c r="Y8" s="333"/>
      <c r="Z8" s="333"/>
      <c r="AA8" s="333"/>
      <c r="AB8" s="333"/>
      <c r="AC8" s="333"/>
      <c r="AD8" s="333"/>
      <c r="AE8" s="333"/>
      <c r="AF8" s="333"/>
      <c r="AG8" s="333"/>
      <c r="AH8" s="333"/>
      <c r="AI8" s="333"/>
      <c r="AN8" s="405"/>
      <c r="AO8" s="405"/>
      <c r="AP8" s="405"/>
      <c r="AQ8" s="405"/>
      <c r="AR8" s="405"/>
      <c r="AS8" s="405"/>
      <c r="AT8" s="405"/>
      <c r="AU8" s="405"/>
      <c r="AV8" s="405"/>
      <c r="AW8" s="405"/>
      <c r="AX8" s="405"/>
      <c r="AY8" s="405"/>
      <c r="AZ8" s="405"/>
      <c r="BA8" s="405"/>
      <c r="BB8" s="405"/>
      <c r="BC8" s="405"/>
      <c r="BD8" s="405"/>
      <c r="BE8" s="405"/>
      <c r="BF8" s="405"/>
      <c r="BG8" s="405"/>
      <c r="BH8" s="405"/>
    </row>
    <row r="9" spans="1:61" ht="7.4" customHeight="1" x14ac:dyDescent="0.5">
      <c r="C9" s="404"/>
      <c r="D9" s="404"/>
      <c r="E9" s="404"/>
      <c r="F9" s="404"/>
      <c r="G9" s="404"/>
      <c r="H9" s="404"/>
      <c r="I9" s="404"/>
      <c r="J9" s="404"/>
      <c r="K9" s="404"/>
      <c r="L9" s="404"/>
      <c r="M9" s="404"/>
      <c r="N9" s="404"/>
      <c r="O9" s="404"/>
      <c r="P9" s="404"/>
      <c r="Q9" s="404"/>
      <c r="R9" s="404"/>
      <c r="S9" s="404"/>
      <c r="T9" s="404"/>
      <c r="U9" s="404"/>
      <c r="V9" s="404"/>
      <c r="W9" s="404"/>
      <c r="X9" s="404"/>
      <c r="Y9" s="404"/>
      <c r="Z9" s="404"/>
      <c r="AA9" s="404"/>
      <c r="AB9" s="404"/>
      <c r="AC9" s="404"/>
      <c r="AD9" s="404"/>
      <c r="AE9" s="404"/>
      <c r="AF9" s="404"/>
      <c r="AG9" s="404"/>
      <c r="AH9" s="404"/>
      <c r="AI9" s="404"/>
    </row>
    <row r="10" spans="1:61" ht="7.4" customHeight="1" x14ac:dyDescent="0.5">
      <c r="A10" s="407" t="s">
        <v>188</v>
      </c>
      <c r="B10" s="407"/>
      <c r="C10" s="407"/>
      <c r="D10" s="407"/>
      <c r="E10" s="407"/>
      <c r="F10" s="407"/>
      <c r="G10" s="407"/>
      <c r="H10" s="407"/>
      <c r="I10" s="407"/>
      <c r="J10" s="407"/>
      <c r="K10" s="407"/>
      <c r="L10" s="407"/>
      <c r="M10" s="407"/>
      <c r="N10" s="407"/>
      <c r="O10" s="407"/>
      <c r="P10" s="407"/>
      <c r="Q10" s="407"/>
      <c r="R10" s="407"/>
      <c r="S10" s="407"/>
      <c r="T10" s="407"/>
      <c r="U10" s="407"/>
      <c r="V10" s="407"/>
      <c r="W10" s="407"/>
      <c r="X10" s="407"/>
      <c r="Y10" s="407"/>
      <c r="Z10" s="407"/>
      <c r="AA10" s="407"/>
      <c r="AB10" s="407"/>
      <c r="AC10" s="407"/>
      <c r="AD10" s="407"/>
      <c r="AE10" s="407"/>
      <c r="AF10" s="407"/>
      <c r="AG10" s="407"/>
      <c r="AH10" s="407"/>
      <c r="AI10" s="407"/>
      <c r="AJ10" s="407"/>
      <c r="AK10" s="407"/>
      <c r="AL10" s="407"/>
      <c r="AM10" s="30"/>
      <c r="AN10" s="30"/>
      <c r="AO10" s="30"/>
      <c r="AP10" s="30"/>
      <c r="AQ10" s="30"/>
      <c r="AR10" s="30"/>
      <c r="AS10" s="30"/>
      <c r="AT10" s="30"/>
      <c r="AU10" s="30"/>
      <c r="AV10" s="30"/>
      <c r="AW10" s="30"/>
      <c r="AX10" s="30"/>
      <c r="AY10" s="30"/>
      <c r="AZ10" s="30"/>
      <c r="BA10" s="30"/>
      <c r="BB10" s="30"/>
      <c r="BC10" s="30"/>
      <c r="BD10" s="30"/>
      <c r="BE10" s="30"/>
      <c r="BF10" s="30"/>
      <c r="BG10" s="30"/>
      <c r="BH10" s="30"/>
      <c r="BI10" s="31"/>
    </row>
    <row r="11" spans="1:61" ht="7.4" customHeight="1" x14ac:dyDescent="0.5">
      <c r="A11" s="407"/>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407"/>
      <c r="AE11" s="407"/>
      <c r="AF11" s="407"/>
      <c r="AG11" s="407"/>
      <c r="AH11" s="407"/>
      <c r="AI11" s="407"/>
      <c r="AJ11" s="407"/>
      <c r="AK11" s="407"/>
      <c r="AL11" s="407"/>
      <c r="AM11" s="33"/>
      <c r="AN11" s="408" t="s">
        <v>15</v>
      </c>
      <c r="AO11" s="408"/>
      <c r="AP11" s="408"/>
      <c r="AQ11" s="408"/>
      <c r="AR11" s="408"/>
      <c r="AS11" s="408"/>
      <c r="AT11" s="408"/>
      <c r="AU11" s="408"/>
      <c r="AV11" s="408"/>
      <c r="AW11" s="33"/>
      <c r="AX11" s="409" t="str">
        <f ca="1">MID(CELL("filename",A1),FIND("]",CELL("filename",A1))+1,256)</f>
        <v>PL Copy</v>
      </c>
      <c r="AY11" s="409"/>
      <c r="AZ11" s="409"/>
      <c r="BA11" s="409"/>
      <c r="BB11" s="409"/>
      <c r="BC11" s="409"/>
      <c r="BD11" s="409"/>
      <c r="BE11" s="409"/>
      <c r="BF11" s="409"/>
      <c r="BG11" s="409"/>
      <c r="BH11" s="409"/>
      <c r="BI11" s="34"/>
    </row>
    <row r="12" spans="1:61" ht="7.4" customHeight="1" x14ac:dyDescent="0.5">
      <c r="A12" s="407"/>
      <c r="B12" s="407"/>
      <c r="C12" s="407"/>
      <c r="D12" s="407"/>
      <c r="E12" s="407"/>
      <c r="F12" s="407"/>
      <c r="G12" s="407"/>
      <c r="H12" s="407"/>
      <c r="I12" s="407"/>
      <c r="J12" s="407"/>
      <c r="K12" s="407"/>
      <c r="L12" s="407"/>
      <c r="M12" s="407"/>
      <c r="N12" s="407"/>
      <c r="O12" s="407"/>
      <c r="P12" s="407"/>
      <c r="Q12" s="407"/>
      <c r="R12" s="407"/>
      <c r="S12" s="407"/>
      <c r="T12" s="407"/>
      <c r="U12" s="407"/>
      <c r="V12" s="407"/>
      <c r="W12" s="407"/>
      <c r="X12" s="407"/>
      <c r="Y12" s="407"/>
      <c r="Z12" s="407"/>
      <c r="AA12" s="407"/>
      <c r="AB12" s="407"/>
      <c r="AC12" s="407"/>
      <c r="AD12" s="407"/>
      <c r="AE12" s="407"/>
      <c r="AF12" s="407"/>
      <c r="AG12" s="407"/>
      <c r="AH12" s="407"/>
      <c r="AI12" s="407"/>
      <c r="AJ12" s="407"/>
      <c r="AK12" s="407"/>
      <c r="AL12" s="407"/>
      <c r="AM12" s="33"/>
      <c r="AN12" s="408"/>
      <c r="AO12" s="408"/>
      <c r="AP12" s="408"/>
      <c r="AQ12" s="408"/>
      <c r="AR12" s="408"/>
      <c r="AS12" s="408"/>
      <c r="AT12" s="408"/>
      <c r="AU12" s="408"/>
      <c r="AV12" s="408"/>
      <c r="AW12" s="33"/>
      <c r="AX12" s="409"/>
      <c r="AY12" s="409"/>
      <c r="AZ12" s="409"/>
      <c r="BA12" s="409"/>
      <c r="BB12" s="409"/>
      <c r="BC12" s="409"/>
      <c r="BD12" s="409"/>
      <c r="BE12" s="409"/>
      <c r="BF12" s="409"/>
      <c r="BG12" s="409"/>
      <c r="BH12" s="409"/>
      <c r="BI12" s="34"/>
    </row>
    <row r="13" spans="1:61" ht="7.4" customHeight="1" x14ac:dyDescent="0.5">
      <c r="A13" s="407"/>
      <c r="B13" s="407"/>
      <c r="C13" s="407"/>
      <c r="D13" s="407"/>
      <c r="E13" s="407"/>
      <c r="F13" s="407"/>
      <c r="G13" s="407"/>
      <c r="H13" s="407"/>
      <c r="I13" s="407"/>
      <c r="J13" s="407"/>
      <c r="K13" s="407"/>
      <c r="L13" s="407"/>
      <c r="M13" s="407"/>
      <c r="N13" s="407"/>
      <c r="O13" s="407"/>
      <c r="P13" s="407"/>
      <c r="Q13" s="407"/>
      <c r="R13" s="407"/>
      <c r="S13" s="407"/>
      <c r="T13" s="407"/>
      <c r="U13" s="407"/>
      <c r="V13" s="407"/>
      <c r="W13" s="407"/>
      <c r="X13" s="407"/>
      <c r="Y13" s="407"/>
      <c r="Z13" s="407"/>
      <c r="AA13" s="407"/>
      <c r="AB13" s="407"/>
      <c r="AC13" s="407"/>
      <c r="AD13" s="407"/>
      <c r="AE13" s="407"/>
      <c r="AF13" s="407"/>
      <c r="AG13" s="407"/>
      <c r="AH13" s="407"/>
      <c r="AI13" s="407"/>
      <c r="AJ13" s="407"/>
      <c r="AK13" s="407"/>
      <c r="AL13" s="407"/>
      <c r="AM13" s="33"/>
      <c r="AN13" s="408" t="s">
        <v>19</v>
      </c>
      <c r="AO13" s="408"/>
      <c r="AP13" s="408"/>
      <c r="AQ13" s="408"/>
      <c r="AR13" s="408"/>
      <c r="AS13" s="408"/>
      <c r="AT13" s="408"/>
      <c r="AU13" s="408"/>
      <c r="AV13" s="408"/>
      <c r="AW13" s="33"/>
      <c r="AX13" s="410" t="s">
        <v>20</v>
      </c>
      <c r="AY13" s="410"/>
      <c r="AZ13" s="410"/>
      <c r="BA13" s="410"/>
      <c r="BB13" s="410"/>
      <c r="BC13" s="410"/>
      <c r="BD13" s="410"/>
      <c r="BE13" s="410"/>
      <c r="BF13" s="410"/>
      <c r="BG13" s="410"/>
      <c r="BH13" s="410"/>
      <c r="BI13" s="34"/>
    </row>
    <row r="14" spans="1:61" ht="7.4" customHeight="1" x14ac:dyDescent="0.5">
      <c r="A14" s="407"/>
      <c r="B14" s="407"/>
      <c r="C14" s="407"/>
      <c r="D14" s="407"/>
      <c r="E14" s="407"/>
      <c r="F14" s="407"/>
      <c r="G14" s="407"/>
      <c r="H14" s="407"/>
      <c r="I14" s="407"/>
      <c r="J14" s="407"/>
      <c r="K14" s="407"/>
      <c r="L14" s="407"/>
      <c r="M14" s="407"/>
      <c r="N14" s="407"/>
      <c r="O14" s="407"/>
      <c r="P14" s="407"/>
      <c r="Q14" s="407"/>
      <c r="R14" s="407"/>
      <c r="S14" s="407"/>
      <c r="T14" s="407"/>
      <c r="U14" s="407"/>
      <c r="V14" s="407"/>
      <c r="W14" s="407"/>
      <c r="X14" s="407"/>
      <c r="Y14" s="407"/>
      <c r="Z14" s="407"/>
      <c r="AA14" s="407"/>
      <c r="AB14" s="407"/>
      <c r="AC14" s="407"/>
      <c r="AD14" s="407"/>
      <c r="AE14" s="407"/>
      <c r="AF14" s="407"/>
      <c r="AG14" s="407"/>
      <c r="AH14" s="407"/>
      <c r="AI14" s="407"/>
      <c r="AJ14" s="407"/>
      <c r="AK14" s="407"/>
      <c r="AL14" s="407"/>
      <c r="AM14" s="33"/>
      <c r="AN14" s="408"/>
      <c r="AO14" s="408"/>
      <c r="AP14" s="408"/>
      <c r="AQ14" s="408"/>
      <c r="AR14" s="408"/>
      <c r="AS14" s="408"/>
      <c r="AT14" s="408"/>
      <c r="AU14" s="408"/>
      <c r="AV14" s="408"/>
      <c r="AW14" s="33"/>
      <c r="AX14" s="410"/>
      <c r="AY14" s="410"/>
      <c r="AZ14" s="410"/>
      <c r="BA14" s="410"/>
      <c r="BB14" s="410"/>
      <c r="BC14" s="410"/>
      <c r="BD14" s="410"/>
      <c r="BE14" s="410"/>
      <c r="BF14" s="410"/>
      <c r="BG14" s="410"/>
      <c r="BH14" s="410"/>
      <c r="BI14" s="34"/>
    </row>
    <row r="15" spans="1:61" ht="7.4" customHeight="1" x14ac:dyDescent="0.5">
      <c r="A15" s="407"/>
      <c r="B15" s="407"/>
      <c r="C15" s="407"/>
      <c r="D15" s="407"/>
      <c r="E15" s="407"/>
      <c r="F15" s="407"/>
      <c r="G15" s="407"/>
      <c r="H15" s="407"/>
      <c r="I15" s="407"/>
      <c r="J15" s="407"/>
      <c r="K15" s="407"/>
      <c r="L15" s="407"/>
      <c r="M15" s="407"/>
      <c r="N15" s="407"/>
      <c r="O15" s="407"/>
      <c r="P15" s="407"/>
      <c r="Q15" s="407"/>
      <c r="R15" s="407"/>
      <c r="S15" s="407"/>
      <c r="T15" s="407"/>
      <c r="U15" s="407"/>
      <c r="V15" s="407"/>
      <c r="W15" s="407"/>
      <c r="X15" s="407"/>
      <c r="Y15" s="407"/>
      <c r="Z15" s="407"/>
      <c r="AA15" s="407"/>
      <c r="AB15" s="407"/>
      <c r="AC15" s="407"/>
      <c r="AD15" s="407"/>
      <c r="AE15" s="407"/>
      <c r="AF15" s="407"/>
      <c r="AG15" s="407"/>
      <c r="AH15" s="407"/>
      <c r="AI15" s="407"/>
      <c r="AJ15" s="407"/>
      <c r="AK15" s="407"/>
      <c r="AL15" s="407"/>
      <c r="AM15" s="36"/>
      <c r="AN15" s="36"/>
      <c r="AO15" s="36"/>
      <c r="AP15" s="36"/>
      <c r="AQ15" s="36"/>
      <c r="AR15" s="36"/>
      <c r="AS15" s="36"/>
      <c r="AT15" s="36"/>
      <c r="AU15" s="36"/>
      <c r="AV15" s="36"/>
      <c r="AW15" s="36"/>
      <c r="AX15" s="36"/>
      <c r="AY15" s="36"/>
      <c r="AZ15" s="36"/>
      <c r="BA15" s="36"/>
      <c r="BB15" s="36"/>
      <c r="BC15" s="36"/>
      <c r="BD15" s="36"/>
      <c r="BE15" s="36"/>
      <c r="BF15" s="36"/>
      <c r="BG15" s="36"/>
      <c r="BH15" s="36"/>
      <c r="BI15" s="37"/>
    </row>
    <row r="16" spans="1:61" ht="7.4" customHeight="1" x14ac:dyDescent="0.5">
      <c r="A16" s="58"/>
      <c r="B16" s="59"/>
      <c r="C16" s="59"/>
      <c r="D16" s="59"/>
      <c r="E16" s="59"/>
      <c r="F16" s="59"/>
      <c r="G16" s="59"/>
      <c r="H16" s="59"/>
      <c r="I16" s="59"/>
      <c r="J16" s="59"/>
      <c r="K16" s="59"/>
      <c r="L16" s="59"/>
      <c r="M16" s="59"/>
      <c r="N16" s="59"/>
      <c r="O16" s="59"/>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60"/>
    </row>
    <row r="17" spans="1:102" ht="7.4" customHeight="1" x14ac:dyDescent="0.5">
      <c r="A17" s="61"/>
      <c r="B17" s="62"/>
      <c r="C17" s="400" t="s">
        <v>25</v>
      </c>
      <c r="D17" s="400"/>
      <c r="E17" s="400"/>
      <c r="F17" s="400"/>
      <c r="G17" s="548"/>
      <c r="H17" s="548"/>
      <c r="I17" s="548"/>
      <c r="J17" s="548"/>
      <c r="K17" s="548"/>
      <c r="L17" s="548"/>
      <c r="M17" s="548"/>
      <c r="N17" s="548"/>
      <c r="O17" s="548"/>
      <c r="P17" s="548"/>
      <c r="Q17" s="548"/>
      <c r="R17" s="548"/>
      <c r="S17" s="548"/>
      <c r="T17" s="548"/>
      <c r="U17" s="548"/>
      <c r="V17" s="548"/>
      <c r="W17" s="548"/>
      <c r="X17" s="548"/>
      <c r="Y17" s="400" t="s">
        <v>26</v>
      </c>
      <c r="Z17" s="400"/>
      <c r="AA17" s="400"/>
      <c r="AB17" s="400"/>
      <c r="AC17" s="400"/>
      <c r="AD17" s="548"/>
      <c r="AE17" s="548"/>
      <c r="AF17" s="548"/>
      <c r="AG17" s="548"/>
      <c r="AH17" s="548"/>
      <c r="AI17" s="548"/>
      <c r="AJ17" s="548"/>
      <c r="AK17" s="548"/>
      <c r="AL17" s="548"/>
      <c r="AM17" s="548"/>
      <c r="AN17" s="548"/>
      <c r="AO17" s="548"/>
      <c r="AP17" s="548"/>
      <c r="AQ17" s="548"/>
      <c r="AR17" s="548"/>
      <c r="AS17" s="548"/>
      <c r="AT17" s="400" t="s">
        <v>27</v>
      </c>
      <c r="AU17" s="400"/>
      <c r="AV17" s="400"/>
      <c r="AW17" s="400"/>
      <c r="AX17" s="549">
        <f ca="1">TODAY()</f>
        <v>45960</v>
      </c>
      <c r="AY17" s="549"/>
      <c r="AZ17" s="549"/>
      <c r="BA17" s="549"/>
      <c r="BB17" s="549"/>
      <c r="BC17" s="549"/>
      <c r="BD17" s="549"/>
      <c r="BE17" s="549"/>
      <c r="BF17" s="549"/>
      <c r="BG17" s="549"/>
      <c r="BH17" s="549"/>
      <c r="BI17" s="63"/>
    </row>
    <row r="18" spans="1:102" ht="7.4" customHeight="1" x14ac:dyDescent="0.5">
      <c r="A18" s="61"/>
      <c r="B18" s="62"/>
      <c r="C18" s="400"/>
      <c r="D18" s="400"/>
      <c r="E18" s="400"/>
      <c r="F18" s="400"/>
      <c r="G18" s="548"/>
      <c r="H18" s="548"/>
      <c r="I18" s="548"/>
      <c r="J18" s="548"/>
      <c r="K18" s="548"/>
      <c r="L18" s="548"/>
      <c r="M18" s="548"/>
      <c r="N18" s="548"/>
      <c r="O18" s="548"/>
      <c r="P18" s="548"/>
      <c r="Q18" s="548"/>
      <c r="R18" s="548"/>
      <c r="S18" s="548"/>
      <c r="T18" s="548"/>
      <c r="U18" s="548"/>
      <c r="V18" s="548"/>
      <c r="W18" s="548"/>
      <c r="X18" s="548"/>
      <c r="Y18" s="400"/>
      <c r="Z18" s="400"/>
      <c r="AA18" s="400"/>
      <c r="AB18" s="400"/>
      <c r="AC18" s="400"/>
      <c r="AD18" s="548"/>
      <c r="AE18" s="548"/>
      <c r="AF18" s="548"/>
      <c r="AG18" s="548"/>
      <c r="AH18" s="548"/>
      <c r="AI18" s="548"/>
      <c r="AJ18" s="548"/>
      <c r="AK18" s="548"/>
      <c r="AL18" s="548"/>
      <c r="AM18" s="548"/>
      <c r="AN18" s="548"/>
      <c r="AO18" s="548"/>
      <c r="AP18" s="548"/>
      <c r="AQ18" s="548"/>
      <c r="AR18" s="548"/>
      <c r="AS18" s="548"/>
      <c r="AT18" s="400"/>
      <c r="AU18" s="400"/>
      <c r="AV18" s="400"/>
      <c r="AW18" s="400"/>
      <c r="AX18" s="549"/>
      <c r="AY18" s="549"/>
      <c r="AZ18" s="549"/>
      <c r="BA18" s="549"/>
      <c r="BB18" s="549"/>
      <c r="BC18" s="549"/>
      <c r="BD18" s="549"/>
      <c r="BE18" s="549"/>
      <c r="BF18" s="549"/>
      <c r="BG18" s="549"/>
      <c r="BH18" s="549"/>
      <c r="BI18" s="63"/>
      <c r="CO18" s="114"/>
      <c r="CP18" s="114"/>
      <c r="CQ18" s="114"/>
      <c r="CR18" s="114"/>
      <c r="CS18" s="114"/>
      <c r="CT18" s="114"/>
    </row>
    <row r="19" spans="1:102" ht="7.4" customHeight="1" x14ac:dyDescent="0.5">
      <c r="A19" s="61"/>
      <c r="B19" s="62"/>
      <c r="C19" s="62"/>
      <c r="D19" s="62"/>
      <c r="E19" s="62"/>
      <c r="F19" s="62"/>
      <c r="G19" s="62"/>
      <c r="H19" s="62"/>
      <c r="I19" s="62"/>
      <c r="J19" s="62"/>
      <c r="K19" s="62"/>
      <c r="L19" s="62"/>
      <c r="M19" s="62"/>
      <c r="N19" s="62"/>
      <c r="O19" s="62"/>
      <c r="P19" s="62"/>
      <c r="Q19" s="62"/>
      <c r="R19" s="62"/>
      <c r="S19" s="62"/>
      <c r="T19" s="62"/>
      <c r="U19" s="62"/>
      <c r="V19" s="62"/>
      <c r="W19" s="62"/>
      <c r="X19" s="62"/>
      <c r="Y19" s="62"/>
      <c r="Z19" s="62"/>
      <c r="AA19" s="62"/>
      <c r="AB19" s="62"/>
      <c r="AC19" s="62"/>
      <c r="AD19" s="62"/>
      <c r="AE19" s="62"/>
      <c r="AF19" s="62"/>
      <c r="AG19" s="62"/>
      <c r="AH19" s="62"/>
      <c r="AI19" s="62"/>
      <c r="AJ19" s="62"/>
      <c r="AK19" s="62"/>
      <c r="AL19" s="62"/>
      <c r="AM19" s="62"/>
      <c r="AN19" s="62"/>
      <c r="AO19" s="62"/>
      <c r="AP19" s="62"/>
      <c r="AQ19" s="62"/>
      <c r="AR19" s="62"/>
      <c r="AS19" s="62"/>
      <c r="AT19" s="62"/>
      <c r="AU19" s="62"/>
      <c r="AV19" s="62"/>
      <c r="AW19" s="62"/>
      <c r="AX19" s="62"/>
      <c r="AY19" s="62"/>
      <c r="AZ19" s="62"/>
      <c r="BA19" s="62"/>
      <c r="BB19" s="62"/>
      <c r="BC19" s="62"/>
      <c r="BD19" s="62"/>
      <c r="BE19" s="62"/>
      <c r="BF19" s="62"/>
      <c r="BG19" s="62"/>
      <c r="BH19" s="62"/>
      <c r="BI19" s="63"/>
      <c r="BJ19" s="276"/>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c r="CV19" s="25"/>
      <c r="CW19" s="25"/>
      <c r="CX19" s="25"/>
    </row>
    <row r="20" spans="1:102" ht="7.4" customHeight="1" x14ac:dyDescent="0.5">
      <c r="A20" s="29"/>
      <c r="B20" s="324" t="s">
        <v>49</v>
      </c>
      <c r="C20" s="324"/>
      <c r="D20" s="324"/>
      <c r="E20" s="29"/>
      <c r="F20" s="324" t="s">
        <v>50</v>
      </c>
      <c r="G20" s="324"/>
      <c r="H20" s="324"/>
      <c r="I20" s="324"/>
      <c r="J20" s="324"/>
      <c r="K20" s="324"/>
      <c r="L20" s="324"/>
      <c r="M20" s="324"/>
      <c r="N20" s="324"/>
      <c r="O20" s="324"/>
      <c r="P20" s="324"/>
      <c r="Q20" s="324"/>
      <c r="R20" s="29"/>
      <c r="S20" s="324" t="s">
        <v>51</v>
      </c>
      <c r="T20" s="324"/>
      <c r="U20" s="324"/>
      <c r="V20" s="324"/>
      <c r="W20" s="324"/>
      <c r="X20" s="324"/>
      <c r="Y20" s="324"/>
      <c r="Z20" s="324"/>
      <c r="AA20" s="324"/>
      <c r="AB20" s="324"/>
      <c r="AC20" s="324"/>
      <c r="AD20" s="324"/>
      <c r="AE20" s="324"/>
      <c r="AF20" s="324"/>
      <c r="AG20" s="324"/>
      <c r="AH20" s="324"/>
      <c r="AI20" s="324"/>
      <c r="AJ20" s="324"/>
      <c r="AK20" s="29"/>
      <c r="AL20" s="324" t="s">
        <v>52</v>
      </c>
      <c r="AM20" s="324"/>
      <c r="AN20" s="324"/>
      <c r="AO20" s="324"/>
      <c r="AP20" s="324"/>
      <c r="AQ20" s="324"/>
      <c r="AR20" s="299" t="s">
        <v>53</v>
      </c>
      <c r="AS20" s="363"/>
      <c r="AT20" s="363"/>
      <c r="AU20" s="363"/>
      <c r="AV20" s="363"/>
      <c r="AW20" s="363"/>
      <c r="AX20" s="363"/>
      <c r="AY20" s="363"/>
      <c r="AZ20" s="363"/>
      <c r="BA20" s="363"/>
      <c r="BB20" s="363"/>
      <c r="BC20" s="363"/>
      <c r="BD20" s="363"/>
      <c r="BE20" s="363"/>
      <c r="BF20" s="363"/>
      <c r="BG20" s="363"/>
      <c r="BH20" s="363"/>
      <c r="BI20" s="364"/>
      <c r="BJ20" s="276"/>
      <c r="BK20" s="25"/>
      <c r="BL20" s="25"/>
      <c r="BM20" s="25"/>
      <c r="BN20" s="25"/>
      <c r="BO20" s="25"/>
      <c r="BP20" s="25"/>
      <c r="BQ20" s="25"/>
      <c r="BR20" s="25"/>
      <c r="BS20" s="25"/>
      <c r="BT20" s="25"/>
      <c r="BU20" s="25"/>
      <c r="BV20" s="25"/>
      <c r="BW20" s="25"/>
      <c r="BX20" s="25"/>
      <c r="BY20" s="25"/>
      <c r="BZ20" s="25"/>
      <c r="CA20" s="25"/>
      <c r="CB20" s="25"/>
      <c r="CC20" s="25"/>
      <c r="CD20" s="25"/>
      <c r="CE20" s="25"/>
      <c r="CF20" s="25"/>
      <c r="CG20" s="25"/>
      <c r="CH20" s="25"/>
      <c r="CI20" s="25"/>
      <c r="CJ20" s="25"/>
      <c r="CK20" s="25"/>
      <c r="CL20" s="25"/>
      <c r="CM20" s="25"/>
      <c r="CN20" s="25"/>
      <c r="CO20" s="25"/>
      <c r="CP20" s="25"/>
      <c r="CQ20" s="25"/>
      <c r="CR20" s="25"/>
      <c r="CS20" s="25"/>
      <c r="CT20" s="25"/>
      <c r="CU20" s="25"/>
      <c r="CV20" s="25"/>
      <c r="CW20" s="25"/>
      <c r="CX20" s="25"/>
    </row>
    <row r="21" spans="1:102" ht="7.4" customHeight="1" x14ac:dyDescent="0.5">
      <c r="A21" s="106"/>
      <c r="B21" s="324"/>
      <c r="C21" s="324"/>
      <c r="D21" s="324"/>
      <c r="E21" s="106"/>
      <c r="F21" s="324"/>
      <c r="G21" s="324"/>
      <c r="H21" s="324"/>
      <c r="I21" s="324"/>
      <c r="J21" s="324"/>
      <c r="K21" s="324"/>
      <c r="L21" s="324"/>
      <c r="M21" s="324"/>
      <c r="N21" s="324"/>
      <c r="O21" s="324"/>
      <c r="P21" s="324"/>
      <c r="Q21" s="324"/>
      <c r="R21" s="106"/>
      <c r="S21" s="324"/>
      <c r="T21" s="324"/>
      <c r="U21" s="324"/>
      <c r="V21" s="324"/>
      <c r="W21" s="324"/>
      <c r="X21" s="324"/>
      <c r="Y21" s="324"/>
      <c r="Z21" s="324"/>
      <c r="AA21" s="324"/>
      <c r="AB21" s="324"/>
      <c r="AC21" s="324"/>
      <c r="AD21" s="324"/>
      <c r="AE21" s="324"/>
      <c r="AF21" s="324"/>
      <c r="AG21" s="324"/>
      <c r="AH21" s="324"/>
      <c r="AI21" s="324"/>
      <c r="AJ21" s="324"/>
      <c r="AK21" s="106"/>
      <c r="AL21" s="324"/>
      <c r="AM21" s="324"/>
      <c r="AN21" s="324"/>
      <c r="AO21" s="324"/>
      <c r="AP21" s="324"/>
      <c r="AQ21" s="324"/>
      <c r="AR21" s="365"/>
      <c r="AS21" s="366"/>
      <c r="AT21" s="366"/>
      <c r="AU21" s="366"/>
      <c r="AV21" s="366"/>
      <c r="AW21" s="366"/>
      <c r="AX21" s="366"/>
      <c r="AY21" s="366"/>
      <c r="AZ21" s="366"/>
      <c r="BA21" s="366"/>
      <c r="BB21" s="366"/>
      <c r="BC21" s="366"/>
      <c r="BD21" s="366"/>
      <c r="BE21" s="366"/>
      <c r="BF21" s="366"/>
      <c r="BG21" s="366"/>
      <c r="BH21" s="366"/>
      <c r="BI21" s="367"/>
      <c r="BJ21" s="276"/>
      <c r="BK21" s="25"/>
      <c r="BL21" s="25"/>
      <c r="BM21" s="25"/>
      <c r="BN21" s="25"/>
      <c r="BO21" s="25"/>
      <c r="BP21" s="25"/>
      <c r="BQ21" s="25"/>
      <c r="BR21" s="25"/>
      <c r="BS21" s="25"/>
      <c r="BT21" s="25"/>
      <c r="BU21" s="25"/>
      <c r="BV21" s="25"/>
      <c r="BW21" s="25"/>
      <c r="BX21" s="25"/>
      <c r="BY21" s="25"/>
      <c r="BZ21" s="25"/>
      <c r="CA21" s="25"/>
      <c r="CB21" s="25"/>
      <c r="CC21" s="25"/>
      <c r="CD21" s="25"/>
      <c r="CE21" s="25"/>
      <c r="CF21" s="25"/>
      <c r="CG21" s="25"/>
      <c r="CH21" s="25"/>
      <c r="CI21" s="25"/>
      <c r="CJ21" s="25"/>
      <c r="CK21" s="25"/>
      <c r="CL21" s="25"/>
      <c r="CM21" s="25"/>
      <c r="CN21" s="25"/>
      <c r="CO21" s="25"/>
      <c r="CP21" s="25"/>
      <c r="CQ21" s="25"/>
      <c r="CR21" s="25"/>
      <c r="CS21" s="25"/>
      <c r="CT21" s="25"/>
      <c r="CU21" s="25"/>
      <c r="CV21" s="25"/>
      <c r="CW21" s="25"/>
      <c r="CX21" s="25"/>
    </row>
    <row r="22" spans="1:102" ht="7.4" customHeight="1" x14ac:dyDescent="0.5">
      <c r="A22" s="106"/>
      <c r="B22" s="324"/>
      <c r="C22" s="324"/>
      <c r="D22" s="324"/>
      <c r="E22" s="106"/>
      <c r="F22" s="324"/>
      <c r="G22" s="324"/>
      <c r="H22" s="324"/>
      <c r="I22" s="324"/>
      <c r="J22" s="324"/>
      <c r="K22" s="324"/>
      <c r="L22" s="324"/>
      <c r="M22" s="324"/>
      <c r="N22" s="324"/>
      <c r="O22" s="324"/>
      <c r="P22" s="324"/>
      <c r="Q22" s="324"/>
      <c r="R22" s="106"/>
      <c r="S22" s="324"/>
      <c r="T22" s="324"/>
      <c r="U22" s="324"/>
      <c r="V22" s="324"/>
      <c r="W22" s="324"/>
      <c r="X22" s="324"/>
      <c r="Y22" s="324"/>
      <c r="Z22" s="324"/>
      <c r="AA22" s="324"/>
      <c r="AB22" s="324"/>
      <c r="AC22" s="324"/>
      <c r="AD22" s="324"/>
      <c r="AE22" s="324"/>
      <c r="AF22" s="324"/>
      <c r="AG22" s="324"/>
      <c r="AH22" s="324"/>
      <c r="AI22" s="324"/>
      <c r="AJ22" s="324"/>
      <c r="AK22" s="106"/>
      <c r="AL22" s="324"/>
      <c r="AM22" s="324"/>
      <c r="AN22" s="324"/>
      <c r="AO22" s="324"/>
      <c r="AP22" s="324"/>
      <c r="AQ22" s="324"/>
      <c r="AR22" s="365"/>
      <c r="AS22" s="366"/>
      <c r="AT22" s="366"/>
      <c r="AU22" s="366"/>
      <c r="AV22" s="366"/>
      <c r="AW22" s="366"/>
      <c r="AX22" s="366"/>
      <c r="AY22" s="366"/>
      <c r="AZ22" s="366"/>
      <c r="BA22" s="366"/>
      <c r="BB22" s="366"/>
      <c r="BC22" s="366"/>
      <c r="BD22" s="366"/>
      <c r="BE22" s="366"/>
      <c r="BF22" s="366"/>
      <c r="BG22" s="366"/>
      <c r="BH22" s="366"/>
      <c r="BI22" s="367"/>
      <c r="BJ22" s="276"/>
      <c r="BK22" s="25"/>
      <c r="BL22" s="25"/>
      <c r="BM22" s="25"/>
      <c r="BN22" s="25"/>
      <c r="BO22" s="25"/>
      <c r="BP22" s="25"/>
      <c r="BQ22" s="25"/>
      <c r="BR22" s="25"/>
      <c r="BS22" s="25"/>
      <c r="BT22" s="25"/>
      <c r="BU22" s="25"/>
      <c r="BV22" s="25"/>
      <c r="BW22" s="25"/>
      <c r="BX22" s="25"/>
      <c r="BY22" s="25"/>
      <c r="BZ22" s="25"/>
      <c r="CA22" s="25"/>
      <c r="CB22" s="25"/>
      <c r="CC22" s="25"/>
      <c r="CD22" s="25"/>
      <c r="CE22" s="25"/>
      <c r="CF22" s="25"/>
      <c r="CG22" s="25"/>
      <c r="CH22" s="25"/>
      <c r="CI22" s="25"/>
      <c r="CJ22" s="25"/>
      <c r="CK22" s="25"/>
      <c r="CL22" s="25"/>
      <c r="CM22" s="25"/>
      <c r="CN22" s="25"/>
      <c r="CO22" s="25"/>
      <c r="CP22" s="25"/>
      <c r="CQ22" s="25"/>
      <c r="CR22" s="25"/>
      <c r="CS22" s="25"/>
      <c r="CT22" s="25"/>
      <c r="CU22" s="25"/>
      <c r="CV22" s="25"/>
      <c r="CW22" s="25"/>
      <c r="CX22" s="25"/>
    </row>
    <row r="23" spans="1:102" ht="7.4" customHeight="1" x14ac:dyDescent="0.5">
      <c r="A23" s="35"/>
      <c r="B23" s="547"/>
      <c r="C23" s="547"/>
      <c r="D23" s="547"/>
      <c r="E23" s="35"/>
      <c r="F23" s="547"/>
      <c r="G23" s="547"/>
      <c r="H23" s="547"/>
      <c r="I23" s="547"/>
      <c r="J23" s="547"/>
      <c r="K23" s="547"/>
      <c r="L23" s="547"/>
      <c r="M23" s="547"/>
      <c r="N23" s="547"/>
      <c r="O23" s="547"/>
      <c r="P23" s="547"/>
      <c r="Q23" s="547"/>
      <c r="R23" s="35"/>
      <c r="S23" s="547"/>
      <c r="T23" s="547"/>
      <c r="U23" s="547"/>
      <c r="V23" s="547"/>
      <c r="W23" s="547"/>
      <c r="X23" s="547"/>
      <c r="Y23" s="547"/>
      <c r="Z23" s="547"/>
      <c r="AA23" s="547"/>
      <c r="AB23" s="547"/>
      <c r="AC23" s="547"/>
      <c r="AD23" s="547"/>
      <c r="AE23" s="547"/>
      <c r="AF23" s="547"/>
      <c r="AG23" s="547"/>
      <c r="AH23" s="547"/>
      <c r="AI23" s="547"/>
      <c r="AJ23" s="547"/>
      <c r="AK23" s="35"/>
      <c r="AL23" s="547"/>
      <c r="AM23" s="547"/>
      <c r="AN23" s="547"/>
      <c r="AO23" s="547"/>
      <c r="AP23" s="547"/>
      <c r="AQ23" s="547"/>
      <c r="AR23" s="368"/>
      <c r="AS23" s="369"/>
      <c r="AT23" s="369"/>
      <c r="AU23" s="369"/>
      <c r="AV23" s="369"/>
      <c r="AW23" s="369"/>
      <c r="AX23" s="369"/>
      <c r="AY23" s="369"/>
      <c r="AZ23" s="366"/>
      <c r="BA23" s="369"/>
      <c r="BB23" s="369"/>
      <c r="BC23" s="369"/>
      <c r="BD23" s="369"/>
      <c r="BE23" s="369"/>
      <c r="BF23" s="369"/>
      <c r="BG23" s="369"/>
      <c r="BH23" s="369"/>
      <c r="BI23" s="370"/>
      <c r="BJ23" s="276"/>
      <c r="BK23" s="25"/>
      <c r="BL23" s="25"/>
      <c r="BM23" s="25"/>
      <c r="BN23" s="25"/>
      <c r="BO23" s="25"/>
      <c r="BP23" s="25"/>
      <c r="BQ23" s="25"/>
      <c r="BR23" s="25"/>
      <c r="BS23" s="25"/>
      <c r="BT23" s="25"/>
      <c r="BU23" s="25"/>
      <c r="BV23" s="25"/>
      <c r="BW23" s="25"/>
      <c r="BX23" s="25"/>
      <c r="BY23" s="25"/>
      <c r="BZ23" s="25"/>
      <c r="CA23" s="25"/>
      <c r="CB23" s="25"/>
      <c r="CC23" s="25"/>
      <c r="CD23" s="25"/>
      <c r="CE23" s="25"/>
      <c r="CF23" s="25"/>
      <c r="CG23" s="25"/>
      <c r="CH23" s="25"/>
      <c r="CI23" s="25"/>
      <c r="CJ23" s="25"/>
      <c r="CK23" s="25"/>
      <c r="CL23" s="25"/>
      <c r="CM23" s="25"/>
      <c r="CN23" s="25"/>
      <c r="CO23" s="25"/>
      <c r="CP23" s="25"/>
      <c r="CQ23" s="25"/>
      <c r="CR23" s="25"/>
      <c r="CS23" s="25"/>
      <c r="CT23" s="25"/>
      <c r="CU23" s="25"/>
      <c r="CV23" s="25"/>
      <c r="CW23" s="25"/>
      <c r="CX23" s="25"/>
    </row>
    <row r="24" spans="1:102" ht="7.4" customHeight="1" x14ac:dyDescent="0.5">
      <c r="A24" s="42"/>
      <c r="B24" s="55"/>
      <c r="C24" s="55"/>
      <c r="D24" s="41"/>
      <c r="E24" s="42"/>
      <c r="Q24" s="41"/>
      <c r="R24" s="42"/>
      <c r="AJ24" s="41"/>
      <c r="AK24" s="42"/>
      <c r="AL24" s="75"/>
      <c r="AM24" s="75"/>
      <c r="AN24" s="75"/>
      <c r="AO24" s="75"/>
      <c r="AP24" s="75"/>
      <c r="AQ24" s="41"/>
      <c r="AR24" s="42"/>
      <c r="AS24" s="105"/>
      <c r="AT24" s="105"/>
      <c r="AU24" s="105"/>
      <c r="AV24" s="105"/>
      <c r="AW24" s="105"/>
      <c r="AX24" s="105"/>
      <c r="AZ24" s="39"/>
      <c r="BA24" s="105"/>
      <c r="BB24" s="105"/>
      <c r="BC24" s="105"/>
      <c r="BD24" s="105"/>
      <c r="BE24" s="105"/>
      <c r="BF24" s="105"/>
      <c r="BG24" s="105"/>
      <c r="BH24" s="105"/>
      <c r="BI24" s="41"/>
      <c r="BJ24" s="276"/>
      <c r="BK24" s="25"/>
      <c r="BL24" s="25"/>
      <c r="BM24" s="25"/>
      <c r="BN24" s="25"/>
      <c r="BO24" s="25"/>
      <c r="BP24" s="25"/>
      <c r="BQ24" s="25"/>
      <c r="BR24" s="25"/>
      <c r="BS24" s="25"/>
      <c r="BT24" s="25"/>
      <c r="BU24" s="25"/>
      <c r="BV24" s="25"/>
      <c r="BW24" s="25"/>
      <c r="BX24" s="25"/>
      <c r="BY24" s="25"/>
      <c r="BZ24" s="25"/>
      <c r="CA24" s="25"/>
      <c r="CB24" s="25"/>
      <c r="CC24" s="25"/>
      <c r="CD24" s="25"/>
      <c r="CE24" s="25"/>
      <c r="CF24" s="25"/>
      <c r="CG24" s="25"/>
      <c r="CH24" s="25"/>
      <c r="CI24" s="25"/>
      <c r="CJ24" s="25"/>
      <c r="CK24" s="25"/>
      <c r="CL24" s="25"/>
      <c r="CM24" s="25"/>
      <c r="CN24" s="25"/>
      <c r="CO24" s="25"/>
      <c r="CP24" s="25"/>
      <c r="CQ24" s="25"/>
      <c r="CR24" s="25"/>
      <c r="CS24" s="25"/>
      <c r="CT24" s="25"/>
      <c r="CU24" s="25"/>
      <c r="CV24" s="25"/>
      <c r="CW24" s="25"/>
      <c r="CX24" s="25"/>
    </row>
    <row r="25" spans="1:102" ht="7.4" customHeight="1" x14ac:dyDescent="0.5">
      <c r="A25" s="42"/>
      <c r="B25" s="311">
        <v>1</v>
      </c>
      <c r="C25" s="311"/>
      <c r="D25" s="41"/>
      <c r="E25" s="42"/>
      <c r="F25" s="543" t="s">
        <v>189</v>
      </c>
      <c r="G25" s="543"/>
      <c r="H25" s="543"/>
      <c r="I25" s="543"/>
      <c r="J25" s="543"/>
      <c r="K25" s="543"/>
      <c r="L25" s="543"/>
      <c r="M25" s="543"/>
      <c r="N25" s="543"/>
      <c r="O25" s="543"/>
      <c r="P25" s="543"/>
      <c r="Q25" s="544"/>
      <c r="R25" s="42"/>
      <c r="S25" s="316" t="str">
        <f>VLOOKUP(F25,PL!$B$9:$BH$858,14,FALSE)</f>
        <v xml:space="preserve">Rail Profile </v>
      </c>
      <c r="T25" s="316"/>
      <c r="U25" s="316"/>
      <c r="V25" s="316"/>
      <c r="W25" s="316"/>
      <c r="X25" s="316"/>
      <c r="Y25" s="316"/>
      <c r="Z25" s="316"/>
      <c r="AA25" s="316"/>
      <c r="AB25" s="316"/>
      <c r="AC25" s="316"/>
      <c r="AD25" s="339" t="s">
        <v>149</v>
      </c>
      <c r="AE25" s="546">
        <v>4.7</v>
      </c>
      <c r="AF25" s="546"/>
      <c r="AG25" s="546"/>
      <c r="AH25" s="339" t="s">
        <v>190</v>
      </c>
      <c r="AI25" s="339"/>
      <c r="AJ25" s="508"/>
      <c r="AK25" s="42"/>
      <c r="AL25" s="318">
        <v>4</v>
      </c>
      <c r="AM25" s="318"/>
      <c r="AN25" s="318"/>
      <c r="AO25" s="318"/>
      <c r="AP25" s="318"/>
      <c r="AQ25" s="41"/>
      <c r="AR25" s="111"/>
      <c r="AS25" s="542" t="str">
        <f>VLOOKUP(F25,PL!$B$9:$BH$813,52,FALSE)</f>
        <v>SOL-580404</v>
      </c>
      <c r="AT25" s="542"/>
      <c r="AU25" s="542"/>
      <c r="AV25" s="542"/>
      <c r="AW25" s="542"/>
      <c r="AX25" s="542"/>
      <c r="AY25" s="542"/>
      <c r="AZ25" s="542"/>
      <c r="BA25" s="542"/>
      <c r="BB25" s="542"/>
      <c r="BC25" s="542"/>
      <c r="BD25" s="542"/>
      <c r="BE25" s="542"/>
      <c r="BF25" s="542"/>
      <c r="BG25" s="542"/>
      <c r="BH25" s="542"/>
      <c r="BI25" s="41"/>
      <c r="BJ25" s="276"/>
      <c r="BK25" s="25"/>
      <c r="BL25" s="25"/>
      <c r="BM25" s="25"/>
      <c r="BN25" s="25"/>
      <c r="BO25" s="25"/>
      <c r="BP25" s="25"/>
      <c r="BQ25" s="25"/>
      <c r="BR25" s="25"/>
      <c r="BS25" s="25"/>
      <c r="BT25" s="25"/>
      <c r="BU25" s="25"/>
      <c r="BV25" s="25"/>
      <c r="BW25" s="25"/>
      <c r="BX25" s="25"/>
      <c r="BY25" s="25"/>
      <c r="BZ25" s="25"/>
      <c r="CA25" s="25"/>
      <c r="CB25" s="25"/>
      <c r="CC25" s="25"/>
      <c r="CD25" s="25"/>
      <c r="CE25" s="25"/>
      <c r="CF25" s="25"/>
      <c r="CG25" s="25"/>
      <c r="CH25" s="25"/>
      <c r="CI25" s="25"/>
      <c r="CJ25" s="25"/>
      <c r="CK25" s="25"/>
      <c r="CL25" s="25"/>
      <c r="CM25" s="25"/>
      <c r="CN25" s="25"/>
      <c r="CO25" s="25"/>
      <c r="CP25" s="25"/>
      <c r="CQ25" s="25"/>
      <c r="CR25" s="25"/>
      <c r="CS25" s="25"/>
      <c r="CT25" s="25"/>
      <c r="CU25" s="25"/>
      <c r="CV25" s="25"/>
      <c r="CW25" s="25"/>
      <c r="CX25" s="25"/>
    </row>
    <row r="26" spans="1:102" ht="7.4" customHeight="1" x14ac:dyDescent="0.5">
      <c r="A26" s="42"/>
      <c r="B26" s="311"/>
      <c r="C26" s="311"/>
      <c r="D26" s="41"/>
      <c r="E26" s="42"/>
      <c r="F26" s="543"/>
      <c r="G26" s="543"/>
      <c r="H26" s="543"/>
      <c r="I26" s="543"/>
      <c r="J26" s="543"/>
      <c r="K26" s="543"/>
      <c r="L26" s="543"/>
      <c r="M26" s="543"/>
      <c r="N26" s="543"/>
      <c r="O26" s="543"/>
      <c r="P26" s="543"/>
      <c r="Q26" s="544"/>
      <c r="R26" s="42"/>
      <c r="S26" s="316"/>
      <c r="T26" s="316"/>
      <c r="U26" s="316"/>
      <c r="V26" s="316"/>
      <c r="W26" s="316"/>
      <c r="X26" s="316"/>
      <c r="Y26" s="316"/>
      <c r="Z26" s="316"/>
      <c r="AA26" s="316"/>
      <c r="AB26" s="316"/>
      <c r="AC26" s="316"/>
      <c r="AD26" s="339"/>
      <c r="AE26" s="546"/>
      <c r="AF26" s="546"/>
      <c r="AG26" s="546"/>
      <c r="AH26" s="339"/>
      <c r="AI26" s="339"/>
      <c r="AJ26" s="508"/>
      <c r="AK26" s="42"/>
      <c r="AL26" s="318"/>
      <c r="AM26" s="318"/>
      <c r="AN26" s="318"/>
      <c r="AO26" s="318"/>
      <c r="AP26" s="318"/>
      <c r="AQ26" s="41"/>
      <c r="AR26" s="111"/>
      <c r="AS26" s="542"/>
      <c r="AT26" s="542"/>
      <c r="AU26" s="542"/>
      <c r="AV26" s="542"/>
      <c r="AW26" s="542"/>
      <c r="AX26" s="542"/>
      <c r="AY26" s="542"/>
      <c r="AZ26" s="542"/>
      <c r="BA26" s="542"/>
      <c r="BB26" s="542"/>
      <c r="BC26" s="542"/>
      <c r="BD26" s="542"/>
      <c r="BE26" s="542"/>
      <c r="BF26" s="542"/>
      <c r="BG26" s="542"/>
      <c r="BH26" s="542"/>
      <c r="BI26" s="41"/>
      <c r="BJ26" s="276"/>
      <c r="BK26" s="25"/>
      <c r="BL26" s="25"/>
      <c r="BM26" s="25"/>
      <c r="BN26" s="25"/>
      <c r="BO26" s="25"/>
      <c r="BP26" s="25"/>
      <c r="BQ26" s="25"/>
      <c r="BR26" s="25"/>
      <c r="BS26" s="25"/>
      <c r="BT26" s="25"/>
      <c r="BU26" s="25"/>
      <c r="BV26" s="25"/>
      <c r="BW26" s="25"/>
      <c r="BX26" s="25"/>
      <c r="BY26" s="25"/>
      <c r="BZ26" s="25"/>
      <c r="CA26" s="25"/>
      <c r="CB26" s="25"/>
      <c r="CC26" s="25"/>
      <c r="CD26" s="25"/>
      <c r="CE26" s="25"/>
      <c r="CF26" s="25"/>
      <c r="CG26" s="25"/>
      <c r="CH26" s="25"/>
      <c r="CI26" s="25"/>
      <c r="CJ26" s="25"/>
      <c r="CK26" s="25"/>
      <c r="CL26" s="25"/>
      <c r="CM26" s="25"/>
      <c r="CN26" s="25"/>
      <c r="CO26" s="25"/>
      <c r="CP26" s="25"/>
      <c r="CQ26" s="25"/>
      <c r="CR26" s="25"/>
      <c r="CS26" s="25"/>
      <c r="CT26" s="25"/>
      <c r="CU26" s="25"/>
      <c r="CV26" s="25"/>
      <c r="CW26" s="25"/>
      <c r="CX26" s="25"/>
    </row>
    <row r="27" spans="1:102" s="117" customFormat="1" ht="7.4" customHeight="1" x14ac:dyDescent="0.5">
      <c r="A27" s="113"/>
      <c r="B27" s="298"/>
      <c r="C27" s="298"/>
      <c r="D27" s="115"/>
      <c r="E27" s="113"/>
      <c r="Q27" s="115"/>
      <c r="R27" s="277"/>
      <c r="S27" s="116" t="str">
        <f>IF(AL25&gt;0,VLOOKUP(F25,PL!$B$9:$BH$858,33,FALSE),"")</f>
        <v xml:space="preserve"> Aluminium, 40x30</v>
      </c>
      <c r="T27" s="104"/>
      <c r="U27" s="104"/>
      <c r="V27" s="104"/>
      <c r="W27" s="104"/>
      <c r="X27" s="104"/>
      <c r="Y27" s="104"/>
      <c r="Z27" s="104"/>
      <c r="AA27" s="104"/>
      <c r="AB27" s="104"/>
      <c r="AC27" s="104"/>
      <c r="AD27" s="104"/>
      <c r="AE27" s="104"/>
      <c r="AF27" s="104"/>
      <c r="AG27" s="104"/>
      <c r="AH27" s="104"/>
      <c r="AI27" s="104"/>
      <c r="AJ27" s="278"/>
      <c r="AK27" s="113"/>
      <c r="AL27" s="183"/>
      <c r="AM27" s="183"/>
      <c r="AN27" s="183"/>
      <c r="AO27" s="183"/>
      <c r="AP27" s="183"/>
      <c r="AQ27" s="115"/>
      <c r="AR27" s="279"/>
      <c r="AS27" s="280"/>
      <c r="AT27" s="280"/>
      <c r="AU27" s="280"/>
      <c r="AV27" s="280"/>
      <c r="AW27" s="280"/>
      <c r="AX27" s="280"/>
      <c r="AZ27" s="279"/>
      <c r="BA27" s="280"/>
      <c r="BB27" s="280"/>
      <c r="BC27" s="280"/>
      <c r="BD27" s="280"/>
      <c r="BE27" s="280"/>
      <c r="BF27" s="280"/>
      <c r="BG27" s="280"/>
      <c r="BH27" s="280"/>
      <c r="BI27" s="115"/>
      <c r="BJ27" s="276"/>
      <c r="BK27" s="25"/>
      <c r="BL27" s="25"/>
      <c r="BM27" s="25"/>
      <c r="BN27" s="25"/>
      <c r="BO27" s="25"/>
      <c r="BP27" s="25"/>
      <c r="BQ27" s="25"/>
      <c r="BR27" s="25"/>
      <c r="BS27" s="25"/>
      <c r="BT27" s="25"/>
      <c r="BU27" s="25"/>
      <c r="BV27" s="25"/>
      <c r="BW27" s="25"/>
      <c r="BX27" s="25"/>
      <c r="BY27" s="25"/>
      <c r="BZ27" s="25"/>
      <c r="CA27" s="25"/>
      <c r="CB27" s="25"/>
      <c r="CC27" s="25"/>
      <c r="CD27" s="25"/>
      <c r="CE27" s="25"/>
      <c r="CF27" s="25"/>
      <c r="CG27" s="25"/>
      <c r="CH27" s="25"/>
      <c r="CI27" s="25"/>
      <c r="CJ27" s="25"/>
      <c r="CK27" s="25"/>
      <c r="CL27" s="25"/>
      <c r="CM27" s="25"/>
      <c r="CN27" s="25"/>
      <c r="CO27" s="25"/>
      <c r="CP27" s="25"/>
      <c r="CQ27" s="25"/>
      <c r="CR27" s="25"/>
      <c r="CS27" s="25"/>
      <c r="CT27" s="25"/>
      <c r="CU27" s="25"/>
      <c r="CV27" s="25"/>
      <c r="CW27" s="25"/>
      <c r="CX27" s="25"/>
    </row>
    <row r="28" spans="1:102" ht="7.4" customHeight="1" x14ac:dyDescent="0.5">
      <c r="A28" s="42"/>
      <c r="B28" s="55"/>
      <c r="C28" s="55"/>
      <c r="D28" s="41"/>
      <c r="E28" s="42"/>
      <c r="Q28" s="41"/>
      <c r="R28" s="42"/>
      <c r="S28" s="49"/>
      <c r="AJ28" s="41"/>
      <c r="AK28" s="42"/>
      <c r="AL28" s="127"/>
      <c r="AM28" s="127"/>
      <c r="AN28" s="127"/>
      <c r="AO28" s="127"/>
      <c r="AP28" s="127"/>
      <c r="AQ28" s="41"/>
      <c r="AR28" s="105"/>
      <c r="AS28" s="280"/>
      <c r="AT28" s="280"/>
      <c r="AU28" s="280"/>
      <c r="AV28" s="280"/>
      <c r="AW28" s="280"/>
      <c r="AX28" s="280"/>
      <c r="AZ28" s="105"/>
      <c r="BA28" s="280"/>
      <c r="BB28" s="280"/>
      <c r="BC28" s="280"/>
      <c r="BD28" s="280"/>
      <c r="BE28" s="280"/>
      <c r="BF28" s="280"/>
      <c r="BG28" s="280"/>
      <c r="BH28" s="280"/>
      <c r="BI28" s="41"/>
      <c r="BJ28" s="276"/>
      <c r="BK28" s="25"/>
      <c r="BL28" s="25"/>
      <c r="BM28" s="25"/>
      <c r="BN28" s="25"/>
      <c r="BO28" s="25"/>
      <c r="BP28" s="25"/>
      <c r="BQ28" s="25"/>
      <c r="BR28" s="25"/>
      <c r="BS28" s="25"/>
      <c r="BT28" s="25"/>
      <c r="BU28" s="25"/>
      <c r="BV28" s="25"/>
      <c r="BW28" s="25"/>
      <c r="BX28" s="25"/>
      <c r="BY28" s="25"/>
      <c r="BZ28" s="25"/>
      <c r="CA28" s="25"/>
      <c r="CB28" s="25"/>
      <c r="CC28" s="25"/>
      <c r="CD28" s="25"/>
      <c r="CE28" s="25"/>
      <c r="CF28" s="25"/>
      <c r="CG28" s="25"/>
      <c r="CH28" s="25"/>
      <c r="CI28" s="25"/>
      <c r="CJ28" s="25"/>
      <c r="CK28" s="25"/>
      <c r="CL28" s="25"/>
      <c r="CM28" s="25"/>
      <c r="CN28" s="25"/>
      <c r="CO28" s="25"/>
      <c r="CP28" s="25"/>
      <c r="CQ28" s="25"/>
      <c r="CR28" s="25"/>
      <c r="CS28" s="25"/>
      <c r="CT28" s="25"/>
      <c r="CU28" s="25"/>
      <c r="CV28" s="25"/>
      <c r="CW28" s="25"/>
      <c r="CX28" s="25"/>
    </row>
    <row r="29" spans="1:102" ht="7.4" customHeight="1" x14ac:dyDescent="0.5">
      <c r="A29" s="42"/>
      <c r="B29" s="311">
        <f>B25+1</f>
        <v>2</v>
      </c>
      <c r="C29" s="311"/>
      <c r="D29" s="41"/>
      <c r="E29" s="42"/>
      <c r="F29" s="543" t="s">
        <v>189</v>
      </c>
      <c r="G29" s="543"/>
      <c r="H29" s="543"/>
      <c r="I29" s="543"/>
      <c r="J29" s="543"/>
      <c r="K29" s="543"/>
      <c r="L29" s="543"/>
      <c r="M29" s="543"/>
      <c r="N29" s="543"/>
      <c r="O29" s="543"/>
      <c r="P29" s="543"/>
      <c r="Q29" s="544"/>
      <c r="R29" s="42"/>
      <c r="S29" s="316" t="str">
        <f>VLOOKUP(F29,PL!$B$9:$BH$858,14,FALSE)</f>
        <v xml:space="preserve">Rail Profile </v>
      </c>
      <c r="T29" s="316"/>
      <c r="U29" s="316"/>
      <c r="V29" s="316"/>
      <c r="W29" s="316"/>
      <c r="X29" s="316"/>
      <c r="Y29" s="316"/>
      <c r="Z29" s="316"/>
      <c r="AA29" s="316"/>
      <c r="AB29" s="316"/>
      <c r="AC29" s="316"/>
      <c r="AD29" s="339" t="s">
        <v>149</v>
      </c>
      <c r="AE29" s="546">
        <v>4.7</v>
      </c>
      <c r="AF29" s="546"/>
      <c r="AG29" s="546"/>
      <c r="AH29" s="339" t="s">
        <v>190</v>
      </c>
      <c r="AI29" s="339"/>
      <c r="AJ29" s="508"/>
      <c r="AK29" s="42"/>
      <c r="AL29" s="318">
        <v>4</v>
      </c>
      <c r="AM29" s="318"/>
      <c r="AN29" s="318"/>
      <c r="AO29" s="318"/>
      <c r="AP29" s="318"/>
      <c r="AQ29" s="41"/>
      <c r="AR29" s="111"/>
      <c r="AS29" s="542" t="str">
        <f>VLOOKUP(F29,PL!$B$9:$BH$813,52,FALSE)</f>
        <v>SOL-580404</v>
      </c>
      <c r="AT29" s="542"/>
      <c r="AU29" s="542"/>
      <c r="AV29" s="542"/>
      <c r="AW29" s="542"/>
      <c r="AX29" s="542"/>
      <c r="AY29" s="542"/>
      <c r="AZ29" s="542"/>
      <c r="BA29" s="542"/>
      <c r="BB29" s="542"/>
      <c r="BC29" s="542"/>
      <c r="BD29" s="542"/>
      <c r="BE29" s="542"/>
      <c r="BF29" s="542"/>
      <c r="BG29" s="542"/>
      <c r="BH29" s="542"/>
      <c r="BI29" s="41"/>
      <c r="BJ29" s="276"/>
      <c r="BK29" s="25"/>
      <c r="BL29" s="25"/>
      <c r="BM29" s="25"/>
      <c r="BN29" s="25"/>
      <c r="BO29" s="25"/>
      <c r="BP29" s="25"/>
      <c r="BQ29" s="25"/>
      <c r="BR29" s="25"/>
      <c r="BS29" s="25"/>
      <c r="BT29" s="25"/>
      <c r="BU29" s="25"/>
      <c r="BV29" s="25"/>
      <c r="BW29" s="25"/>
      <c r="BX29" s="25"/>
      <c r="BY29" s="25"/>
      <c r="BZ29" s="25"/>
      <c r="CA29" s="25"/>
      <c r="CB29" s="25"/>
      <c r="CC29" s="25"/>
      <c r="CD29" s="25"/>
      <c r="CE29" s="25"/>
      <c r="CF29" s="25"/>
      <c r="CG29" s="25"/>
      <c r="CH29" s="25"/>
      <c r="CI29" s="25"/>
      <c r="CJ29" s="25"/>
      <c r="CK29" s="25"/>
      <c r="CL29" s="25"/>
      <c r="CM29" s="25"/>
      <c r="CN29" s="25"/>
      <c r="CO29" s="25"/>
      <c r="CP29" s="25"/>
      <c r="CQ29" s="25"/>
      <c r="CR29" s="25"/>
      <c r="CS29" s="25"/>
      <c r="CT29" s="25"/>
      <c r="CU29" s="25"/>
      <c r="CV29" s="25"/>
      <c r="CW29" s="25"/>
      <c r="CX29" s="25"/>
    </row>
    <row r="30" spans="1:102" ht="7.4" customHeight="1" x14ac:dyDescent="0.5">
      <c r="A30" s="42"/>
      <c r="B30" s="311"/>
      <c r="C30" s="311"/>
      <c r="D30" s="41"/>
      <c r="E30" s="42"/>
      <c r="F30" s="543"/>
      <c r="G30" s="543"/>
      <c r="H30" s="543"/>
      <c r="I30" s="543"/>
      <c r="J30" s="543"/>
      <c r="K30" s="543"/>
      <c r="L30" s="543"/>
      <c r="M30" s="543"/>
      <c r="N30" s="543"/>
      <c r="O30" s="543"/>
      <c r="P30" s="543"/>
      <c r="Q30" s="544"/>
      <c r="R30" s="42"/>
      <c r="S30" s="316"/>
      <c r="T30" s="316"/>
      <c r="U30" s="316"/>
      <c r="V30" s="316"/>
      <c r="W30" s="316"/>
      <c r="X30" s="316"/>
      <c r="Y30" s="316"/>
      <c r="Z30" s="316"/>
      <c r="AA30" s="316"/>
      <c r="AB30" s="316"/>
      <c r="AC30" s="316"/>
      <c r="AD30" s="339"/>
      <c r="AE30" s="546"/>
      <c r="AF30" s="546"/>
      <c r="AG30" s="546"/>
      <c r="AH30" s="339"/>
      <c r="AI30" s="339"/>
      <c r="AJ30" s="508"/>
      <c r="AK30" s="42"/>
      <c r="AL30" s="318"/>
      <c r="AM30" s="318"/>
      <c r="AN30" s="318"/>
      <c r="AO30" s="318"/>
      <c r="AP30" s="318"/>
      <c r="AQ30" s="41"/>
      <c r="AR30" s="111"/>
      <c r="AS30" s="542"/>
      <c r="AT30" s="542"/>
      <c r="AU30" s="542"/>
      <c r="AV30" s="542"/>
      <c r="AW30" s="542"/>
      <c r="AX30" s="542"/>
      <c r="AY30" s="542"/>
      <c r="AZ30" s="542"/>
      <c r="BA30" s="542"/>
      <c r="BB30" s="542"/>
      <c r="BC30" s="542"/>
      <c r="BD30" s="542"/>
      <c r="BE30" s="542"/>
      <c r="BF30" s="542"/>
      <c r="BG30" s="542"/>
      <c r="BH30" s="542"/>
      <c r="BI30" s="41"/>
      <c r="BJ30" s="276"/>
      <c r="BK30" s="25"/>
      <c r="BL30" s="25"/>
      <c r="BM30" s="25"/>
      <c r="BN30" s="25"/>
      <c r="BO30" s="25"/>
      <c r="BP30" s="25"/>
      <c r="BQ30" s="25"/>
      <c r="BR30" s="25"/>
      <c r="BS30" s="25"/>
      <c r="BT30" s="25"/>
      <c r="BU30" s="25"/>
      <c r="BV30" s="25"/>
      <c r="BW30" s="25"/>
      <c r="BX30" s="25"/>
      <c r="BY30" s="25"/>
      <c r="BZ30" s="25"/>
      <c r="CA30" s="25"/>
      <c r="CB30" s="25"/>
      <c r="CC30" s="25"/>
      <c r="CD30" s="25"/>
      <c r="CE30" s="25"/>
      <c r="CF30" s="25"/>
      <c r="CG30" s="25"/>
      <c r="CH30" s="25"/>
      <c r="CI30" s="25"/>
      <c r="CJ30" s="25"/>
      <c r="CK30" s="25"/>
      <c r="CL30" s="25"/>
      <c r="CM30" s="25"/>
      <c r="CN30" s="25"/>
      <c r="CO30" s="25"/>
      <c r="CP30" s="25"/>
      <c r="CQ30" s="25"/>
      <c r="CR30" s="25"/>
      <c r="CS30" s="25"/>
      <c r="CT30" s="25"/>
      <c r="CU30" s="25"/>
      <c r="CV30" s="25"/>
      <c r="CW30" s="25"/>
      <c r="CX30" s="25"/>
    </row>
    <row r="31" spans="1:102" s="117" customFormat="1" ht="7.4" customHeight="1" x14ac:dyDescent="0.5">
      <c r="A31" s="113"/>
      <c r="B31" s="114"/>
      <c r="C31" s="114"/>
      <c r="D31" s="115"/>
      <c r="E31" s="113"/>
      <c r="Q31" s="115"/>
      <c r="R31" s="277"/>
      <c r="S31" s="116" t="str">
        <f>IF(AL29&gt;0,VLOOKUP(F29,PL!$B$9:$BH$858,33,FALSE),"")</f>
        <v xml:space="preserve"> Aluminium, 40x30</v>
      </c>
      <c r="T31" s="104"/>
      <c r="U31" s="104"/>
      <c r="V31" s="104"/>
      <c r="W31" s="104"/>
      <c r="X31" s="104"/>
      <c r="Y31" s="104"/>
      <c r="Z31" s="104"/>
      <c r="AA31" s="104"/>
      <c r="AB31" s="104"/>
      <c r="AC31" s="104"/>
      <c r="AD31" s="104"/>
      <c r="AE31" s="104"/>
      <c r="AF31" s="104"/>
      <c r="AG31" s="104"/>
      <c r="AH31" s="104"/>
      <c r="AI31" s="104"/>
      <c r="AJ31" s="278"/>
      <c r="AK31" s="113"/>
      <c r="AL31" s="183"/>
      <c r="AM31" s="183"/>
      <c r="AN31" s="183"/>
      <c r="AO31" s="183"/>
      <c r="AP31" s="183"/>
      <c r="AQ31" s="115"/>
      <c r="AR31" s="279"/>
      <c r="AS31" s="280"/>
      <c r="AT31" s="280"/>
      <c r="AU31" s="280"/>
      <c r="AV31" s="280"/>
      <c r="AW31" s="280"/>
      <c r="AX31" s="280"/>
      <c r="AZ31" s="279"/>
      <c r="BA31" s="280"/>
      <c r="BB31" s="280"/>
      <c r="BC31" s="280"/>
      <c r="BD31" s="280"/>
      <c r="BE31" s="280"/>
      <c r="BF31" s="280"/>
      <c r="BG31" s="280"/>
      <c r="BH31" s="280"/>
      <c r="BI31" s="115"/>
      <c r="BJ31" s="276"/>
      <c r="BK31" s="25"/>
      <c r="BL31" s="25"/>
      <c r="BM31" s="25"/>
      <c r="BN31" s="25"/>
      <c r="BO31" s="25"/>
      <c r="BP31" s="25"/>
      <c r="BQ31" s="25"/>
      <c r="BR31" s="25"/>
      <c r="BS31" s="25"/>
      <c r="BT31" s="25"/>
      <c r="BU31" s="25"/>
      <c r="BV31" s="25"/>
      <c r="BW31" s="25"/>
      <c r="BX31" s="25"/>
      <c r="BY31" s="25"/>
      <c r="BZ31" s="25"/>
      <c r="CA31" s="25"/>
      <c r="CB31" s="25"/>
      <c r="CC31" s="25"/>
      <c r="CD31" s="25"/>
      <c r="CE31" s="25"/>
      <c r="CF31" s="25"/>
      <c r="CG31" s="25"/>
      <c r="CH31" s="25"/>
      <c r="CI31" s="25"/>
      <c r="CJ31" s="25"/>
      <c r="CK31" s="25"/>
      <c r="CL31" s="25"/>
      <c r="CM31" s="25"/>
      <c r="CN31" s="25"/>
      <c r="CO31" s="25"/>
      <c r="CP31" s="25"/>
      <c r="CQ31" s="25"/>
      <c r="CR31" s="25"/>
      <c r="CS31" s="25"/>
      <c r="CT31" s="25"/>
      <c r="CU31" s="25"/>
      <c r="CV31" s="25"/>
      <c r="CW31" s="25"/>
      <c r="CX31" s="25"/>
    </row>
    <row r="32" spans="1:102" ht="7.4" customHeight="1" x14ac:dyDescent="0.5">
      <c r="A32" s="42"/>
      <c r="D32" s="41"/>
      <c r="E32" s="42"/>
      <c r="Q32" s="41"/>
      <c r="R32" s="42"/>
      <c r="S32" s="49"/>
      <c r="AJ32" s="41"/>
      <c r="AK32" s="42"/>
      <c r="AL32" s="127"/>
      <c r="AM32" s="127"/>
      <c r="AN32" s="127"/>
      <c r="AO32" s="127"/>
      <c r="AP32" s="127"/>
      <c r="AQ32" s="41"/>
      <c r="AS32" s="280"/>
      <c r="AT32" s="280"/>
      <c r="AU32" s="280"/>
      <c r="AV32" s="280"/>
      <c r="AW32" s="280"/>
      <c r="AX32" s="280"/>
      <c r="BA32" s="280"/>
      <c r="BB32" s="280"/>
      <c r="BC32" s="280"/>
      <c r="BD32" s="280"/>
      <c r="BE32" s="280"/>
      <c r="BF32" s="280"/>
      <c r="BG32" s="280"/>
      <c r="BH32" s="280"/>
      <c r="BI32" s="41"/>
      <c r="BJ32" s="276"/>
      <c r="BK32" s="25"/>
      <c r="BL32" s="25"/>
      <c r="BM32" s="25"/>
      <c r="BN32" s="25"/>
      <c r="BO32" s="25"/>
      <c r="BP32" s="25"/>
      <c r="BQ32" s="25"/>
      <c r="BR32" s="25"/>
      <c r="BS32" s="25"/>
      <c r="BT32" s="25"/>
      <c r="BU32" s="25"/>
      <c r="BV32" s="25"/>
      <c r="BW32" s="25"/>
      <c r="BX32" s="25"/>
      <c r="BY32" s="25"/>
      <c r="BZ32" s="25"/>
      <c r="CA32" s="25"/>
      <c r="CB32" s="25"/>
      <c r="CC32" s="25"/>
      <c r="CD32" s="25"/>
      <c r="CE32" s="25"/>
      <c r="CF32" s="25"/>
      <c r="CG32" s="25"/>
      <c r="CH32" s="25"/>
      <c r="CI32" s="25"/>
      <c r="CJ32" s="25"/>
      <c r="CK32" s="25"/>
      <c r="CL32" s="25"/>
      <c r="CM32" s="25"/>
      <c r="CN32" s="25"/>
      <c r="CO32" s="25"/>
      <c r="CP32" s="25"/>
      <c r="CQ32" s="25"/>
      <c r="CR32" s="25"/>
      <c r="CS32" s="25"/>
      <c r="CT32" s="25"/>
      <c r="CU32" s="25"/>
      <c r="CV32" s="25"/>
      <c r="CW32" s="25"/>
      <c r="CX32" s="25"/>
    </row>
    <row r="33" spans="1:102" ht="7.4" customHeight="1" x14ac:dyDescent="0.5">
      <c r="A33" s="42"/>
      <c r="B33" s="311">
        <f>B29+1</f>
        <v>3</v>
      </c>
      <c r="C33" s="311"/>
      <c r="D33" s="41"/>
      <c r="E33" s="42"/>
      <c r="F33" s="543" t="s">
        <v>189</v>
      </c>
      <c r="G33" s="543"/>
      <c r="H33" s="543"/>
      <c r="I33" s="543"/>
      <c r="J33" s="543"/>
      <c r="K33" s="543"/>
      <c r="L33" s="543"/>
      <c r="M33" s="543"/>
      <c r="N33" s="543"/>
      <c r="O33" s="543"/>
      <c r="P33" s="543"/>
      <c r="Q33" s="544"/>
      <c r="R33" s="42"/>
      <c r="S33" s="316" t="str">
        <f>VLOOKUP(F33,PL!$B$9:$BH$858,14,FALSE)</f>
        <v xml:space="preserve">Rail Profile </v>
      </c>
      <c r="T33" s="316"/>
      <c r="U33" s="316"/>
      <c r="V33" s="316"/>
      <c r="W33" s="316"/>
      <c r="X33" s="316"/>
      <c r="Y33" s="316"/>
      <c r="Z33" s="316"/>
      <c r="AA33" s="316"/>
      <c r="AB33" s="316"/>
      <c r="AC33" s="316"/>
      <c r="AD33" s="339" t="s">
        <v>149</v>
      </c>
      <c r="AE33" s="546">
        <v>4.7</v>
      </c>
      <c r="AF33" s="546"/>
      <c r="AG33" s="546"/>
      <c r="AH33" s="339" t="s">
        <v>190</v>
      </c>
      <c r="AI33" s="339"/>
      <c r="AJ33" s="508"/>
      <c r="AK33" s="42"/>
      <c r="AL33" s="318">
        <v>4</v>
      </c>
      <c r="AM33" s="318"/>
      <c r="AN33" s="318"/>
      <c r="AO33" s="318"/>
      <c r="AP33" s="318"/>
      <c r="AQ33" s="41"/>
      <c r="AR33" s="111"/>
      <c r="AS33" s="542" t="str">
        <f>VLOOKUP(F33,PL!$B$9:$BH$813,52,FALSE)</f>
        <v>SOL-580404</v>
      </c>
      <c r="AT33" s="542"/>
      <c r="AU33" s="542"/>
      <c r="AV33" s="542"/>
      <c r="AW33" s="542"/>
      <c r="AX33" s="542"/>
      <c r="AY33" s="542"/>
      <c r="AZ33" s="542"/>
      <c r="BA33" s="542"/>
      <c r="BB33" s="542"/>
      <c r="BC33" s="542"/>
      <c r="BD33" s="542"/>
      <c r="BE33" s="542"/>
      <c r="BF33" s="542"/>
      <c r="BG33" s="542"/>
      <c r="BH33" s="542"/>
      <c r="BI33" s="124"/>
      <c r="BJ33" s="276"/>
      <c r="BK33" s="25"/>
      <c r="BL33" s="25"/>
      <c r="BM33" s="25"/>
      <c r="BN33" s="25"/>
      <c r="BO33" s="25"/>
      <c r="BP33" s="25"/>
      <c r="BQ33" s="25"/>
      <c r="BR33" s="25"/>
      <c r="BS33" s="25"/>
      <c r="BT33" s="25"/>
      <c r="BU33" s="25"/>
      <c r="BV33" s="25"/>
      <c r="BW33" s="25"/>
      <c r="BX33" s="25"/>
      <c r="BY33" s="25"/>
      <c r="BZ33" s="25"/>
      <c r="CA33" s="25"/>
      <c r="CB33" s="25"/>
      <c r="CC33" s="25"/>
      <c r="CD33" s="25"/>
      <c r="CE33" s="25"/>
      <c r="CF33" s="25"/>
      <c r="CG33" s="25"/>
      <c r="CH33" s="25"/>
      <c r="CI33" s="25"/>
      <c r="CJ33" s="25"/>
      <c r="CK33" s="25"/>
      <c r="CL33" s="25"/>
      <c r="CM33" s="25"/>
      <c r="CN33" s="25"/>
      <c r="CO33" s="25"/>
      <c r="CP33" s="25"/>
      <c r="CQ33" s="25"/>
      <c r="CR33" s="25"/>
      <c r="CS33" s="25"/>
      <c r="CT33" s="25"/>
      <c r="CU33" s="25"/>
      <c r="CV33" s="25"/>
      <c r="CW33" s="25"/>
      <c r="CX33" s="25"/>
    </row>
    <row r="34" spans="1:102" ht="7.4" customHeight="1" x14ac:dyDescent="0.5">
      <c r="A34" s="42"/>
      <c r="B34" s="311"/>
      <c r="C34" s="311"/>
      <c r="D34" s="41"/>
      <c r="E34" s="42"/>
      <c r="F34" s="543"/>
      <c r="G34" s="543"/>
      <c r="H34" s="543"/>
      <c r="I34" s="543"/>
      <c r="J34" s="543"/>
      <c r="K34" s="543"/>
      <c r="L34" s="543"/>
      <c r="M34" s="543"/>
      <c r="N34" s="543"/>
      <c r="O34" s="543"/>
      <c r="P34" s="543"/>
      <c r="Q34" s="544"/>
      <c r="R34" s="42"/>
      <c r="S34" s="316"/>
      <c r="T34" s="316"/>
      <c r="U34" s="316"/>
      <c r="V34" s="316"/>
      <c r="W34" s="316"/>
      <c r="X34" s="316"/>
      <c r="Y34" s="316"/>
      <c r="Z34" s="316"/>
      <c r="AA34" s="316"/>
      <c r="AB34" s="316"/>
      <c r="AC34" s="316"/>
      <c r="AD34" s="339"/>
      <c r="AE34" s="546"/>
      <c r="AF34" s="546"/>
      <c r="AG34" s="546"/>
      <c r="AH34" s="339"/>
      <c r="AI34" s="339"/>
      <c r="AJ34" s="508"/>
      <c r="AK34" s="42"/>
      <c r="AL34" s="318"/>
      <c r="AM34" s="318"/>
      <c r="AN34" s="318"/>
      <c r="AO34" s="318"/>
      <c r="AP34" s="318"/>
      <c r="AQ34" s="41"/>
      <c r="AR34" s="111"/>
      <c r="AS34" s="542"/>
      <c r="AT34" s="542"/>
      <c r="AU34" s="542"/>
      <c r="AV34" s="542"/>
      <c r="AW34" s="542"/>
      <c r="AX34" s="542"/>
      <c r="AY34" s="542"/>
      <c r="AZ34" s="542"/>
      <c r="BA34" s="542"/>
      <c r="BB34" s="542"/>
      <c r="BC34" s="542"/>
      <c r="BD34" s="542"/>
      <c r="BE34" s="542"/>
      <c r="BF34" s="542"/>
      <c r="BG34" s="542"/>
      <c r="BH34" s="542"/>
      <c r="BI34" s="124"/>
      <c r="BJ34" s="276"/>
      <c r="BK34" s="25"/>
      <c r="BL34" s="25"/>
      <c r="BM34" s="25"/>
      <c r="BN34" s="25"/>
      <c r="BO34" s="25"/>
      <c r="BP34" s="25"/>
      <c r="BQ34" s="25"/>
      <c r="BR34" s="25"/>
      <c r="BS34" s="25"/>
      <c r="BT34" s="25"/>
      <c r="BU34" s="25"/>
      <c r="BV34" s="25"/>
      <c r="BW34" s="25"/>
      <c r="BX34" s="25"/>
      <c r="BY34" s="25"/>
      <c r="BZ34" s="25"/>
      <c r="CA34" s="25"/>
      <c r="CB34" s="25"/>
      <c r="CC34" s="25"/>
      <c r="CD34" s="25"/>
      <c r="CE34" s="25"/>
      <c r="CF34" s="25"/>
      <c r="CG34" s="25"/>
      <c r="CH34" s="25"/>
      <c r="CI34" s="25"/>
      <c r="CJ34" s="25"/>
      <c r="CK34" s="25"/>
      <c r="CL34" s="25"/>
      <c r="CM34" s="25"/>
      <c r="CN34" s="25"/>
      <c r="CO34" s="25"/>
      <c r="CP34" s="25"/>
      <c r="CQ34" s="25"/>
      <c r="CR34" s="25"/>
      <c r="CS34" s="25"/>
      <c r="CT34" s="25"/>
      <c r="CU34" s="25"/>
      <c r="CV34" s="25"/>
      <c r="CW34" s="25"/>
      <c r="CX34" s="25"/>
    </row>
    <row r="35" spans="1:102" s="117" customFormat="1" ht="7.4" customHeight="1" x14ac:dyDescent="0.5">
      <c r="A35" s="113"/>
      <c r="B35" s="114"/>
      <c r="C35" s="114"/>
      <c r="D35" s="115"/>
      <c r="E35" s="113"/>
      <c r="Q35" s="115"/>
      <c r="R35" s="277"/>
      <c r="S35" s="116" t="str">
        <f>IF(AL33&gt;0,VLOOKUP(F33,PL!$B$9:$BH$858,33,FALSE),"")</f>
        <v xml:space="preserve"> Aluminium, 40x30</v>
      </c>
      <c r="T35" s="104"/>
      <c r="U35" s="104"/>
      <c r="V35" s="104"/>
      <c r="W35" s="104"/>
      <c r="X35" s="104"/>
      <c r="Y35" s="104"/>
      <c r="Z35" s="104"/>
      <c r="AA35" s="104"/>
      <c r="AB35" s="104"/>
      <c r="AC35" s="104"/>
      <c r="AD35" s="104"/>
      <c r="AE35" s="104"/>
      <c r="AF35" s="104"/>
      <c r="AG35" s="104"/>
      <c r="AH35" s="104"/>
      <c r="AI35" s="104"/>
      <c r="AJ35" s="278"/>
      <c r="AK35" s="113"/>
      <c r="AL35" s="183"/>
      <c r="AM35" s="183"/>
      <c r="AN35" s="183"/>
      <c r="AO35" s="183"/>
      <c r="AP35" s="183"/>
      <c r="AQ35" s="115"/>
      <c r="AR35" s="279"/>
      <c r="AS35" s="280"/>
      <c r="AT35" s="280"/>
      <c r="AU35" s="280"/>
      <c r="AV35" s="280"/>
      <c r="AW35" s="280"/>
      <c r="AX35" s="280"/>
      <c r="AZ35" s="279"/>
      <c r="BA35" s="280"/>
      <c r="BB35" s="280"/>
      <c r="BC35" s="280"/>
      <c r="BD35" s="280"/>
      <c r="BE35" s="280"/>
      <c r="BF35" s="280"/>
      <c r="BG35" s="280"/>
      <c r="BH35" s="280"/>
      <c r="BI35" s="125"/>
    </row>
    <row r="36" spans="1:102" ht="7.4" customHeight="1" x14ac:dyDescent="0.5">
      <c r="A36" s="42"/>
      <c r="B36" s="55"/>
      <c r="C36" s="55"/>
      <c r="D36" s="41"/>
      <c r="E36" s="42"/>
      <c r="Q36" s="41"/>
      <c r="R36" s="42"/>
      <c r="S36" s="49"/>
      <c r="AJ36" s="44"/>
      <c r="AK36" s="42"/>
      <c r="AL36" s="127"/>
      <c r="AM36" s="127"/>
      <c r="AN36" s="127"/>
      <c r="AO36" s="127"/>
      <c r="AP36" s="127"/>
      <c r="AQ36" s="78"/>
      <c r="AS36" s="280"/>
      <c r="AT36" s="280"/>
      <c r="AU36" s="280"/>
      <c r="AV36" s="280"/>
      <c r="AW36" s="280"/>
      <c r="AX36" s="280"/>
      <c r="AY36" s="79"/>
      <c r="BA36" s="280"/>
      <c r="BB36" s="280"/>
      <c r="BC36" s="280"/>
      <c r="BD36" s="280"/>
      <c r="BE36" s="280"/>
      <c r="BF36" s="280"/>
      <c r="BG36" s="280"/>
      <c r="BH36" s="280"/>
      <c r="BI36" s="124"/>
    </row>
    <row r="37" spans="1:102" ht="7.4" customHeight="1" x14ac:dyDescent="0.5">
      <c r="A37" s="42"/>
      <c r="B37" s="311">
        <f>B33+1</f>
        <v>4</v>
      </c>
      <c r="C37" s="311"/>
      <c r="D37" s="41"/>
      <c r="E37" s="42"/>
      <c r="F37" s="543" t="s">
        <v>191</v>
      </c>
      <c r="G37" s="543"/>
      <c r="H37" s="543"/>
      <c r="I37" s="543"/>
      <c r="J37" s="543"/>
      <c r="K37" s="543"/>
      <c r="L37" s="543"/>
      <c r="M37" s="543"/>
      <c r="N37" s="543"/>
      <c r="O37" s="543"/>
      <c r="P37" s="543"/>
      <c r="Q37" s="544"/>
      <c r="R37" s="42"/>
      <c r="S37" s="316" t="str">
        <f>VLOOKUP(F37,PL!$B$9:$BH$858,14,FALSE)</f>
        <v>Craft Lok Bracket</v>
      </c>
      <c r="T37" s="316"/>
      <c r="U37" s="316"/>
      <c r="V37" s="316"/>
      <c r="W37" s="316"/>
      <c r="X37" s="316"/>
      <c r="Y37" s="316"/>
      <c r="Z37" s="316"/>
      <c r="AA37" s="316"/>
      <c r="AB37" s="316"/>
      <c r="AC37" s="316"/>
      <c r="AD37" s="316"/>
      <c r="AE37" s="316"/>
      <c r="AF37" s="316"/>
      <c r="AG37" s="316"/>
      <c r="AH37" s="316"/>
      <c r="AI37" s="316"/>
      <c r="AJ37" s="317"/>
      <c r="AK37" s="42"/>
      <c r="AL37" s="318"/>
      <c r="AM37" s="318"/>
      <c r="AN37" s="318"/>
      <c r="AO37" s="318"/>
      <c r="AP37" s="318"/>
      <c r="AQ37" s="41"/>
      <c r="AR37" s="111"/>
      <c r="AS37" s="542" t="str">
        <f>VLOOKUP(F37,PL!$B$9:$BH$813,52,FALSE)</f>
        <v>SOL-6073</v>
      </c>
      <c r="AT37" s="542"/>
      <c r="AU37" s="542"/>
      <c r="AV37" s="542"/>
      <c r="AW37" s="542"/>
      <c r="AX37" s="542"/>
      <c r="AY37" s="542"/>
      <c r="AZ37" s="542"/>
      <c r="BA37" s="542"/>
      <c r="BB37" s="542"/>
      <c r="BC37" s="542"/>
      <c r="BD37" s="542"/>
      <c r="BE37" s="542"/>
      <c r="BF37" s="542"/>
      <c r="BG37" s="542"/>
      <c r="BH37" s="542"/>
      <c r="BI37" s="124"/>
    </row>
    <row r="38" spans="1:102" ht="7.4" customHeight="1" x14ac:dyDescent="0.5">
      <c r="A38" s="42"/>
      <c r="B38" s="311"/>
      <c r="C38" s="311"/>
      <c r="D38" s="41"/>
      <c r="E38" s="42"/>
      <c r="F38" s="543"/>
      <c r="G38" s="543"/>
      <c r="H38" s="543"/>
      <c r="I38" s="543"/>
      <c r="J38" s="543"/>
      <c r="K38" s="543"/>
      <c r="L38" s="543"/>
      <c r="M38" s="543"/>
      <c r="N38" s="543"/>
      <c r="O38" s="543"/>
      <c r="P38" s="543"/>
      <c r="Q38" s="544"/>
      <c r="R38" s="42"/>
      <c r="S38" s="316"/>
      <c r="T38" s="316"/>
      <c r="U38" s="316"/>
      <c r="V38" s="316"/>
      <c r="W38" s="316"/>
      <c r="X38" s="316"/>
      <c r="Y38" s="316"/>
      <c r="Z38" s="316"/>
      <c r="AA38" s="316"/>
      <c r="AB38" s="316"/>
      <c r="AC38" s="316"/>
      <c r="AD38" s="316"/>
      <c r="AE38" s="316"/>
      <c r="AF38" s="316"/>
      <c r="AG38" s="316"/>
      <c r="AH38" s="316"/>
      <c r="AI38" s="316"/>
      <c r="AJ38" s="317"/>
      <c r="AK38" s="42"/>
      <c r="AL38" s="318"/>
      <c r="AM38" s="318"/>
      <c r="AN38" s="318"/>
      <c r="AO38" s="318"/>
      <c r="AP38" s="318"/>
      <c r="AQ38" s="41"/>
      <c r="AR38" s="111"/>
      <c r="AS38" s="542"/>
      <c r="AT38" s="542"/>
      <c r="AU38" s="542"/>
      <c r="AV38" s="542"/>
      <c r="AW38" s="542"/>
      <c r="AX38" s="542"/>
      <c r="AY38" s="542"/>
      <c r="AZ38" s="542"/>
      <c r="BA38" s="542"/>
      <c r="BB38" s="542"/>
      <c r="BC38" s="542"/>
      <c r="BD38" s="542"/>
      <c r="BE38" s="542"/>
      <c r="BF38" s="542"/>
      <c r="BG38" s="542"/>
      <c r="BH38" s="542"/>
      <c r="BI38" s="124"/>
    </row>
    <row r="39" spans="1:102" s="117" customFormat="1" ht="7.4" customHeight="1" x14ac:dyDescent="0.5">
      <c r="A39" s="113"/>
      <c r="B39" s="114"/>
      <c r="C39" s="114"/>
      <c r="D39" s="115"/>
      <c r="E39" s="113"/>
      <c r="Q39" s="115"/>
      <c r="R39" s="113"/>
      <c r="S39" s="116" t="str">
        <f>IF(AL37&gt;0,VLOOKUP(F37,PL!$B$9:$BH$858,33,FALSE),"")</f>
        <v/>
      </c>
      <c r="AJ39" s="115"/>
      <c r="AK39" s="113"/>
      <c r="AL39" s="183"/>
      <c r="AM39" s="183"/>
      <c r="AN39" s="183"/>
      <c r="AO39" s="183"/>
      <c r="AP39" s="183"/>
      <c r="AQ39" s="115"/>
      <c r="AS39" s="280"/>
      <c r="AT39" s="280"/>
      <c r="AU39" s="280"/>
      <c r="AV39" s="280"/>
      <c r="AW39" s="280"/>
      <c r="AX39" s="280"/>
      <c r="BA39" s="280"/>
      <c r="BB39" s="280"/>
      <c r="BC39" s="280"/>
      <c r="BD39" s="280"/>
      <c r="BE39" s="280"/>
      <c r="BF39" s="280"/>
      <c r="BG39" s="280"/>
      <c r="BH39" s="280"/>
      <c r="BI39" s="125"/>
    </row>
    <row r="40" spans="1:102" ht="7.4" customHeight="1" x14ac:dyDescent="0.5">
      <c r="A40" s="42"/>
      <c r="D40" s="41"/>
      <c r="E40" s="42"/>
      <c r="Q40" s="41"/>
      <c r="R40" s="42"/>
      <c r="S40" s="49"/>
      <c r="AJ40" s="41"/>
      <c r="AK40" s="42"/>
      <c r="AL40" s="127"/>
      <c r="AM40" s="127"/>
      <c r="AN40" s="127"/>
      <c r="AO40" s="127"/>
      <c r="AP40" s="127"/>
      <c r="AQ40" s="41"/>
      <c r="AS40" s="280"/>
      <c r="AT40" s="280"/>
      <c r="AU40" s="280"/>
      <c r="AV40" s="280"/>
      <c r="AW40" s="280"/>
      <c r="AX40" s="280"/>
      <c r="BA40" s="280"/>
      <c r="BB40" s="280"/>
      <c r="BC40" s="280"/>
      <c r="BD40" s="280"/>
      <c r="BE40" s="280"/>
      <c r="BF40" s="280"/>
      <c r="BG40" s="280"/>
      <c r="BH40" s="280"/>
      <c r="BI40" s="41"/>
    </row>
    <row r="41" spans="1:102" ht="7.4" customHeight="1" x14ac:dyDescent="0.5">
      <c r="A41" s="42"/>
      <c r="B41" s="311">
        <f>B37+1</f>
        <v>5</v>
      </c>
      <c r="C41" s="311"/>
      <c r="D41" s="41"/>
      <c r="E41" s="42"/>
      <c r="F41" s="543" t="s">
        <v>192</v>
      </c>
      <c r="G41" s="543"/>
      <c r="H41" s="543"/>
      <c r="I41" s="543"/>
      <c r="J41" s="543"/>
      <c r="K41" s="543"/>
      <c r="L41" s="543"/>
      <c r="M41" s="543"/>
      <c r="N41" s="543"/>
      <c r="O41" s="543"/>
      <c r="P41" s="543"/>
      <c r="Q41" s="544"/>
      <c r="R41" s="42"/>
      <c r="S41" s="316" t="str">
        <f>VLOOKUP(F41,PL!$B$9:$BH$858,14,FALSE)</f>
        <v>N/A</v>
      </c>
      <c r="T41" s="316"/>
      <c r="U41" s="316"/>
      <c r="V41" s="316"/>
      <c r="W41" s="316"/>
      <c r="X41" s="316"/>
      <c r="Y41" s="316"/>
      <c r="Z41" s="316"/>
      <c r="AA41" s="316"/>
      <c r="AB41" s="316"/>
      <c r="AC41" s="316"/>
      <c r="AD41" s="316"/>
      <c r="AE41" s="316"/>
      <c r="AF41" s="316"/>
      <c r="AG41" s="316"/>
      <c r="AH41" s="316"/>
      <c r="AI41" s="316"/>
      <c r="AJ41" s="317"/>
      <c r="AK41" s="42"/>
      <c r="AL41" s="318"/>
      <c r="AM41" s="318"/>
      <c r="AN41" s="318"/>
      <c r="AO41" s="318"/>
      <c r="AP41" s="318"/>
      <c r="AQ41" s="41"/>
      <c r="AR41" s="111"/>
      <c r="AS41" s="542">
        <f>VLOOKUP(F41,PL!$B$9:$BH$813,52,FALSE)</f>
        <v>0</v>
      </c>
      <c r="AT41" s="542"/>
      <c r="AU41" s="542"/>
      <c r="AV41" s="542"/>
      <c r="AW41" s="542"/>
      <c r="AX41" s="542"/>
      <c r="AY41" s="542"/>
      <c r="AZ41" s="542"/>
      <c r="BA41" s="542"/>
      <c r="BB41" s="542"/>
      <c r="BC41" s="542"/>
      <c r="BD41" s="542"/>
      <c r="BE41" s="542"/>
      <c r="BF41" s="542"/>
      <c r="BG41" s="542"/>
      <c r="BH41" s="542"/>
      <c r="BI41" s="124"/>
    </row>
    <row r="42" spans="1:102" ht="7.4" customHeight="1" x14ac:dyDescent="0.5">
      <c r="A42" s="42"/>
      <c r="B42" s="311"/>
      <c r="C42" s="311"/>
      <c r="D42" s="41"/>
      <c r="E42" s="42"/>
      <c r="F42" s="543"/>
      <c r="G42" s="543"/>
      <c r="H42" s="543"/>
      <c r="I42" s="543"/>
      <c r="J42" s="543"/>
      <c r="K42" s="543"/>
      <c r="L42" s="543"/>
      <c r="M42" s="543"/>
      <c r="N42" s="543"/>
      <c r="O42" s="543"/>
      <c r="P42" s="543"/>
      <c r="Q42" s="544"/>
      <c r="R42" s="42"/>
      <c r="S42" s="316"/>
      <c r="T42" s="316"/>
      <c r="U42" s="316"/>
      <c r="V42" s="316"/>
      <c r="W42" s="316"/>
      <c r="X42" s="316"/>
      <c r="Y42" s="316"/>
      <c r="Z42" s="316"/>
      <c r="AA42" s="316"/>
      <c r="AB42" s="316"/>
      <c r="AC42" s="316"/>
      <c r="AD42" s="316"/>
      <c r="AE42" s="316"/>
      <c r="AF42" s="316"/>
      <c r="AG42" s="316"/>
      <c r="AH42" s="316"/>
      <c r="AI42" s="316"/>
      <c r="AJ42" s="317"/>
      <c r="AK42" s="42"/>
      <c r="AL42" s="318"/>
      <c r="AM42" s="318"/>
      <c r="AN42" s="318"/>
      <c r="AO42" s="318"/>
      <c r="AP42" s="318"/>
      <c r="AQ42" s="41"/>
      <c r="AR42" s="111"/>
      <c r="AS42" s="542"/>
      <c r="AT42" s="542"/>
      <c r="AU42" s="542"/>
      <c r="AV42" s="542"/>
      <c r="AW42" s="542"/>
      <c r="AX42" s="542"/>
      <c r="AY42" s="542"/>
      <c r="AZ42" s="542"/>
      <c r="BA42" s="542"/>
      <c r="BB42" s="542"/>
      <c r="BC42" s="542"/>
      <c r="BD42" s="542"/>
      <c r="BE42" s="542"/>
      <c r="BF42" s="542"/>
      <c r="BG42" s="542"/>
      <c r="BH42" s="542"/>
      <c r="BI42" s="124"/>
    </row>
    <row r="43" spans="1:102" s="117" customFormat="1" ht="7.4" customHeight="1" x14ac:dyDescent="0.5">
      <c r="A43" s="113"/>
      <c r="B43" s="114"/>
      <c r="C43" s="114"/>
      <c r="D43" s="115"/>
      <c r="E43" s="113"/>
      <c r="Q43" s="115"/>
      <c r="R43" s="113"/>
      <c r="S43" s="116" t="str">
        <f>IF(AL41&gt;0,VLOOKUP(F41,PL!$B$9:$BH$858,33,FALSE),"")</f>
        <v/>
      </c>
      <c r="AJ43" s="115"/>
      <c r="AK43" s="113"/>
      <c r="AL43" s="183"/>
      <c r="AM43" s="183"/>
      <c r="AN43" s="183"/>
      <c r="AO43" s="183"/>
      <c r="AP43" s="183"/>
      <c r="AQ43" s="115"/>
      <c r="AS43" s="280"/>
      <c r="AT43" s="280"/>
      <c r="AU43" s="280"/>
      <c r="AV43" s="280"/>
      <c r="AW43" s="280"/>
      <c r="AX43" s="280"/>
      <c r="BA43" s="280"/>
      <c r="BB43" s="280"/>
      <c r="BC43" s="280"/>
      <c r="BD43" s="280"/>
      <c r="BE43" s="280"/>
      <c r="BF43" s="280"/>
      <c r="BG43" s="280"/>
      <c r="BH43" s="280"/>
      <c r="BI43" s="125"/>
    </row>
    <row r="44" spans="1:102" ht="7.4" customHeight="1" x14ac:dyDescent="0.5">
      <c r="A44" s="42"/>
      <c r="D44" s="41"/>
      <c r="E44" s="42"/>
      <c r="Q44" s="41"/>
      <c r="R44" s="42"/>
      <c r="S44" s="49"/>
      <c r="AJ44" s="41"/>
      <c r="AK44" s="42"/>
      <c r="AL44" s="127"/>
      <c r="AM44" s="127"/>
      <c r="AN44" s="127"/>
      <c r="AO44" s="127"/>
      <c r="AP44" s="127"/>
      <c r="AQ44" s="41"/>
      <c r="AS44" s="280"/>
      <c r="AT44" s="280"/>
      <c r="AU44" s="280"/>
      <c r="AV44" s="280"/>
      <c r="AW44" s="280"/>
      <c r="AX44" s="280"/>
      <c r="BA44" s="280"/>
      <c r="BB44" s="280"/>
      <c r="BC44" s="280"/>
      <c r="BD44" s="280"/>
      <c r="BE44" s="280"/>
      <c r="BF44" s="280"/>
      <c r="BG44" s="280"/>
      <c r="BH44" s="280"/>
      <c r="BI44" s="41"/>
    </row>
    <row r="45" spans="1:102" ht="7.4" customHeight="1" x14ac:dyDescent="0.5">
      <c r="A45" s="42"/>
      <c r="B45" s="311">
        <f>B41+1</f>
        <v>6</v>
      </c>
      <c r="C45" s="311"/>
      <c r="D45" s="41"/>
      <c r="E45" s="42"/>
      <c r="F45" s="543"/>
      <c r="G45" s="543"/>
      <c r="H45" s="543"/>
      <c r="I45" s="543"/>
      <c r="J45" s="543"/>
      <c r="K45" s="543"/>
      <c r="L45" s="543"/>
      <c r="M45" s="543"/>
      <c r="N45" s="543"/>
      <c r="O45" s="543"/>
      <c r="P45" s="543"/>
      <c r="Q45" s="544"/>
      <c r="R45" s="42"/>
      <c r="S45" s="316" t="e">
        <f>VLOOKUP(F45,PL!$B$9:$BH$858,14,FALSE)</f>
        <v>#N/A</v>
      </c>
      <c r="T45" s="316"/>
      <c r="U45" s="316"/>
      <c r="V45" s="316"/>
      <c r="W45" s="316"/>
      <c r="X45" s="316"/>
      <c r="Y45" s="316"/>
      <c r="Z45" s="316"/>
      <c r="AA45" s="316"/>
      <c r="AB45" s="316"/>
      <c r="AC45" s="316"/>
      <c r="AD45" s="316"/>
      <c r="AE45" s="316"/>
      <c r="AF45" s="316"/>
      <c r="AG45" s="316"/>
      <c r="AH45" s="316"/>
      <c r="AI45" s="316"/>
      <c r="AJ45" s="317"/>
      <c r="AK45" s="42"/>
      <c r="AL45" s="318"/>
      <c r="AM45" s="318"/>
      <c r="AN45" s="318"/>
      <c r="AO45" s="318"/>
      <c r="AP45" s="318"/>
      <c r="AQ45" s="41"/>
      <c r="AR45" s="111"/>
      <c r="AS45" s="542" t="e">
        <f>VLOOKUP(F45,PL!$B$9:$BH$813,52,FALSE)</f>
        <v>#N/A</v>
      </c>
      <c r="AT45" s="542"/>
      <c r="AU45" s="542"/>
      <c r="AV45" s="542"/>
      <c r="AW45" s="542"/>
      <c r="AX45" s="542"/>
      <c r="AY45" s="542"/>
      <c r="AZ45" s="542"/>
      <c r="BA45" s="542"/>
      <c r="BB45" s="542"/>
      <c r="BC45" s="542"/>
      <c r="BD45" s="542"/>
      <c r="BE45" s="542"/>
      <c r="BF45" s="542"/>
      <c r="BG45" s="542"/>
      <c r="BH45" s="542"/>
      <c r="BI45" s="124"/>
    </row>
    <row r="46" spans="1:102" ht="7.4" customHeight="1" x14ac:dyDescent="0.5">
      <c r="A46" s="42"/>
      <c r="B46" s="311"/>
      <c r="C46" s="311"/>
      <c r="D46" s="41"/>
      <c r="E46" s="42"/>
      <c r="F46" s="543"/>
      <c r="G46" s="543"/>
      <c r="H46" s="543"/>
      <c r="I46" s="543"/>
      <c r="J46" s="543"/>
      <c r="K46" s="543"/>
      <c r="L46" s="543"/>
      <c r="M46" s="543"/>
      <c r="N46" s="543"/>
      <c r="O46" s="543"/>
      <c r="P46" s="543"/>
      <c r="Q46" s="544"/>
      <c r="R46" s="42"/>
      <c r="S46" s="316"/>
      <c r="T46" s="316"/>
      <c r="U46" s="316"/>
      <c r="V46" s="316"/>
      <c r="W46" s="316"/>
      <c r="X46" s="316"/>
      <c r="Y46" s="316"/>
      <c r="Z46" s="316"/>
      <c r="AA46" s="316"/>
      <c r="AB46" s="316"/>
      <c r="AC46" s="316"/>
      <c r="AD46" s="316"/>
      <c r="AE46" s="316"/>
      <c r="AF46" s="316"/>
      <c r="AG46" s="316"/>
      <c r="AH46" s="316"/>
      <c r="AI46" s="316"/>
      <c r="AJ46" s="317"/>
      <c r="AK46" s="42"/>
      <c r="AL46" s="318"/>
      <c r="AM46" s="318"/>
      <c r="AN46" s="318"/>
      <c r="AO46" s="318"/>
      <c r="AP46" s="318"/>
      <c r="AQ46" s="41"/>
      <c r="AR46" s="111"/>
      <c r="AS46" s="542"/>
      <c r="AT46" s="542"/>
      <c r="AU46" s="542"/>
      <c r="AV46" s="542"/>
      <c r="AW46" s="542"/>
      <c r="AX46" s="542"/>
      <c r="AY46" s="542"/>
      <c r="AZ46" s="542"/>
      <c r="BA46" s="542"/>
      <c r="BB46" s="542"/>
      <c r="BC46" s="542"/>
      <c r="BD46" s="542"/>
      <c r="BE46" s="542"/>
      <c r="BF46" s="542"/>
      <c r="BG46" s="542"/>
      <c r="BH46" s="542"/>
      <c r="BI46" s="124"/>
    </row>
    <row r="47" spans="1:102" s="117" customFormat="1" ht="7.4" customHeight="1" x14ac:dyDescent="0.5">
      <c r="A47" s="113"/>
      <c r="B47" s="114"/>
      <c r="C47" s="114"/>
      <c r="D47" s="115"/>
      <c r="E47" s="113"/>
      <c r="Q47" s="115"/>
      <c r="R47" s="113"/>
      <c r="S47" s="116" t="str">
        <f>IF(AL45&gt;0,VLOOKUP(F45,PL!$B$9:$BH$858,33,FALSE),"")</f>
        <v/>
      </c>
      <c r="AJ47" s="115"/>
      <c r="AK47" s="113"/>
      <c r="AL47" s="183"/>
      <c r="AM47" s="183"/>
      <c r="AN47" s="183"/>
      <c r="AO47" s="183"/>
      <c r="AP47" s="183"/>
      <c r="AQ47" s="115"/>
      <c r="AS47" s="280"/>
      <c r="AT47" s="280"/>
      <c r="AU47" s="280"/>
      <c r="AV47" s="280"/>
      <c r="AW47" s="280"/>
      <c r="AX47" s="280"/>
      <c r="BA47" s="280"/>
      <c r="BB47" s="280"/>
      <c r="BC47" s="280"/>
      <c r="BD47" s="280"/>
      <c r="BE47" s="280"/>
      <c r="BF47" s="280"/>
      <c r="BG47" s="280"/>
      <c r="BH47" s="280"/>
      <c r="BI47" s="125"/>
    </row>
    <row r="48" spans="1:102" ht="7.4" customHeight="1" x14ac:dyDescent="0.5">
      <c r="A48" s="42"/>
      <c r="D48" s="41"/>
      <c r="E48" s="42"/>
      <c r="Q48" s="41"/>
      <c r="R48" s="42"/>
      <c r="S48" s="49"/>
      <c r="AJ48" s="41"/>
      <c r="AK48" s="42"/>
      <c r="AL48" s="127"/>
      <c r="AM48" s="127"/>
      <c r="AN48" s="127"/>
      <c r="AO48" s="127"/>
      <c r="AP48" s="127"/>
      <c r="AQ48" s="41"/>
      <c r="AS48" s="280"/>
      <c r="AT48" s="280"/>
      <c r="AU48" s="280"/>
      <c r="AV48" s="280"/>
      <c r="AW48" s="280"/>
      <c r="AX48" s="280"/>
      <c r="BA48" s="280"/>
      <c r="BB48" s="280"/>
      <c r="BC48" s="280"/>
      <c r="BD48" s="280"/>
      <c r="BE48" s="280"/>
      <c r="BF48" s="280"/>
      <c r="BG48" s="280"/>
      <c r="BH48" s="280"/>
      <c r="BI48" s="41"/>
    </row>
    <row r="49" spans="1:79" ht="7.4" customHeight="1" x14ac:dyDescent="0.5">
      <c r="A49" s="42"/>
      <c r="B49" s="311">
        <f>B45+1</f>
        <v>7</v>
      </c>
      <c r="C49" s="311"/>
      <c r="D49" s="41"/>
      <c r="E49" s="42"/>
      <c r="F49" s="543"/>
      <c r="G49" s="543"/>
      <c r="H49" s="543"/>
      <c r="I49" s="543"/>
      <c r="J49" s="543"/>
      <c r="K49" s="543"/>
      <c r="L49" s="543"/>
      <c r="M49" s="543"/>
      <c r="N49" s="543"/>
      <c r="O49" s="543"/>
      <c r="P49" s="543"/>
      <c r="Q49" s="544"/>
      <c r="R49" s="42"/>
      <c r="S49" s="316" t="e">
        <f>VLOOKUP(F49,PL!$B$9:$BH$858,14,FALSE)</f>
        <v>#N/A</v>
      </c>
      <c r="T49" s="316"/>
      <c r="U49" s="316"/>
      <c r="V49" s="316"/>
      <c r="W49" s="316"/>
      <c r="X49" s="316"/>
      <c r="Y49" s="316"/>
      <c r="Z49" s="316"/>
      <c r="AA49" s="316"/>
      <c r="AB49" s="316"/>
      <c r="AC49" s="316"/>
      <c r="AD49" s="316"/>
      <c r="AE49" s="316"/>
      <c r="AF49" s="316"/>
      <c r="AG49" s="316"/>
      <c r="AH49" s="316"/>
      <c r="AI49" s="316"/>
      <c r="AJ49" s="317"/>
      <c r="AK49" s="42"/>
      <c r="AL49" s="318"/>
      <c r="AM49" s="318"/>
      <c r="AN49" s="318"/>
      <c r="AO49" s="318"/>
      <c r="AP49" s="318"/>
      <c r="AQ49" s="41"/>
      <c r="AR49" s="111"/>
      <c r="AS49" s="542" t="e">
        <f>VLOOKUP(F49,PL!$B$9:$BH$813,52,FALSE)</f>
        <v>#N/A</v>
      </c>
      <c r="AT49" s="542"/>
      <c r="AU49" s="542"/>
      <c r="AV49" s="542"/>
      <c r="AW49" s="542"/>
      <c r="AX49" s="542"/>
      <c r="AY49" s="542"/>
      <c r="AZ49" s="542"/>
      <c r="BA49" s="542"/>
      <c r="BB49" s="542"/>
      <c r="BC49" s="542"/>
      <c r="BD49" s="542"/>
      <c r="BE49" s="542"/>
      <c r="BF49" s="542"/>
      <c r="BG49" s="542"/>
      <c r="BH49" s="542"/>
      <c r="BI49" s="124"/>
      <c r="BJ49" s="443"/>
      <c r="BK49" s="545"/>
      <c r="BL49" s="545"/>
      <c r="BM49" s="545"/>
      <c r="BN49" s="545"/>
      <c r="BO49" s="443"/>
      <c r="BP49" s="443"/>
      <c r="BQ49" s="443"/>
      <c r="BR49" s="443"/>
      <c r="BS49" s="443"/>
      <c r="BT49" s="443"/>
      <c r="BU49" s="443"/>
      <c r="BV49" s="339"/>
      <c r="BW49" s="339"/>
      <c r="BX49" s="339"/>
      <c r="BY49" s="339"/>
      <c r="BZ49" s="339"/>
      <c r="CA49" s="339"/>
    </row>
    <row r="50" spans="1:79" ht="7.4" customHeight="1" x14ac:dyDescent="0.5">
      <c r="A50" s="42"/>
      <c r="B50" s="311"/>
      <c r="C50" s="311"/>
      <c r="D50" s="41"/>
      <c r="E50" s="42"/>
      <c r="F50" s="543"/>
      <c r="G50" s="543"/>
      <c r="H50" s="543"/>
      <c r="I50" s="543"/>
      <c r="J50" s="543"/>
      <c r="K50" s="543"/>
      <c r="L50" s="543"/>
      <c r="M50" s="543"/>
      <c r="N50" s="543"/>
      <c r="O50" s="543"/>
      <c r="P50" s="543"/>
      <c r="Q50" s="544"/>
      <c r="R50" s="42"/>
      <c r="S50" s="316"/>
      <c r="T50" s="316"/>
      <c r="U50" s="316"/>
      <c r="V50" s="316"/>
      <c r="W50" s="316"/>
      <c r="X50" s="316"/>
      <c r="Y50" s="316"/>
      <c r="Z50" s="316"/>
      <c r="AA50" s="316"/>
      <c r="AB50" s="316"/>
      <c r="AC50" s="316"/>
      <c r="AD50" s="316"/>
      <c r="AE50" s="316"/>
      <c r="AF50" s="316"/>
      <c r="AG50" s="316"/>
      <c r="AH50" s="316"/>
      <c r="AI50" s="316"/>
      <c r="AJ50" s="317"/>
      <c r="AK50" s="42"/>
      <c r="AL50" s="318"/>
      <c r="AM50" s="318"/>
      <c r="AN50" s="318"/>
      <c r="AO50" s="318"/>
      <c r="AP50" s="318"/>
      <c r="AQ50" s="41"/>
      <c r="AR50" s="111"/>
      <c r="AS50" s="542"/>
      <c r="AT50" s="542"/>
      <c r="AU50" s="542"/>
      <c r="AV50" s="542"/>
      <c r="AW50" s="542"/>
      <c r="AX50" s="542"/>
      <c r="AY50" s="542"/>
      <c r="AZ50" s="542"/>
      <c r="BA50" s="542"/>
      <c r="BB50" s="542"/>
      <c r="BC50" s="542"/>
      <c r="BD50" s="542"/>
      <c r="BE50" s="542"/>
      <c r="BF50" s="542"/>
      <c r="BG50" s="542"/>
      <c r="BH50" s="542"/>
      <c r="BI50" s="124"/>
      <c r="BJ50" s="443"/>
      <c r="BK50" s="545"/>
      <c r="BL50" s="545"/>
      <c r="BM50" s="545"/>
      <c r="BN50" s="545"/>
      <c r="BO50" s="443"/>
      <c r="BP50" s="443"/>
      <c r="BQ50" s="443"/>
      <c r="BR50" s="443"/>
      <c r="BS50" s="443"/>
      <c r="BT50" s="443"/>
      <c r="BU50" s="443"/>
      <c r="BV50" s="339"/>
      <c r="BW50" s="339"/>
      <c r="BX50" s="339"/>
      <c r="BY50" s="339"/>
      <c r="BZ50" s="339"/>
      <c r="CA50" s="339"/>
    </row>
    <row r="51" spans="1:79" s="117" customFormat="1" ht="7.4" customHeight="1" x14ac:dyDescent="0.5">
      <c r="A51" s="113"/>
      <c r="B51" s="281"/>
      <c r="C51" s="281"/>
      <c r="D51" s="115"/>
      <c r="E51" s="113"/>
      <c r="Q51" s="115"/>
      <c r="R51" s="113"/>
      <c r="S51" s="116" t="str">
        <f>IF(AL49&gt;0,VLOOKUP(F49,PL!$B$9:$BH$858,33,FALSE),"")</f>
        <v/>
      </c>
      <c r="AJ51" s="115"/>
      <c r="AK51" s="113"/>
      <c r="AL51" s="183"/>
      <c r="AM51" s="183"/>
      <c r="AN51" s="183"/>
      <c r="AO51" s="183"/>
      <c r="AP51" s="183"/>
      <c r="AQ51" s="115"/>
      <c r="AS51" s="280"/>
      <c r="AT51" s="280"/>
      <c r="AU51" s="280"/>
      <c r="AV51" s="280"/>
      <c r="AW51" s="280"/>
      <c r="AX51" s="280"/>
      <c r="BA51" s="280"/>
      <c r="BB51" s="280"/>
      <c r="BC51" s="280"/>
      <c r="BD51" s="280"/>
      <c r="BE51" s="280"/>
      <c r="BF51" s="280"/>
      <c r="BG51" s="280"/>
      <c r="BH51" s="280"/>
      <c r="BI51" s="125"/>
    </row>
    <row r="52" spans="1:79" ht="7.4" customHeight="1" x14ac:dyDescent="0.5">
      <c r="A52" s="42"/>
      <c r="B52" s="45"/>
      <c r="C52" s="45"/>
      <c r="D52" s="41"/>
      <c r="E52" s="42"/>
      <c r="Q52" s="41"/>
      <c r="R52" s="42"/>
      <c r="S52" s="49"/>
      <c r="AJ52" s="41"/>
      <c r="AK52" s="42"/>
      <c r="AL52" s="127"/>
      <c r="AM52" s="127"/>
      <c r="AN52" s="127"/>
      <c r="AO52" s="127"/>
      <c r="AP52" s="127"/>
      <c r="AQ52" s="41"/>
      <c r="AS52" s="280"/>
      <c r="AT52" s="280"/>
      <c r="AU52" s="280"/>
      <c r="AV52" s="280"/>
      <c r="AW52" s="280"/>
      <c r="AX52" s="280"/>
      <c r="BA52" s="280"/>
      <c r="BB52" s="280"/>
      <c r="BC52" s="280"/>
      <c r="BD52" s="280"/>
      <c r="BE52" s="280"/>
      <c r="BF52" s="280"/>
      <c r="BG52" s="280"/>
      <c r="BH52" s="280"/>
      <c r="BI52" s="41"/>
    </row>
    <row r="53" spans="1:79" ht="7.4" customHeight="1" x14ac:dyDescent="0.5">
      <c r="A53" s="42"/>
      <c r="B53" s="311">
        <f>B49+1</f>
        <v>8</v>
      </c>
      <c r="C53" s="311"/>
      <c r="D53" s="41"/>
      <c r="E53" s="42"/>
      <c r="F53" s="543"/>
      <c r="G53" s="543"/>
      <c r="H53" s="543"/>
      <c r="I53" s="543"/>
      <c r="J53" s="543"/>
      <c r="K53" s="543"/>
      <c r="L53" s="543"/>
      <c r="M53" s="543"/>
      <c r="N53" s="543"/>
      <c r="O53" s="543"/>
      <c r="P53" s="543"/>
      <c r="Q53" s="544"/>
      <c r="R53" s="42"/>
      <c r="S53" s="316" t="e">
        <f>VLOOKUP(F53,PL!$B$9:$BH$858,14,FALSE)</f>
        <v>#N/A</v>
      </c>
      <c r="T53" s="316"/>
      <c r="U53" s="316"/>
      <c r="V53" s="316"/>
      <c r="W53" s="316"/>
      <c r="X53" s="316"/>
      <c r="Y53" s="316"/>
      <c r="Z53" s="316"/>
      <c r="AA53" s="316"/>
      <c r="AB53" s="316"/>
      <c r="AC53" s="316"/>
      <c r="AD53" s="316"/>
      <c r="AE53" s="316"/>
      <c r="AF53" s="316"/>
      <c r="AG53" s="316"/>
      <c r="AH53" s="316"/>
      <c r="AI53" s="316"/>
      <c r="AJ53" s="317"/>
      <c r="AK53" s="42"/>
      <c r="AL53" s="318"/>
      <c r="AM53" s="318"/>
      <c r="AN53" s="318"/>
      <c r="AO53" s="318"/>
      <c r="AP53" s="318"/>
      <c r="AQ53" s="41"/>
      <c r="AR53" s="111"/>
      <c r="AS53" s="542" t="e">
        <f>VLOOKUP(F53,PL!$B$9:$BH$813,52,FALSE)</f>
        <v>#N/A</v>
      </c>
      <c r="AT53" s="542"/>
      <c r="AU53" s="542"/>
      <c r="AV53" s="542"/>
      <c r="AW53" s="542"/>
      <c r="AX53" s="542"/>
      <c r="AY53" s="542"/>
      <c r="AZ53" s="542"/>
      <c r="BA53" s="542"/>
      <c r="BB53" s="542"/>
      <c r="BC53" s="542"/>
      <c r="BD53" s="542"/>
      <c r="BE53" s="542"/>
      <c r="BF53" s="542"/>
      <c r="BG53" s="542"/>
      <c r="BH53" s="542"/>
      <c r="BI53" s="124"/>
    </row>
    <row r="54" spans="1:79" ht="7.4" customHeight="1" x14ac:dyDescent="0.5">
      <c r="A54" s="42"/>
      <c r="B54" s="311"/>
      <c r="C54" s="311"/>
      <c r="D54" s="41"/>
      <c r="E54" s="42"/>
      <c r="F54" s="543"/>
      <c r="G54" s="543"/>
      <c r="H54" s="543"/>
      <c r="I54" s="543"/>
      <c r="J54" s="543"/>
      <c r="K54" s="543"/>
      <c r="L54" s="543"/>
      <c r="M54" s="543"/>
      <c r="N54" s="543"/>
      <c r="O54" s="543"/>
      <c r="P54" s="543"/>
      <c r="Q54" s="544"/>
      <c r="R54" s="42"/>
      <c r="S54" s="316"/>
      <c r="T54" s="316"/>
      <c r="U54" s="316"/>
      <c r="V54" s="316"/>
      <c r="W54" s="316"/>
      <c r="X54" s="316"/>
      <c r="Y54" s="316"/>
      <c r="Z54" s="316"/>
      <c r="AA54" s="316"/>
      <c r="AB54" s="316"/>
      <c r="AC54" s="316"/>
      <c r="AD54" s="316"/>
      <c r="AE54" s="316"/>
      <c r="AF54" s="316"/>
      <c r="AG54" s="316"/>
      <c r="AH54" s="316"/>
      <c r="AI54" s="316"/>
      <c r="AJ54" s="317"/>
      <c r="AK54" s="42"/>
      <c r="AL54" s="318"/>
      <c r="AM54" s="318"/>
      <c r="AN54" s="318"/>
      <c r="AO54" s="318"/>
      <c r="AP54" s="318"/>
      <c r="AQ54" s="41"/>
      <c r="AR54" s="111"/>
      <c r="AS54" s="542"/>
      <c r="AT54" s="542"/>
      <c r="AU54" s="542"/>
      <c r="AV54" s="542"/>
      <c r="AW54" s="542"/>
      <c r="AX54" s="542"/>
      <c r="AY54" s="542"/>
      <c r="AZ54" s="542"/>
      <c r="BA54" s="542"/>
      <c r="BB54" s="542"/>
      <c r="BC54" s="542"/>
      <c r="BD54" s="542"/>
      <c r="BE54" s="542"/>
      <c r="BF54" s="542"/>
      <c r="BG54" s="542"/>
      <c r="BH54" s="542"/>
      <c r="BI54" s="124"/>
    </row>
    <row r="55" spans="1:79" s="117" customFormat="1" ht="7.4" customHeight="1" x14ac:dyDescent="0.5">
      <c r="A55" s="113"/>
      <c r="B55" s="114"/>
      <c r="C55" s="114"/>
      <c r="D55" s="115"/>
      <c r="E55" s="113"/>
      <c r="Q55" s="115"/>
      <c r="R55" s="113"/>
      <c r="S55" s="116" t="str">
        <f>IF(AL53&gt;0,VLOOKUP(F53,PL!$B$9:$BH$858,33,FALSE),"")</f>
        <v/>
      </c>
      <c r="AJ55" s="115"/>
      <c r="AK55" s="113"/>
      <c r="AL55" s="183"/>
      <c r="AM55" s="183"/>
      <c r="AN55" s="183"/>
      <c r="AO55" s="183"/>
      <c r="AP55" s="183"/>
      <c r="AQ55" s="115"/>
      <c r="AS55" s="280"/>
      <c r="AT55" s="280"/>
      <c r="AU55" s="280"/>
      <c r="AV55" s="280"/>
      <c r="AW55" s="280"/>
      <c r="AX55" s="280"/>
      <c r="BA55" s="280"/>
      <c r="BB55" s="280"/>
      <c r="BC55" s="280"/>
      <c r="BD55" s="280"/>
      <c r="BE55" s="280"/>
      <c r="BF55" s="280"/>
      <c r="BG55" s="280"/>
      <c r="BH55" s="280"/>
      <c r="BI55" s="125"/>
    </row>
    <row r="56" spans="1:79" ht="7.4" customHeight="1" x14ac:dyDescent="0.5">
      <c r="A56" s="42"/>
      <c r="D56" s="41"/>
      <c r="E56" s="42"/>
      <c r="Q56" s="41"/>
      <c r="R56" s="42"/>
      <c r="S56" s="49"/>
      <c r="AJ56" s="41"/>
      <c r="AK56" s="42"/>
      <c r="AL56" s="127"/>
      <c r="AM56" s="127"/>
      <c r="AN56" s="127"/>
      <c r="AO56" s="127"/>
      <c r="AP56" s="127"/>
      <c r="AQ56" s="41"/>
      <c r="AS56" s="280"/>
      <c r="AT56" s="280"/>
      <c r="AU56" s="280"/>
      <c r="AV56" s="280"/>
      <c r="AW56" s="280"/>
      <c r="AX56" s="280"/>
      <c r="BA56" s="280"/>
      <c r="BB56" s="280"/>
      <c r="BC56" s="280"/>
      <c r="BD56" s="280"/>
      <c r="BE56" s="280"/>
      <c r="BF56" s="280"/>
      <c r="BG56" s="280"/>
      <c r="BH56" s="280"/>
      <c r="BI56" s="41"/>
    </row>
    <row r="57" spans="1:79" ht="7.4" customHeight="1" x14ac:dyDescent="0.5">
      <c r="A57" s="42"/>
      <c r="B57" s="311">
        <f>B53+1</f>
        <v>9</v>
      </c>
      <c r="C57" s="311"/>
      <c r="D57" s="41"/>
      <c r="E57" s="42"/>
      <c r="F57" s="543"/>
      <c r="G57" s="543"/>
      <c r="H57" s="543"/>
      <c r="I57" s="543"/>
      <c r="J57" s="543"/>
      <c r="K57" s="543"/>
      <c r="L57" s="543"/>
      <c r="M57" s="543"/>
      <c r="N57" s="543"/>
      <c r="O57" s="543"/>
      <c r="P57" s="543"/>
      <c r="Q57" s="544"/>
      <c r="R57" s="42"/>
      <c r="S57" s="316" t="e">
        <f>VLOOKUP(F57,PL!$B$9:$BH$858,14,FALSE)</f>
        <v>#N/A</v>
      </c>
      <c r="T57" s="316"/>
      <c r="U57" s="316"/>
      <c r="V57" s="316"/>
      <c r="W57" s="316"/>
      <c r="X57" s="316"/>
      <c r="Y57" s="316"/>
      <c r="Z57" s="316"/>
      <c r="AA57" s="316"/>
      <c r="AB57" s="316"/>
      <c r="AC57" s="316"/>
      <c r="AD57" s="316"/>
      <c r="AE57" s="316"/>
      <c r="AF57" s="316"/>
      <c r="AG57" s="316"/>
      <c r="AH57" s="316"/>
      <c r="AI57" s="316"/>
      <c r="AJ57" s="317"/>
      <c r="AK57" s="42"/>
      <c r="AL57" s="318"/>
      <c r="AM57" s="318"/>
      <c r="AN57" s="318"/>
      <c r="AO57" s="318"/>
      <c r="AP57" s="318"/>
      <c r="AQ57" s="41"/>
      <c r="AR57" s="111"/>
      <c r="AS57" s="542" t="e">
        <f>VLOOKUP(F57,PL!$B$9:$BH$813,52,FALSE)</f>
        <v>#N/A</v>
      </c>
      <c r="AT57" s="542"/>
      <c r="AU57" s="542"/>
      <c r="AV57" s="542"/>
      <c r="AW57" s="542"/>
      <c r="AX57" s="542"/>
      <c r="AY57" s="542"/>
      <c r="AZ57" s="542"/>
      <c r="BA57" s="542"/>
      <c r="BB57" s="542"/>
      <c r="BC57" s="542"/>
      <c r="BD57" s="542"/>
      <c r="BE57" s="542"/>
      <c r="BF57" s="542"/>
      <c r="BG57" s="542"/>
      <c r="BH57" s="542"/>
      <c r="BI57" s="124"/>
    </row>
    <row r="58" spans="1:79" ht="7.4" customHeight="1" x14ac:dyDescent="0.5">
      <c r="A58" s="42"/>
      <c r="B58" s="311"/>
      <c r="C58" s="311"/>
      <c r="D58" s="41"/>
      <c r="E58" s="42"/>
      <c r="F58" s="543"/>
      <c r="G58" s="543"/>
      <c r="H58" s="543"/>
      <c r="I58" s="543"/>
      <c r="J58" s="543"/>
      <c r="K58" s="543"/>
      <c r="L58" s="543"/>
      <c r="M58" s="543"/>
      <c r="N58" s="543"/>
      <c r="O58" s="543"/>
      <c r="P58" s="543"/>
      <c r="Q58" s="544"/>
      <c r="R58" s="42"/>
      <c r="S58" s="316"/>
      <c r="T58" s="316"/>
      <c r="U58" s="316"/>
      <c r="V58" s="316"/>
      <c r="W58" s="316"/>
      <c r="X58" s="316"/>
      <c r="Y58" s="316"/>
      <c r="Z58" s="316"/>
      <c r="AA58" s="316"/>
      <c r="AB58" s="316"/>
      <c r="AC58" s="316"/>
      <c r="AD58" s="316"/>
      <c r="AE58" s="316"/>
      <c r="AF58" s="316"/>
      <c r="AG58" s="316"/>
      <c r="AH58" s="316"/>
      <c r="AI58" s="316"/>
      <c r="AJ58" s="317"/>
      <c r="AK58" s="42"/>
      <c r="AL58" s="318"/>
      <c r="AM58" s="318"/>
      <c r="AN58" s="318"/>
      <c r="AO58" s="318"/>
      <c r="AP58" s="318"/>
      <c r="AQ58" s="41"/>
      <c r="AR58" s="111"/>
      <c r="AS58" s="542"/>
      <c r="AT58" s="542"/>
      <c r="AU58" s="542"/>
      <c r="AV58" s="542"/>
      <c r="AW58" s="542"/>
      <c r="AX58" s="542"/>
      <c r="AY58" s="542"/>
      <c r="AZ58" s="542"/>
      <c r="BA58" s="542"/>
      <c r="BB58" s="542"/>
      <c r="BC58" s="542"/>
      <c r="BD58" s="542"/>
      <c r="BE58" s="542"/>
      <c r="BF58" s="542"/>
      <c r="BG58" s="542"/>
      <c r="BH58" s="542"/>
      <c r="BI58" s="124"/>
    </row>
    <row r="59" spans="1:79" s="117" customFormat="1" ht="7.4" customHeight="1" x14ac:dyDescent="0.5">
      <c r="A59" s="113"/>
      <c r="B59" s="281"/>
      <c r="C59" s="281"/>
      <c r="D59" s="115"/>
      <c r="E59" s="113"/>
      <c r="Q59" s="115"/>
      <c r="R59" s="113"/>
      <c r="S59" s="116" t="str">
        <f>IF(AL57&gt;0,VLOOKUP(F57,PL!$B$9:$BH$858,33,FALSE),"")</f>
        <v/>
      </c>
      <c r="AJ59" s="115"/>
      <c r="AK59" s="113"/>
      <c r="AL59" s="183"/>
      <c r="AM59" s="183"/>
      <c r="AN59" s="183"/>
      <c r="AO59" s="183"/>
      <c r="AP59" s="183"/>
      <c r="AQ59" s="115"/>
      <c r="AS59" s="280"/>
      <c r="AT59" s="280"/>
      <c r="AU59" s="280"/>
      <c r="AV59" s="280"/>
      <c r="AW59" s="280"/>
      <c r="AX59" s="280"/>
      <c r="BA59" s="280"/>
      <c r="BB59" s="280"/>
      <c r="BC59" s="280"/>
      <c r="BD59" s="280"/>
      <c r="BE59" s="280"/>
      <c r="BF59" s="280"/>
      <c r="BG59" s="280"/>
      <c r="BH59" s="280"/>
      <c r="BI59" s="125"/>
    </row>
    <row r="60" spans="1:79" ht="7.4" customHeight="1" x14ac:dyDescent="0.5">
      <c r="A60" s="42"/>
      <c r="B60" s="45"/>
      <c r="C60" s="45"/>
      <c r="D60" s="41"/>
      <c r="E60" s="42"/>
      <c r="Q60" s="41"/>
      <c r="R60" s="42"/>
      <c r="S60" s="49"/>
      <c r="AJ60" s="41"/>
      <c r="AK60" s="42"/>
      <c r="AL60" s="127"/>
      <c r="AM60" s="127"/>
      <c r="AN60" s="127"/>
      <c r="AO60" s="127"/>
      <c r="AP60" s="127"/>
      <c r="AQ60" s="41"/>
      <c r="AS60" s="280"/>
      <c r="AT60" s="280"/>
      <c r="AU60" s="280"/>
      <c r="AV60" s="280"/>
      <c r="AW60" s="280"/>
      <c r="AX60" s="280"/>
      <c r="BA60" s="280"/>
      <c r="BB60" s="280"/>
      <c r="BC60" s="280"/>
      <c r="BD60" s="280"/>
      <c r="BE60" s="280"/>
      <c r="BF60" s="280"/>
      <c r="BG60" s="280"/>
      <c r="BH60" s="280"/>
      <c r="BI60" s="41"/>
    </row>
    <row r="61" spans="1:79" ht="7.4" customHeight="1" x14ac:dyDescent="0.5">
      <c r="A61" s="42"/>
      <c r="B61" s="311">
        <f>B57+1</f>
        <v>10</v>
      </c>
      <c r="C61" s="311"/>
      <c r="D61" s="41"/>
      <c r="E61" s="42"/>
      <c r="F61" s="543"/>
      <c r="G61" s="543"/>
      <c r="H61" s="543"/>
      <c r="I61" s="543"/>
      <c r="J61" s="543"/>
      <c r="K61" s="543"/>
      <c r="L61" s="543"/>
      <c r="M61" s="543"/>
      <c r="N61" s="543"/>
      <c r="O61" s="543"/>
      <c r="P61" s="543"/>
      <c r="Q61" s="544"/>
      <c r="R61" s="42"/>
      <c r="S61" s="316" t="e">
        <f>VLOOKUP(F61,PL!$B$9:$BH$858,14,FALSE)</f>
        <v>#N/A</v>
      </c>
      <c r="T61" s="316"/>
      <c r="U61" s="316"/>
      <c r="V61" s="316"/>
      <c r="W61" s="316"/>
      <c r="X61" s="316"/>
      <c r="Y61" s="316"/>
      <c r="Z61" s="316"/>
      <c r="AA61" s="316"/>
      <c r="AB61" s="316"/>
      <c r="AC61" s="316"/>
      <c r="AD61" s="316"/>
      <c r="AE61" s="316"/>
      <c r="AF61" s="316"/>
      <c r="AG61" s="316"/>
      <c r="AH61" s="316"/>
      <c r="AI61" s="316"/>
      <c r="AJ61" s="317"/>
      <c r="AK61" s="42"/>
      <c r="AL61" s="318"/>
      <c r="AM61" s="318"/>
      <c r="AN61" s="318"/>
      <c r="AO61" s="318"/>
      <c r="AP61" s="318"/>
      <c r="AQ61" s="41"/>
      <c r="AR61" s="111"/>
      <c r="AS61" s="542" t="e">
        <f>VLOOKUP(F61,PL!$B$9:$BH$813,52,FALSE)</f>
        <v>#N/A</v>
      </c>
      <c r="AT61" s="542"/>
      <c r="AU61" s="542"/>
      <c r="AV61" s="542"/>
      <c r="AW61" s="542"/>
      <c r="AX61" s="542"/>
      <c r="AY61" s="542"/>
      <c r="AZ61" s="542"/>
      <c r="BA61" s="542"/>
      <c r="BB61" s="542"/>
      <c r="BC61" s="542"/>
      <c r="BD61" s="542"/>
      <c r="BE61" s="542"/>
      <c r="BF61" s="542"/>
      <c r="BG61" s="542"/>
      <c r="BH61" s="542"/>
      <c r="BI61" s="124"/>
    </row>
    <row r="62" spans="1:79" ht="7.4" customHeight="1" x14ac:dyDescent="0.5">
      <c r="A62" s="42"/>
      <c r="B62" s="311"/>
      <c r="C62" s="311"/>
      <c r="D62" s="41"/>
      <c r="E62" s="42"/>
      <c r="F62" s="543"/>
      <c r="G62" s="543"/>
      <c r="H62" s="543"/>
      <c r="I62" s="543"/>
      <c r="J62" s="543"/>
      <c r="K62" s="543"/>
      <c r="L62" s="543"/>
      <c r="M62" s="543"/>
      <c r="N62" s="543"/>
      <c r="O62" s="543"/>
      <c r="P62" s="543"/>
      <c r="Q62" s="544"/>
      <c r="R62" s="42"/>
      <c r="S62" s="316"/>
      <c r="T62" s="316"/>
      <c r="U62" s="316"/>
      <c r="V62" s="316"/>
      <c r="W62" s="316"/>
      <c r="X62" s="316"/>
      <c r="Y62" s="316"/>
      <c r="Z62" s="316"/>
      <c r="AA62" s="316"/>
      <c r="AB62" s="316"/>
      <c r="AC62" s="316"/>
      <c r="AD62" s="316"/>
      <c r="AE62" s="316"/>
      <c r="AF62" s="316"/>
      <c r="AG62" s="316"/>
      <c r="AH62" s="316"/>
      <c r="AI62" s="316"/>
      <c r="AJ62" s="317"/>
      <c r="AK62" s="42"/>
      <c r="AL62" s="318"/>
      <c r="AM62" s="318"/>
      <c r="AN62" s="318"/>
      <c r="AO62" s="318"/>
      <c r="AP62" s="318"/>
      <c r="AQ62" s="41"/>
      <c r="AR62" s="111"/>
      <c r="AS62" s="542"/>
      <c r="AT62" s="542"/>
      <c r="AU62" s="542"/>
      <c r="AV62" s="542"/>
      <c r="AW62" s="542"/>
      <c r="AX62" s="542"/>
      <c r="AY62" s="542"/>
      <c r="AZ62" s="542"/>
      <c r="BA62" s="542"/>
      <c r="BB62" s="542"/>
      <c r="BC62" s="542"/>
      <c r="BD62" s="542"/>
      <c r="BE62" s="542"/>
      <c r="BF62" s="542"/>
      <c r="BG62" s="542"/>
      <c r="BH62" s="542"/>
      <c r="BI62" s="124"/>
    </row>
    <row r="63" spans="1:79" s="117" customFormat="1" ht="7.4" customHeight="1" x14ac:dyDescent="0.5">
      <c r="A63" s="113"/>
      <c r="B63" s="114"/>
      <c r="C63" s="114"/>
      <c r="D63" s="115"/>
      <c r="E63" s="113"/>
      <c r="Q63" s="115"/>
      <c r="R63" s="113"/>
      <c r="S63" s="116" t="str">
        <f>IF(AL61&gt;0,VLOOKUP(F61,PL!$B$9:$BH$858,33,FALSE),"")</f>
        <v/>
      </c>
      <c r="AJ63" s="115"/>
      <c r="AK63" s="113"/>
      <c r="AL63" s="183"/>
      <c r="AM63" s="183"/>
      <c r="AN63" s="183"/>
      <c r="AO63" s="183"/>
      <c r="AP63" s="183"/>
      <c r="AQ63" s="115"/>
      <c r="AS63" s="280"/>
      <c r="AT63" s="280"/>
      <c r="AU63" s="280"/>
      <c r="AV63" s="280"/>
      <c r="AW63" s="280"/>
      <c r="AX63" s="280"/>
      <c r="BA63" s="280"/>
      <c r="BB63" s="280"/>
      <c r="BC63" s="280"/>
      <c r="BD63" s="280"/>
      <c r="BE63" s="280"/>
      <c r="BF63" s="280"/>
      <c r="BG63" s="280"/>
      <c r="BH63" s="280"/>
      <c r="BI63" s="125"/>
    </row>
    <row r="64" spans="1:79" ht="7.4" customHeight="1" x14ac:dyDescent="0.5">
      <c r="A64" s="42"/>
      <c r="D64" s="41"/>
      <c r="E64" s="42"/>
      <c r="Q64" s="41"/>
      <c r="R64" s="42"/>
      <c r="S64" s="49"/>
      <c r="AJ64" s="41"/>
      <c r="AK64" s="42"/>
      <c r="AL64" s="127"/>
      <c r="AM64" s="127"/>
      <c r="AN64" s="127"/>
      <c r="AO64" s="127"/>
      <c r="AP64" s="127"/>
      <c r="AQ64" s="41"/>
      <c r="AS64" s="280"/>
      <c r="AT64" s="280"/>
      <c r="AU64" s="280"/>
      <c r="AV64" s="280"/>
      <c r="AW64" s="280"/>
      <c r="AX64" s="280"/>
      <c r="BA64" s="280"/>
      <c r="BB64" s="280"/>
      <c r="BC64" s="280"/>
      <c r="BD64" s="280"/>
      <c r="BE64" s="280"/>
      <c r="BF64" s="280"/>
      <c r="BG64" s="280"/>
      <c r="BH64" s="280"/>
      <c r="BI64" s="41"/>
    </row>
    <row r="65" spans="1:61" ht="7.4" customHeight="1" x14ac:dyDescent="0.5">
      <c r="A65" s="42"/>
      <c r="B65" s="311">
        <f>B61+1</f>
        <v>11</v>
      </c>
      <c r="C65" s="311"/>
      <c r="D65" s="41"/>
      <c r="E65" s="42"/>
      <c r="F65" s="543"/>
      <c r="G65" s="543"/>
      <c r="H65" s="543"/>
      <c r="I65" s="543"/>
      <c r="J65" s="543"/>
      <c r="K65" s="543"/>
      <c r="L65" s="543"/>
      <c r="M65" s="543"/>
      <c r="N65" s="543"/>
      <c r="O65" s="543"/>
      <c r="P65" s="543"/>
      <c r="Q65" s="544"/>
      <c r="R65" s="42"/>
      <c r="S65" s="316" t="e">
        <f>VLOOKUP(F65,PL!$B$9:$BH$858,14,FALSE)</f>
        <v>#N/A</v>
      </c>
      <c r="T65" s="316"/>
      <c r="U65" s="316"/>
      <c r="V65" s="316"/>
      <c r="W65" s="316"/>
      <c r="X65" s="316"/>
      <c r="Y65" s="316"/>
      <c r="Z65" s="316"/>
      <c r="AA65" s="316"/>
      <c r="AB65" s="316"/>
      <c r="AC65" s="316"/>
      <c r="AD65" s="316"/>
      <c r="AE65" s="316"/>
      <c r="AF65" s="316"/>
      <c r="AG65" s="316"/>
      <c r="AH65" s="316"/>
      <c r="AI65" s="316"/>
      <c r="AJ65" s="317"/>
      <c r="AK65" s="42"/>
      <c r="AL65" s="318"/>
      <c r="AM65" s="318"/>
      <c r="AN65" s="318"/>
      <c r="AO65" s="318"/>
      <c r="AP65" s="318"/>
      <c r="AQ65" s="41"/>
      <c r="AR65" s="111"/>
      <c r="AS65" s="542" t="e">
        <f>VLOOKUP(F65,PL!$B$9:$BH$813,52,FALSE)</f>
        <v>#N/A</v>
      </c>
      <c r="AT65" s="542"/>
      <c r="AU65" s="542"/>
      <c r="AV65" s="542"/>
      <c r="AW65" s="542"/>
      <c r="AX65" s="542"/>
      <c r="AY65" s="542"/>
      <c r="AZ65" s="542"/>
      <c r="BA65" s="542"/>
      <c r="BB65" s="542"/>
      <c r="BC65" s="542"/>
      <c r="BD65" s="542"/>
      <c r="BE65" s="542"/>
      <c r="BF65" s="542"/>
      <c r="BG65" s="542"/>
      <c r="BH65" s="542"/>
      <c r="BI65" s="124"/>
    </row>
    <row r="66" spans="1:61" ht="7.4" customHeight="1" x14ac:dyDescent="0.5">
      <c r="A66" s="42"/>
      <c r="B66" s="311"/>
      <c r="C66" s="311"/>
      <c r="D66" s="41"/>
      <c r="E66" s="42"/>
      <c r="F66" s="543"/>
      <c r="G66" s="543"/>
      <c r="H66" s="543"/>
      <c r="I66" s="543"/>
      <c r="J66" s="543"/>
      <c r="K66" s="543"/>
      <c r="L66" s="543"/>
      <c r="M66" s="543"/>
      <c r="N66" s="543"/>
      <c r="O66" s="543"/>
      <c r="P66" s="543"/>
      <c r="Q66" s="544"/>
      <c r="R66" s="42"/>
      <c r="S66" s="316"/>
      <c r="T66" s="316"/>
      <c r="U66" s="316"/>
      <c r="V66" s="316"/>
      <c r="W66" s="316"/>
      <c r="X66" s="316"/>
      <c r="Y66" s="316"/>
      <c r="Z66" s="316"/>
      <c r="AA66" s="316"/>
      <c r="AB66" s="316"/>
      <c r="AC66" s="316"/>
      <c r="AD66" s="316"/>
      <c r="AE66" s="316"/>
      <c r="AF66" s="316"/>
      <c r="AG66" s="316"/>
      <c r="AH66" s="316"/>
      <c r="AI66" s="316"/>
      <c r="AJ66" s="317"/>
      <c r="AK66" s="42"/>
      <c r="AL66" s="318"/>
      <c r="AM66" s="318"/>
      <c r="AN66" s="318"/>
      <c r="AO66" s="318"/>
      <c r="AP66" s="318"/>
      <c r="AQ66" s="41"/>
      <c r="AR66" s="111"/>
      <c r="AS66" s="542"/>
      <c r="AT66" s="542"/>
      <c r="AU66" s="542"/>
      <c r="AV66" s="542"/>
      <c r="AW66" s="542"/>
      <c r="AX66" s="542"/>
      <c r="AY66" s="542"/>
      <c r="AZ66" s="542"/>
      <c r="BA66" s="542"/>
      <c r="BB66" s="542"/>
      <c r="BC66" s="542"/>
      <c r="BD66" s="542"/>
      <c r="BE66" s="542"/>
      <c r="BF66" s="542"/>
      <c r="BG66" s="542"/>
      <c r="BH66" s="542"/>
      <c r="BI66" s="124"/>
    </row>
    <row r="67" spans="1:61" s="117" customFormat="1" ht="7.4" customHeight="1" x14ac:dyDescent="0.5">
      <c r="A67" s="113"/>
      <c r="B67" s="281"/>
      <c r="C67" s="281"/>
      <c r="D67" s="115"/>
      <c r="E67" s="113"/>
      <c r="Q67" s="115"/>
      <c r="R67" s="113"/>
      <c r="S67" s="116" t="str">
        <f>IF(AL65&gt;0,VLOOKUP(F65,PL!$B$9:$BH$858,33,FALSE),"")</f>
        <v/>
      </c>
      <c r="AJ67" s="115"/>
      <c r="AK67" s="113"/>
      <c r="AL67" s="183"/>
      <c r="AM67" s="183"/>
      <c r="AN67" s="183"/>
      <c r="AO67" s="183"/>
      <c r="AP67" s="183"/>
      <c r="AQ67" s="115"/>
      <c r="AS67" s="280"/>
      <c r="AT67" s="280"/>
      <c r="AU67" s="280"/>
      <c r="AV67" s="280"/>
      <c r="AW67" s="280"/>
      <c r="AX67" s="280"/>
      <c r="BA67" s="280"/>
      <c r="BB67" s="280"/>
      <c r="BC67" s="280"/>
      <c r="BD67" s="280"/>
      <c r="BE67" s="280"/>
      <c r="BF67" s="280"/>
      <c r="BG67" s="280"/>
      <c r="BH67" s="280"/>
      <c r="BI67" s="125"/>
    </row>
    <row r="68" spans="1:61" ht="7.4" customHeight="1" x14ac:dyDescent="0.5">
      <c r="A68" s="42"/>
      <c r="B68" s="45"/>
      <c r="C68" s="45"/>
      <c r="D68" s="41"/>
      <c r="E68" s="42"/>
      <c r="Q68" s="41"/>
      <c r="R68" s="42"/>
      <c r="S68" s="49"/>
      <c r="AJ68" s="41"/>
      <c r="AK68" s="42"/>
      <c r="AL68" s="127"/>
      <c r="AM68" s="127"/>
      <c r="AN68" s="127"/>
      <c r="AO68" s="127"/>
      <c r="AP68" s="127"/>
      <c r="AQ68" s="41"/>
      <c r="AS68" s="280"/>
      <c r="AT68" s="280"/>
      <c r="AU68" s="280"/>
      <c r="AV68" s="280"/>
      <c r="AW68" s="280"/>
      <c r="AX68" s="280"/>
      <c r="BA68" s="280"/>
      <c r="BB68" s="280"/>
      <c r="BC68" s="280"/>
      <c r="BD68" s="280"/>
      <c r="BE68" s="280"/>
      <c r="BF68" s="280"/>
      <c r="BG68" s="280"/>
      <c r="BH68" s="280"/>
      <c r="BI68" s="41"/>
    </row>
    <row r="69" spans="1:61" ht="7.4" customHeight="1" x14ac:dyDescent="0.5">
      <c r="A69" s="42"/>
      <c r="B69" s="311">
        <f>B65+1</f>
        <v>12</v>
      </c>
      <c r="C69" s="311"/>
      <c r="D69" s="41"/>
      <c r="E69" s="42"/>
      <c r="F69" s="543"/>
      <c r="G69" s="543"/>
      <c r="H69" s="543"/>
      <c r="I69" s="543"/>
      <c r="J69" s="543"/>
      <c r="K69" s="543"/>
      <c r="L69" s="543"/>
      <c r="M69" s="543"/>
      <c r="N69" s="543"/>
      <c r="O69" s="543"/>
      <c r="P69" s="543"/>
      <c r="Q69" s="544"/>
      <c r="R69" s="42"/>
      <c r="S69" s="316" t="e">
        <f>VLOOKUP(F69,PL!$B$9:$BH$858,14,FALSE)</f>
        <v>#N/A</v>
      </c>
      <c r="T69" s="316"/>
      <c r="U69" s="316"/>
      <c r="V69" s="316"/>
      <c r="W69" s="316"/>
      <c r="X69" s="316"/>
      <c r="Y69" s="316"/>
      <c r="Z69" s="316"/>
      <c r="AA69" s="316"/>
      <c r="AB69" s="316"/>
      <c r="AC69" s="316"/>
      <c r="AD69" s="316"/>
      <c r="AE69" s="316"/>
      <c r="AF69" s="316"/>
      <c r="AG69" s="316"/>
      <c r="AH69" s="316"/>
      <c r="AI69" s="316"/>
      <c r="AJ69" s="317"/>
      <c r="AK69" s="42"/>
      <c r="AL69" s="318"/>
      <c r="AM69" s="318"/>
      <c r="AN69" s="318"/>
      <c r="AO69" s="318"/>
      <c r="AP69" s="318"/>
      <c r="AQ69" s="41"/>
      <c r="AR69" s="111"/>
      <c r="AS69" s="542" t="e">
        <f>VLOOKUP(F69,PL!$B$9:$BH$813,52,FALSE)</f>
        <v>#N/A</v>
      </c>
      <c r="AT69" s="542"/>
      <c r="AU69" s="542"/>
      <c r="AV69" s="542"/>
      <c r="AW69" s="542"/>
      <c r="AX69" s="542"/>
      <c r="AY69" s="542"/>
      <c r="AZ69" s="542"/>
      <c r="BA69" s="542"/>
      <c r="BB69" s="542"/>
      <c r="BC69" s="542"/>
      <c r="BD69" s="542"/>
      <c r="BE69" s="542"/>
      <c r="BF69" s="542"/>
      <c r="BG69" s="542"/>
      <c r="BH69" s="542"/>
      <c r="BI69" s="124"/>
    </row>
    <row r="70" spans="1:61" ht="7.4" customHeight="1" x14ac:dyDescent="0.5">
      <c r="A70" s="42"/>
      <c r="B70" s="311"/>
      <c r="C70" s="311"/>
      <c r="D70" s="41"/>
      <c r="E70" s="42"/>
      <c r="F70" s="543"/>
      <c r="G70" s="543"/>
      <c r="H70" s="543"/>
      <c r="I70" s="543"/>
      <c r="J70" s="543"/>
      <c r="K70" s="543"/>
      <c r="L70" s="543"/>
      <c r="M70" s="543"/>
      <c r="N70" s="543"/>
      <c r="O70" s="543"/>
      <c r="P70" s="543"/>
      <c r="Q70" s="544"/>
      <c r="R70" s="42"/>
      <c r="S70" s="316"/>
      <c r="T70" s="316"/>
      <c r="U70" s="316"/>
      <c r="V70" s="316"/>
      <c r="W70" s="316"/>
      <c r="X70" s="316"/>
      <c r="Y70" s="316"/>
      <c r="Z70" s="316"/>
      <c r="AA70" s="316"/>
      <c r="AB70" s="316"/>
      <c r="AC70" s="316"/>
      <c r="AD70" s="316"/>
      <c r="AE70" s="316"/>
      <c r="AF70" s="316"/>
      <c r="AG70" s="316"/>
      <c r="AH70" s="316"/>
      <c r="AI70" s="316"/>
      <c r="AJ70" s="317"/>
      <c r="AK70" s="42"/>
      <c r="AL70" s="318"/>
      <c r="AM70" s="318"/>
      <c r="AN70" s="318"/>
      <c r="AO70" s="318"/>
      <c r="AP70" s="318"/>
      <c r="AQ70" s="41"/>
      <c r="AR70" s="111"/>
      <c r="AS70" s="542"/>
      <c r="AT70" s="542"/>
      <c r="AU70" s="542"/>
      <c r="AV70" s="542"/>
      <c r="AW70" s="542"/>
      <c r="AX70" s="542"/>
      <c r="AY70" s="542"/>
      <c r="AZ70" s="542"/>
      <c r="BA70" s="542"/>
      <c r="BB70" s="542"/>
      <c r="BC70" s="542"/>
      <c r="BD70" s="542"/>
      <c r="BE70" s="542"/>
      <c r="BF70" s="542"/>
      <c r="BG70" s="542"/>
      <c r="BH70" s="542"/>
      <c r="BI70" s="124"/>
    </row>
    <row r="71" spans="1:61" s="117" customFormat="1" ht="7.4" customHeight="1" x14ac:dyDescent="0.5">
      <c r="A71" s="113"/>
      <c r="B71" s="114"/>
      <c r="C71" s="114"/>
      <c r="D71" s="115"/>
      <c r="E71" s="113"/>
      <c r="Q71" s="115"/>
      <c r="R71" s="113"/>
      <c r="S71" s="116" t="str">
        <f>IF(AL69&gt;0,VLOOKUP(F69,PL!$B$9:$BH$858,33,FALSE),"")</f>
        <v/>
      </c>
      <c r="AJ71" s="115"/>
      <c r="AK71" s="113"/>
      <c r="AL71" s="183"/>
      <c r="AM71" s="183"/>
      <c r="AN71" s="183"/>
      <c r="AO71" s="183"/>
      <c r="AP71" s="183"/>
      <c r="AQ71" s="115"/>
      <c r="AS71" s="280"/>
      <c r="AT71" s="280"/>
      <c r="AU71" s="280"/>
      <c r="AV71" s="280"/>
      <c r="AW71" s="280"/>
      <c r="AX71" s="280"/>
      <c r="BA71" s="280"/>
      <c r="BB71" s="280"/>
      <c r="BC71" s="280"/>
      <c r="BD71" s="280"/>
      <c r="BE71" s="280"/>
      <c r="BF71" s="280"/>
      <c r="BG71" s="280"/>
      <c r="BH71" s="280"/>
      <c r="BI71" s="125"/>
    </row>
    <row r="72" spans="1:61" ht="7.4" customHeight="1" x14ac:dyDescent="0.5">
      <c r="A72" s="42"/>
      <c r="D72" s="41"/>
      <c r="E72" s="42"/>
      <c r="Q72" s="41"/>
      <c r="R72" s="42"/>
      <c r="S72" s="49"/>
      <c r="AJ72" s="41"/>
      <c r="AK72" s="42"/>
      <c r="AL72" s="127"/>
      <c r="AM72" s="127"/>
      <c r="AN72" s="127"/>
      <c r="AO72" s="127"/>
      <c r="AP72" s="127"/>
      <c r="AQ72" s="41"/>
      <c r="AS72" s="280"/>
      <c r="AT72" s="280"/>
      <c r="AU72" s="280"/>
      <c r="AV72" s="280"/>
      <c r="AW72" s="280"/>
      <c r="AX72" s="280"/>
      <c r="BA72" s="280"/>
      <c r="BB72" s="280"/>
      <c r="BC72" s="280"/>
      <c r="BD72" s="280"/>
      <c r="BE72" s="280"/>
      <c r="BF72" s="280"/>
      <c r="BG72" s="280"/>
      <c r="BH72" s="280"/>
      <c r="BI72" s="41"/>
    </row>
    <row r="73" spans="1:61" ht="7.4" customHeight="1" x14ac:dyDescent="0.5">
      <c r="A73" s="42"/>
      <c r="B73" s="311">
        <f>B69+1</f>
        <v>13</v>
      </c>
      <c r="C73" s="311"/>
      <c r="D73" s="41"/>
      <c r="E73" s="42"/>
      <c r="F73" s="543"/>
      <c r="G73" s="543"/>
      <c r="H73" s="543"/>
      <c r="I73" s="543"/>
      <c r="J73" s="543"/>
      <c r="K73" s="543"/>
      <c r="L73" s="543"/>
      <c r="M73" s="543"/>
      <c r="N73" s="543"/>
      <c r="O73" s="543"/>
      <c r="P73" s="543"/>
      <c r="Q73" s="544"/>
      <c r="R73" s="42"/>
      <c r="S73" s="316" t="e">
        <f>VLOOKUP(F73,PL!$B$9:$BH$858,14,FALSE)</f>
        <v>#N/A</v>
      </c>
      <c r="T73" s="316"/>
      <c r="U73" s="316"/>
      <c r="V73" s="316"/>
      <c r="W73" s="316"/>
      <c r="X73" s="316"/>
      <c r="Y73" s="316"/>
      <c r="Z73" s="316"/>
      <c r="AA73" s="316"/>
      <c r="AB73" s="316"/>
      <c r="AC73" s="316"/>
      <c r="AD73" s="316"/>
      <c r="AE73" s="316"/>
      <c r="AF73" s="316"/>
      <c r="AG73" s="316"/>
      <c r="AH73" s="316"/>
      <c r="AI73" s="316"/>
      <c r="AJ73" s="317"/>
      <c r="AK73" s="42"/>
      <c r="AL73" s="318"/>
      <c r="AM73" s="318"/>
      <c r="AN73" s="318"/>
      <c r="AO73" s="318"/>
      <c r="AP73" s="318"/>
      <c r="AQ73" s="41"/>
      <c r="AR73" s="111"/>
      <c r="AS73" s="542" t="e">
        <f>VLOOKUP(F73,PL!$B$9:$BH$813,52,FALSE)</f>
        <v>#N/A</v>
      </c>
      <c r="AT73" s="542"/>
      <c r="AU73" s="542"/>
      <c r="AV73" s="542"/>
      <c r="AW73" s="542"/>
      <c r="AX73" s="542"/>
      <c r="AY73" s="542"/>
      <c r="AZ73" s="542"/>
      <c r="BA73" s="542"/>
      <c r="BB73" s="542"/>
      <c r="BC73" s="542"/>
      <c r="BD73" s="542"/>
      <c r="BE73" s="542"/>
      <c r="BF73" s="542"/>
      <c r="BG73" s="542"/>
      <c r="BH73" s="542"/>
      <c r="BI73" s="124"/>
    </row>
    <row r="74" spans="1:61" ht="7.4" customHeight="1" x14ac:dyDescent="0.5">
      <c r="A74" s="42"/>
      <c r="B74" s="311"/>
      <c r="C74" s="311"/>
      <c r="D74" s="41"/>
      <c r="E74" s="42"/>
      <c r="F74" s="543"/>
      <c r="G74" s="543"/>
      <c r="H74" s="543"/>
      <c r="I74" s="543"/>
      <c r="J74" s="543"/>
      <c r="K74" s="543"/>
      <c r="L74" s="543"/>
      <c r="M74" s="543"/>
      <c r="N74" s="543"/>
      <c r="O74" s="543"/>
      <c r="P74" s="543"/>
      <c r="Q74" s="544"/>
      <c r="R74" s="42"/>
      <c r="S74" s="316"/>
      <c r="T74" s="316"/>
      <c r="U74" s="316"/>
      <c r="V74" s="316"/>
      <c r="W74" s="316"/>
      <c r="X74" s="316"/>
      <c r="Y74" s="316"/>
      <c r="Z74" s="316"/>
      <c r="AA74" s="316"/>
      <c r="AB74" s="316"/>
      <c r="AC74" s="316"/>
      <c r="AD74" s="316"/>
      <c r="AE74" s="316"/>
      <c r="AF74" s="316"/>
      <c r="AG74" s="316"/>
      <c r="AH74" s="316"/>
      <c r="AI74" s="316"/>
      <c r="AJ74" s="317"/>
      <c r="AK74" s="42"/>
      <c r="AL74" s="318"/>
      <c r="AM74" s="318"/>
      <c r="AN74" s="318"/>
      <c r="AO74" s="318"/>
      <c r="AP74" s="318"/>
      <c r="AQ74" s="41"/>
      <c r="AR74" s="111"/>
      <c r="AS74" s="542"/>
      <c r="AT74" s="542"/>
      <c r="AU74" s="542"/>
      <c r="AV74" s="542"/>
      <c r="AW74" s="542"/>
      <c r="AX74" s="542"/>
      <c r="AY74" s="542"/>
      <c r="AZ74" s="542"/>
      <c r="BA74" s="542"/>
      <c r="BB74" s="542"/>
      <c r="BC74" s="542"/>
      <c r="BD74" s="542"/>
      <c r="BE74" s="542"/>
      <c r="BF74" s="542"/>
      <c r="BG74" s="542"/>
      <c r="BH74" s="542"/>
      <c r="BI74" s="124"/>
    </row>
    <row r="75" spans="1:61" s="117" customFormat="1" ht="7.4" customHeight="1" x14ac:dyDescent="0.5">
      <c r="A75" s="113"/>
      <c r="B75" s="281"/>
      <c r="C75" s="281"/>
      <c r="D75" s="115"/>
      <c r="E75" s="113"/>
      <c r="Q75" s="115"/>
      <c r="R75" s="113"/>
      <c r="S75" s="116" t="str">
        <f>IF(AL73&gt;0,VLOOKUP(F73,PL!$B$9:$BH$858,33,FALSE),"")</f>
        <v/>
      </c>
      <c r="AJ75" s="115"/>
      <c r="AK75" s="113"/>
      <c r="AL75" s="183"/>
      <c r="AM75" s="183"/>
      <c r="AN75" s="183"/>
      <c r="AO75" s="183"/>
      <c r="AP75" s="183"/>
      <c r="AQ75" s="115"/>
      <c r="AS75" s="280"/>
      <c r="AT75" s="280"/>
      <c r="AU75" s="280"/>
      <c r="AV75" s="280"/>
      <c r="AW75" s="280"/>
      <c r="AX75" s="280"/>
      <c r="BA75" s="280"/>
      <c r="BB75" s="280"/>
      <c r="BC75" s="280"/>
      <c r="BD75" s="280"/>
      <c r="BE75" s="280"/>
      <c r="BF75" s="280"/>
      <c r="BG75" s="280"/>
      <c r="BH75" s="280"/>
      <c r="BI75" s="125"/>
    </row>
    <row r="76" spans="1:61" ht="7.4" customHeight="1" x14ac:dyDescent="0.5">
      <c r="A76" s="42"/>
      <c r="B76" s="45"/>
      <c r="C76" s="45"/>
      <c r="D76" s="41"/>
      <c r="E76" s="42"/>
      <c r="Q76" s="41"/>
      <c r="R76" s="42"/>
      <c r="S76" s="49"/>
      <c r="AJ76" s="41"/>
      <c r="AK76" s="42"/>
      <c r="AL76" s="127"/>
      <c r="AM76" s="127"/>
      <c r="AN76" s="127"/>
      <c r="AO76" s="127"/>
      <c r="AP76" s="127"/>
      <c r="AQ76" s="41"/>
      <c r="AS76" s="280"/>
      <c r="AT76" s="280"/>
      <c r="AU76" s="280"/>
      <c r="AV76" s="280"/>
      <c r="AW76" s="280"/>
      <c r="AX76" s="280"/>
      <c r="BA76" s="280"/>
      <c r="BB76" s="280"/>
      <c r="BC76" s="280"/>
      <c r="BD76" s="280"/>
      <c r="BE76" s="280"/>
      <c r="BF76" s="280"/>
      <c r="BG76" s="280"/>
      <c r="BH76" s="280"/>
      <c r="BI76" s="41"/>
    </row>
    <row r="77" spans="1:61" ht="7.4" customHeight="1" x14ac:dyDescent="0.5">
      <c r="A77" s="42"/>
      <c r="B77" s="311">
        <f>B73+1</f>
        <v>14</v>
      </c>
      <c r="C77" s="311"/>
      <c r="D77" s="41"/>
      <c r="E77" s="42"/>
      <c r="F77" s="543"/>
      <c r="G77" s="543"/>
      <c r="H77" s="543"/>
      <c r="I77" s="543"/>
      <c r="J77" s="543"/>
      <c r="K77" s="543"/>
      <c r="L77" s="543"/>
      <c r="M77" s="543"/>
      <c r="N77" s="543"/>
      <c r="O77" s="543"/>
      <c r="P77" s="543"/>
      <c r="Q77" s="544"/>
      <c r="R77" s="42"/>
      <c r="S77" s="316" t="e">
        <f>VLOOKUP(F77,PL!$B$9:$BH$858,14,FALSE)</f>
        <v>#N/A</v>
      </c>
      <c r="T77" s="316"/>
      <c r="U77" s="316"/>
      <c r="V77" s="316"/>
      <c r="W77" s="316"/>
      <c r="X77" s="316"/>
      <c r="Y77" s="316"/>
      <c r="Z77" s="316"/>
      <c r="AA77" s="316"/>
      <c r="AB77" s="316"/>
      <c r="AC77" s="316"/>
      <c r="AD77" s="316"/>
      <c r="AE77" s="316"/>
      <c r="AF77" s="316"/>
      <c r="AG77" s="316"/>
      <c r="AH77" s="316"/>
      <c r="AI77" s="316"/>
      <c r="AJ77" s="317"/>
      <c r="AK77" s="42"/>
      <c r="AL77" s="318"/>
      <c r="AM77" s="318"/>
      <c r="AN77" s="318"/>
      <c r="AO77" s="318"/>
      <c r="AP77" s="318"/>
      <c r="AQ77" s="41"/>
      <c r="AR77" s="111"/>
      <c r="AS77" s="542" t="e">
        <f>VLOOKUP(F77,PL!$B$9:$BH$813,52,FALSE)</f>
        <v>#N/A</v>
      </c>
      <c r="AT77" s="542"/>
      <c r="AU77" s="542"/>
      <c r="AV77" s="542"/>
      <c r="AW77" s="542"/>
      <c r="AX77" s="542"/>
      <c r="AY77" s="542"/>
      <c r="AZ77" s="542"/>
      <c r="BA77" s="542"/>
      <c r="BB77" s="542"/>
      <c r="BC77" s="542"/>
      <c r="BD77" s="542"/>
      <c r="BE77" s="542"/>
      <c r="BF77" s="542"/>
      <c r="BG77" s="542"/>
      <c r="BH77" s="542"/>
      <c r="BI77" s="124"/>
    </row>
    <row r="78" spans="1:61" ht="7.4" customHeight="1" x14ac:dyDescent="0.5">
      <c r="A78" s="42"/>
      <c r="B78" s="311"/>
      <c r="C78" s="311"/>
      <c r="D78" s="41"/>
      <c r="E78" s="42"/>
      <c r="F78" s="543"/>
      <c r="G78" s="543"/>
      <c r="H78" s="543"/>
      <c r="I78" s="543"/>
      <c r="J78" s="543"/>
      <c r="K78" s="543"/>
      <c r="L78" s="543"/>
      <c r="M78" s="543"/>
      <c r="N78" s="543"/>
      <c r="O78" s="543"/>
      <c r="P78" s="543"/>
      <c r="Q78" s="544"/>
      <c r="R78" s="42"/>
      <c r="S78" s="316"/>
      <c r="T78" s="316"/>
      <c r="U78" s="316"/>
      <c r="V78" s="316"/>
      <c r="W78" s="316"/>
      <c r="X78" s="316"/>
      <c r="Y78" s="316"/>
      <c r="Z78" s="316"/>
      <c r="AA78" s="316"/>
      <c r="AB78" s="316"/>
      <c r="AC78" s="316"/>
      <c r="AD78" s="316"/>
      <c r="AE78" s="316"/>
      <c r="AF78" s="316"/>
      <c r="AG78" s="316"/>
      <c r="AH78" s="316"/>
      <c r="AI78" s="316"/>
      <c r="AJ78" s="317"/>
      <c r="AK78" s="42"/>
      <c r="AL78" s="318"/>
      <c r="AM78" s="318"/>
      <c r="AN78" s="318"/>
      <c r="AO78" s="318"/>
      <c r="AP78" s="318"/>
      <c r="AQ78" s="41"/>
      <c r="AR78" s="111"/>
      <c r="AS78" s="542"/>
      <c r="AT78" s="542"/>
      <c r="AU78" s="542"/>
      <c r="AV78" s="542"/>
      <c r="AW78" s="542"/>
      <c r="AX78" s="542"/>
      <c r="AY78" s="542"/>
      <c r="AZ78" s="542"/>
      <c r="BA78" s="542"/>
      <c r="BB78" s="542"/>
      <c r="BC78" s="542"/>
      <c r="BD78" s="542"/>
      <c r="BE78" s="542"/>
      <c r="BF78" s="542"/>
      <c r="BG78" s="542"/>
      <c r="BH78" s="542"/>
      <c r="BI78" s="124"/>
    </row>
    <row r="79" spans="1:61" s="117" customFormat="1" ht="7.4" customHeight="1" x14ac:dyDescent="0.5">
      <c r="A79" s="113"/>
      <c r="B79" s="114"/>
      <c r="C79" s="114"/>
      <c r="D79" s="115"/>
      <c r="E79" s="113"/>
      <c r="Q79" s="115"/>
      <c r="R79" s="113"/>
      <c r="S79" s="116" t="str">
        <f>IF(AL77&gt;0,VLOOKUP(F77,PL!$B$9:$BH$858,33,FALSE),"")</f>
        <v/>
      </c>
      <c r="AJ79" s="115"/>
      <c r="AK79" s="113"/>
      <c r="AL79" s="183"/>
      <c r="AM79" s="183"/>
      <c r="AN79" s="183"/>
      <c r="AO79" s="183"/>
      <c r="AP79" s="183"/>
      <c r="AQ79" s="115"/>
      <c r="AS79" s="280"/>
      <c r="AT79" s="280"/>
      <c r="AU79" s="280"/>
      <c r="AV79" s="280"/>
      <c r="AW79" s="280"/>
      <c r="AX79" s="280"/>
      <c r="BA79" s="280"/>
      <c r="BB79" s="280"/>
      <c r="BC79" s="280"/>
      <c r="BD79" s="280"/>
      <c r="BE79" s="280"/>
      <c r="BF79" s="280"/>
      <c r="BG79" s="280"/>
      <c r="BH79" s="280"/>
      <c r="BI79" s="125"/>
    </row>
    <row r="80" spans="1:61" ht="7.4" customHeight="1" x14ac:dyDescent="0.5">
      <c r="A80" s="42"/>
      <c r="D80" s="41"/>
      <c r="E80" s="42"/>
      <c r="Q80" s="41"/>
      <c r="R80" s="42"/>
      <c r="S80" s="49"/>
      <c r="AJ80" s="41"/>
      <c r="AK80" s="42"/>
      <c r="AL80" s="127"/>
      <c r="AM80" s="127"/>
      <c r="AN80" s="127"/>
      <c r="AO80" s="127"/>
      <c r="AP80" s="127"/>
      <c r="AQ80" s="41"/>
      <c r="AS80" s="280"/>
      <c r="AT80" s="280"/>
      <c r="AU80" s="280"/>
      <c r="AV80" s="280"/>
      <c r="AW80" s="280"/>
      <c r="AX80" s="280"/>
      <c r="BA80" s="280"/>
      <c r="BB80" s="280"/>
      <c r="BC80" s="280"/>
      <c r="BD80" s="280"/>
      <c r="BE80" s="280"/>
      <c r="BF80" s="280"/>
      <c r="BG80" s="280"/>
      <c r="BH80" s="280"/>
      <c r="BI80" s="41"/>
    </row>
    <row r="81" spans="1:61" ht="7.4" customHeight="1" x14ac:dyDescent="0.5">
      <c r="A81" s="42"/>
      <c r="B81" s="311">
        <f>B77+1</f>
        <v>15</v>
      </c>
      <c r="C81" s="311"/>
      <c r="D81" s="41"/>
      <c r="E81" s="42"/>
      <c r="F81" s="543"/>
      <c r="G81" s="543"/>
      <c r="H81" s="543"/>
      <c r="I81" s="543"/>
      <c r="J81" s="543"/>
      <c r="K81" s="543"/>
      <c r="L81" s="543"/>
      <c r="M81" s="543"/>
      <c r="N81" s="543"/>
      <c r="O81" s="543"/>
      <c r="P81" s="543"/>
      <c r="Q81" s="544"/>
      <c r="R81" s="42"/>
      <c r="S81" s="316" t="e">
        <f>VLOOKUP(F81,PL!$B$9:$BH$858,14,FALSE)</f>
        <v>#N/A</v>
      </c>
      <c r="T81" s="316"/>
      <c r="U81" s="316"/>
      <c r="V81" s="316"/>
      <c r="W81" s="316"/>
      <c r="X81" s="316"/>
      <c r="Y81" s="316"/>
      <c r="Z81" s="316"/>
      <c r="AA81" s="316"/>
      <c r="AB81" s="316"/>
      <c r="AC81" s="316"/>
      <c r="AD81" s="316"/>
      <c r="AE81" s="316"/>
      <c r="AF81" s="316"/>
      <c r="AG81" s="316"/>
      <c r="AH81" s="316"/>
      <c r="AI81" s="316"/>
      <c r="AJ81" s="317"/>
      <c r="AK81" s="42"/>
      <c r="AL81" s="318"/>
      <c r="AM81" s="318"/>
      <c r="AN81" s="318"/>
      <c r="AO81" s="318"/>
      <c r="AP81" s="318"/>
      <c r="AQ81" s="41"/>
      <c r="AR81" s="111"/>
      <c r="AS81" s="542" t="e">
        <f>VLOOKUP(F81,PL!$B$9:$BH$813,52,FALSE)</f>
        <v>#N/A</v>
      </c>
      <c r="AT81" s="542"/>
      <c r="AU81" s="542"/>
      <c r="AV81" s="542"/>
      <c r="AW81" s="542"/>
      <c r="AX81" s="542"/>
      <c r="AY81" s="542"/>
      <c r="AZ81" s="542"/>
      <c r="BA81" s="542"/>
      <c r="BB81" s="542"/>
      <c r="BC81" s="542"/>
      <c r="BD81" s="542"/>
      <c r="BE81" s="542"/>
      <c r="BF81" s="542"/>
      <c r="BG81" s="542"/>
      <c r="BH81" s="542"/>
      <c r="BI81" s="124"/>
    </row>
    <row r="82" spans="1:61" ht="7.4" customHeight="1" x14ac:dyDescent="0.5">
      <c r="A82" s="42"/>
      <c r="B82" s="311"/>
      <c r="C82" s="311"/>
      <c r="D82" s="41"/>
      <c r="E82" s="42"/>
      <c r="F82" s="543"/>
      <c r="G82" s="543"/>
      <c r="H82" s="543"/>
      <c r="I82" s="543"/>
      <c r="J82" s="543"/>
      <c r="K82" s="543"/>
      <c r="L82" s="543"/>
      <c r="M82" s="543"/>
      <c r="N82" s="543"/>
      <c r="O82" s="543"/>
      <c r="P82" s="543"/>
      <c r="Q82" s="544"/>
      <c r="R82" s="42"/>
      <c r="S82" s="316"/>
      <c r="T82" s="316"/>
      <c r="U82" s="316"/>
      <c r="V82" s="316"/>
      <c r="W82" s="316"/>
      <c r="X82" s="316"/>
      <c r="Y82" s="316"/>
      <c r="Z82" s="316"/>
      <c r="AA82" s="316"/>
      <c r="AB82" s="316"/>
      <c r="AC82" s="316"/>
      <c r="AD82" s="316"/>
      <c r="AE82" s="316"/>
      <c r="AF82" s="316"/>
      <c r="AG82" s="316"/>
      <c r="AH82" s="316"/>
      <c r="AI82" s="316"/>
      <c r="AJ82" s="317"/>
      <c r="AK82" s="42"/>
      <c r="AL82" s="318"/>
      <c r="AM82" s="318"/>
      <c r="AN82" s="318"/>
      <c r="AO82" s="318"/>
      <c r="AP82" s="318"/>
      <c r="AQ82" s="41"/>
      <c r="AR82" s="111"/>
      <c r="AS82" s="542"/>
      <c r="AT82" s="542"/>
      <c r="AU82" s="542"/>
      <c r="AV82" s="542"/>
      <c r="AW82" s="542"/>
      <c r="AX82" s="542"/>
      <c r="AY82" s="542"/>
      <c r="AZ82" s="542"/>
      <c r="BA82" s="542"/>
      <c r="BB82" s="542"/>
      <c r="BC82" s="542"/>
      <c r="BD82" s="542"/>
      <c r="BE82" s="542"/>
      <c r="BF82" s="542"/>
      <c r="BG82" s="542"/>
      <c r="BH82" s="542"/>
      <c r="BI82" s="124"/>
    </row>
    <row r="83" spans="1:61" s="117" customFormat="1" ht="7.4" customHeight="1" x14ac:dyDescent="0.5">
      <c r="A83" s="113"/>
      <c r="B83" s="281"/>
      <c r="C83" s="281"/>
      <c r="D83" s="115"/>
      <c r="E83" s="113"/>
      <c r="Q83" s="115"/>
      <c r="R83" s="113"/>
      <c r="S83" s="116" t="str">
        <f>IF(AL81&gt;0,VLOOKUP(F81,PL!$B$9:$BH$858,33,FALSE),"")</f>
        <v/>
      </c>
      <c r="AJ83" s="115"/>
      <c r="AK83" s="113"/>
      <c r="AL83" s="183"/>
      <c r="AM83" s="183"/>
      <c r="AN83" s="183"/>
      <c r="AO83" s="183"/>
      <c r="AP83" s="183"/>
      <c r="AQ83" s="115"/>
      <c r="AS83" s="280"/>
      <c r="AT83" s="280"/>
      <c r="AU83" s="280"/>
      <c r="AV83" s="280"/>
      <c r="AW83" s="280"/>
      <c r="AX83" s="280"/>
      <c r="BA83" s="280"/>
      <c r="BB83" s="280"/>
      <c r="BC83" s="280"/>
      <c r="BD83" s="280"/>
      <c r="BE83" s="280"/>
      <c r="BF83" s="280"/>
      <c r="BG83" s="280"/>
      <c r="BH83" s="280"/>
      <c r="BI83" s="125"/>
    </row>
    <row r="84" spans="1:61" ht="7.4" customHeight="1" x14ac:dyDescent="0.5">
      <c r="A84" s="42"/>
      <c r="B84" s="45"/>
      <c r="C84" s="45"/>
      <c r="D84" s="41"/>
      <c r="E84" s="42"/>
      <c r="Q84" s="41"/>
      <c r="R84" s="42"/>
      <c r="S84" s="49"/>
      <c r="AJ84" s="41"/>
      <c r="AK84" s="42"/>
      <c r="AL84" s="127"/>
      <c r="AM84" s="127"/>
      <c r="AN84" s="127"/>
      <c r="AO84" s="127"/>
      <c r="AP84" s="127"/>
      <c r="AQ84" s="41"/>
      <c r="AS84" s="280"/>
      <c r="AT84" s="280"/>
      <c r="AU84" s="280"/>
      <c r="AV84" s="280"/>
      <c r="AW84" s="280"/>
      <c r="AX84" s="280"/>
      <c r="BA84" s="280"/>
      <c r="BB84" s="280"/>
      <c r="BC84" s="280"/>
      <c r="BD84" s="280"/>
      <c r="BE84" s="280"/>
      <c r="BF84" s="280"/>
      <c r="BG84" s="280"/>
      <c r="BH84" s="280"/>
      <c r="BI84" s="41"/>
    </row>
    <row r="85" spans="1:61" ht="7.4" customHeight="1" x14ac:dyDescent="0.5">
      <c r="A85" s="42"/>
      <c r="B85" s="311">
        <f>B81+1</f>
        <v>16</v>
      </c>
      <c r="C85" s="311"/>
      <c r="D85" s="41"/>
      <c r="E85" s="42"/>
      <c r="F85" s="543"/>
      <c r="G85" s="543"/>
      <c r="H85" s="543"/>
      <c r="I85" s="543"/>
      <c r="J85" s="543"/>
      <c r="K85" s="543"/>
      <c r="L85" s="543"/>
      <c r="M85" s="543"/>
      <c r="N85" s="543"/>
      <c r="O85" s="543"/>
      <c r="P85" s="543"/>
      <c r="Q85" s="544"/>
      <c r="R85" s="42"/>
      <c r="S85" s="316" t="e">
        <f>VLOOKUP(F85,PL!$B$9:$BH$858,14,FALSE)</f>
        <v>#N/A</v>
      </c>
      <c r="T85" s="316"/>
      <c r="U85" s="316"/>
      <c r="V85" s="316"/>
      <c r="W85" s="316"/>
      <c r="X85" s="316"/>
      <c r="Y85" s="316"/>
      <c r="Z85" s="316"/>
      <c r="AA85" s="316"/>
      <c r="AB85" s="316"/>
      <c r="AC85" s="316"/>
      <c r="AD85" s="316"/>
      <c r="AE85" s="316"/>
      <c r="AF85" s="316"/>
      <c r="AG85" s="316"/>
      <c r="AH85" s="316"/>
      <c r="AI85" s="316"/>
      <c r="AJ85" s="317"/>
      <c r="AK85" s="42"/>
      <c r="AL85" s="318"/>
      <c r="AM85" s="318"/>
      <c r="AN85" s="318"/>
      <c r="AO85" s="318"/>
      <c r="AP85" s="318"/>
      <c r="AQ85" s="41"/>
      <c r="AR85" s="111"/>
      <c r="AS85" s="542" t="e">
        <f>VLOOKUP(F85,PL!$B$9:$BH$813,52,FALSE)</f>
        <v>#N/A</v>
      </c>
      <c r="AT85" s="542"/>
      <c r="AU85" s="542"/>
      <c r="AV85" s="542"/>
      <c r="AW85" s="542"/>
      <c r="AX85" s="542"/>
      <c r="AY85" s="542"/>
      <c r="AZ85" s="542"/>
      <c r="BA85" s="542"/>
      <c r="BB85" s="542"/>
      <c r="BC85" s="542"/>
      <c r="BD85" s="542"/>
      <c r="BE85" s="542"/>
      <c r="BF85" s="542"/>
      <c r="BG85" s="542"/>
      <c r="BH85" s="542"/>
      <c r="BI85" s="124"/>
    </row>
    <row r="86" spans="1:61" ht="7.4" customHeight="1" x14ac:dyDescent="0.5">
      <c r="A86" s="42"/>
      <c r="B86" s="311"/>
      <c r="C86" s="311"/>
      <c r="D86" s="41"/>
      <c r="E86" s="42"/>
      <c r="F86" s="543"/>
      <c r="G86" s="543"/>
      <c r="H86" s="543"/>
      <c r="I86" s="543"/>
      <c r="J86" s="543"/>
      <c r="K86" s="543"/>
      <c r="L86" s="543"/>
      <c r="M86" s="543"/>
      <c r="N86" s="543"/>
      <c r="O86" s="543"/>
      <c r="P86" s="543"/>
      <c r="Q86" s="544"/>
      <c r="R86" s="42"/>
      <c r="S86" s="316"/>
      <c r="T86" s="316"/>
      <c r="U86" s="316"/>
      <c r="V86" s="316"/>
      <c r="W86" s="316"/>
      <c r="X86" s="316"/>
      <c r="Y86" s="316"/>
      <c r="Z86" s="316"/>
      <c r="AA86" s="316"/>
      <c r="AB86" s="316"/>
      <c r="AC86" s="316"/>
      <c r="AD86" s="316"/>
      <c r="AE86" s="316"/>
      <c r="AF86" s="316"/>
      <c r="AG86" s="316"/>
      <c r="AH86" s="316"/>
      <c r="AI86" s="316"/>
      <c r="AJ86" s="317"/>
      <c r="AK86" s="42"/>
      <c r="AL86" s="318"/>
      <c r="AM86" s="318"/>
      <c r="AN86" s="318"/>
      <c r="AO86" s="318"/>
      <c r="AP86" s="318"/>
      <c r="AQ86" s="41"/>
      <c r="AR86" s="111"/>
      <c r="AS86" s="542"/>
      <c r="AT86" s="542"/>
      <c r="AU86" s="542"/>
      <c r="AV86" s="542"/>
      <c r="AW86" s="542"/>
      <c r="AX86" s="542"/>
      <c r="AY86" s="542"/>
      <c r="AZ86" s="542"/>
      <c r="BA86" s="542"/>
      <c r="BB86" s="542"/>
      <c r="BC86" s="542"/>
      <c r="BD86" s="542"/>
      <c r="BE86" s="542"/>
      <c r="BF86" s="542"/>
      <c r="BG86" s="542"/>
      <c r="BH86" s="542"/>
      <c r="BI86" s="124"/>
    </row>
    <row r="87" spans="1:61" s="117" customFormat="1" ht="7.4" customHeight="1" x14ac:dyDescent="0.5">
      <c r="A87" s="113"/>
      <c r="B87" s="114"/>
      <c r="C87" s="114"/>
      <c r="D87" s="115"/>
      <c r="E87" s="113"/>
      <c r="Q87" s="115"/>
      <c r="R87" s="113"/>
      <c r="S87" s="116" t="str">
        <f>IF(AL85&gt;0,VLOOKUP(F85,PL!$B$9:$BH$858,33,FALSE),"")</f>
        <v/>
      </c>
      <c r="AJ87" s="115"/>
      <c r="AK87" s="113"/>
      <c r="AL87" s="183"/>
      <c r="AM87" s="183"/>
      <c r="AN87" s="183"/>
      <c r="AO87" s="183"/>
      <c r="AP87" s="183"/>
      <c r="AQ87" s="115"/>
      <c r="AS87" s="280"/>
      <c r="AT87" s="280"/>
      <c r="AU87" s="280"/>
      <c r="AV87" s="280"/>
      <c r="AW87" s="280"/>
      <c r="AX87" s="280"/>
      <c r="BA87" s="280"/>
      <c r="BB87" s="280"/>
      <c r="BC87" s="280"/>
      <c r="BD87" s="280"/>
      <c r="BE87" s="280"/>
      <c r="BF87" s="280"/>
      <c r="BG87" s="280"/>
      <c r="BH87" s="280"/>
      <c r="BI87" s="125"/>
    </row>
    <row r="88" spans="1:61" ht="7.4" customHeight="1" x14ac:dyDescent="0.5">
      <c r="A88" s="42"/>
      <c r="D88" s="41"/>
      <c r="E88" s="42"/>
      <c r="Q88" s="41"/>
      <c r="R88" s="42"/>
      <c r="S88" s="49"/>
      <c r="AJ88" s="41"/>
      <c r="AK88" s="42"/>
      <c r="AL88" s="127"/>
      <c r="AM88" s="127"/>
      <c r="AN88" s="127"/>
      <c r="AO88" s="127"/>
      <c r="AP88" s="127"/>
      <c r="AQ88" s="41"/>
      <c r="AS88" s="280"/>
      <c r="AT88" s="280"/>
      <c r="AU88" s="280"/>
      <c r="AV88" s="280"/>
      <c r="AW88" s="280"/>
      <c r="AX88" s="280"/>
      <c r="BA88" s="280"/>
      <c r="BB88" s="280"/>
      <c r="BC88" s="280"/>
      <c r="BD88" s="280"/>
      <c r="BE88" s="280"/>
      <c r="BF88" s="280"/>
      <c r="BG88" s="280"/>
      <c r="BH88" s="280"/>
      <c r="BI88" s="41"/>
    </row>
    <row r="89" spans="1:61" ht="7.4" customHeight="1" x14ac:dyDescent="0.5">
      <c r="A89" s="42"/>
      <c r="B89" s="311">
        <f>B85+1</f>
        <v>17</v>
      </c>
      <c r="C89" s="311"/>
      <c r="D89" s="41"/>
      <c r="E89" s="42"/>
      <c r="F89" s="543"/>
      <c r="G89" s="543"/>
      <c r="H89" s="543"/>
      <c r="I89" s="543"/>
      <c r="J89" s="543"/>
      <c r="K89" s="543"/>
      <c r="L89" s="543"/>
      <c r="M89" s="543"/>
      <c r="N89" s="543"/>
      <c r="O89" s="543"/>
      <c r="P89" s="543"/>
      <c r="Q89" s="544"/>
      <c r="R89" s="42"/>
      <c r="S89" s="316" t="e">
        <f>VLOOKUP(F89,PL!$B$9:$BH$858,14,FALSE)</f>
        <v>#N/A</v>
      </c>
      <c r="T89" s="316"/>
      <c r="U89" s="316"/>
      <c r="V89" s="316"/>
      <c r="W89" s="316"/>
      <c r="X89" s="316"/>
      <c r="Y89" s="316"/>
      <c r="Z89" s="316"/>
      <c r="AA89" s="316"/>
      <c r="AB89" s="316"/>
      <c r="AC89" s="316"/>
      <c r="AD89" s="316"/>
      <c r="AE89" s="316"/>
      <c r="AF89" s="316"/>
      <c r="AG89" s="316"/>
      <c r="AH89" s="316"/>
      <c r="AI89" s="316"/>
      <c r="AJ89" s="317"/>
      <c r="AK89" s="42"/>
      <c r="AL89" s="318"/>
      <c r="AM89" s="318"/>
      <c r="AN89" s="318"/>
      <c r="AO89" s="318"/>
      <c r="AP89" s="318"/>
      <c r="AQ89" s="41"/>
      <c r="AR89" s="111"/>
      <c r="AS89" s="542" t="e">
        <f>VLOOKUP(F89,PL!$B$9:$BH$813,52,FALSE)</f>
        <v>#N/A</v>
      </c>
      <c r="AT89" s="542"/>
      <c r="AU89" s="542"/>
      <c r="AV89" s="542"/>
      <c r="AW89" s="542"/>
      <c r="AX89" s="542"/>
      <c r="AY89" s="542"/>
      <c r="AZ89" s="542"/>
      <c r="BA89" s="542"/>
      <c r="BB89" s="542"/>
      <c r="BC89" s="542"/>
      <c r="BD89" s="542"/>
      <c r="BE89" s="542"/>
      <c r="BF89" s="542"/>
      <c r="BG89" s="542"/>
      <c r="BH89" s="542"/>
      <c r="BI89" s="41"/>
    </row>
    <row r="90" spans="1:61" ht="7.4" customHeight="1" x14ac:dyDescent="0.5">
      <c r="A90" s="42"/>
      <c r="B90" s="311"/>
      <c r="C90" s="311"/>
      <c r="D90" s="41"/>
      <c r="E90" s="42"/>
      <c r="F90" s="543"/>
      <c r="G90" s="543"/>
      <c r="H90" s="543"/>
      <c r="I90" s="543"/>
      <c r="J90" s="543"/>
      <c r="K90" s="543"/>
      <c r="L90" s="543"/>
      <c r="M90" s="543"/>
      <c r="N90" s="543"/>
      <c r="O90" s="543"/>
      <c r="P90" s="543"/>
      <c r="Q90" s="544"/>
      <c r="R90" s="42"/>
      <c r="S90" s="316"/>
      <c r="T90" s="316"/>
      <c r="U90" s="316"/>
      <c r="V90" s="316"/>
      <c r="W90" s="316"/>
      <c r="X90" s="316"/>
      <c r="Y90" s="316"/>
      <c r="Z90" s="316"/>
      <c r="AA90" s="316"/>
      <c r="AB90" s="316"/>
      <c r="AC90" s="316"/>
      <c r="AD90" s="316"/>
      <c r="AE90" s="316"/>
      <c r="AF90" s="316"/>
      <c r="AG90" s="316"/>
      <c r="AH90" s="316"/>
      <c r="AI90" s="316"/>
      <c r="AJ90" s="317"/>
      <c r="AK90" s="42"/>
      <c r="AL90" s="318"/>
      <c r="AM90" s="318"/>
      <c r="AN90" s="318"/>
      <c r="AO90" s="318"/>
      <c r="AP90" s="318"/>
      <c r="AQ90" s="41"/>
      <c r="AR90" s="111"/>
      <c r="AS90" s="542"/>
      <c r="AT90" s="542"/>
      <c r="AU90" s="542"/>
      <c r="AV90" s="542"/>
      <c r="AW90" s="542"/>
      <c r="AX90" s="542"/>
      <c r="AY90" s="542"/>
      <c r="AZ90" s="542"/>
      <c r="BA90" s="542"/>
      <c r="BB90" s="542"/>
      <c r="BC90" s="542"/>
      <c r="BD90" s="542"/>
      <c r="BE90" s="542"/>
      <c r="BF90" s="542"/>
      <c r="BG90" s="542"/>
      <c r="BH90" s="542"/>
      <c r="BI90" s="41"/>
    </row>
    <row r="91" spans="1:61" ht="7.4" customHeight="1" x14ac:dyDescent="0.5">
      <c r="A91" s="42"/>
      <c r="B91" s="281"/>
      <c r="C91" s="281"/>
      <c r="D91" s="115"/>
      <c r="E91" s="113"/>
      <c r="F91" s="117"/>
      <c r="G91" s="117"/>
      <c r="H91" s="117"/>
      <c r="I91" s="117"/>
      <c r="J91" s="117"/>
      <c r="K91" s="117"/>
      <c r="L91" s="117"/>
      <c r="M91" s="117"/>
      <c r="N91" s="117"/>
      <c r="O91" s="117"/>
      <c r="P91" s="117"/>
      <c r="Q91" s="115"/>
      <c r="R91" s="113"/>
      <c r="S91" s="116" t="str">
        <f>IF(AL89&gt;0,VLOOKUP(F89,PL!$B$9:$BH$858,33,FALSE),"")</f>
        <v/>
      </c>
      <c r="T91" s="117"/>
      <c r="U91" s="117"/>
      <c r="V91" s="117"/>
      <c r="W91" s="117"/>
      <c r="X91" s="117"/>
      <c r="Y91" s="117"/>
      <c r="Z91" s="117"/>
      <c r="AA91" s="117"/>
      <c r="AB91" s="117"/>
      <c r="AC91" s="117"/>
      <c r="AD91" s="117"/>
      <c r="AE91" s="117"/>
      <c r="AF91" s="117"/>
      <c r="AG91" s="117"/>
      <c r="AH91" s="117"/>
      <c r="AI91" s="117"/>
      <c r="AJ91" s="115"/>
      <c r="AK91" s="113"/>
      <c r="AL91" s="183"/>
      <c r="AM91" s="183"/>
      <c r="AN91" s="183"/>
      <c r="AO91" s="183"/>
      <c r="AP91" s="183"/>
      <c r="AQ91" s="115"/>
      <c r="AR91" s="117"/>
      <c r="AS91" s="280"/>
      <c r="AT91" s="280"/>
      <c r="AU91" s="280"/>
      <c r="AV91" s="280"/>
      <c r="AW91" s="280"/>
      <c r="AX91" s="280"/>
      <c r="AY91" s="117"/>
      <c r="AZ91" s="117"/>
      <c r="BA91" s="280"/>
      <c r="BB91" s="280"/>
      <c r="BC91" s="280"/>
      <c r="BD91" s="280"/>
      <c r="BE91" s="280"/>
      <c r="BF91" s="280"/>
      <c r="BG91" s="280"/>
      <c r="BH91" s="280"/>
      <c r="BI91" s="41"/>
    </row>
    <row r="92" spans="1:61" ht="7.4" customHeight="1" x14ac:dyDescent="0.5">
      <c r="A92" s="42"/>
      <c r="B92" s="45"/>
      <c r="C92" s="45"/>
      <c r="D92" s="41"/>
      <c r="E92" s="42"/>
      <c r="Q92" s="41"/>
      <c r="R92" s="42"/>
      <c r="S92" s="49"/>
      <c r="AJ92" s="41"/>
      <c r="AK92" s="42"/>
      <c r="AL92" s="127"/>
      <c r="AM92" s="127"/>
      <c r="AN92" s="127"/>
      <c r="AO92" s="127"/>
      <c r="AP92" s="127"/>
      <c r="AQ92" s="41"/>
      <c r="AS92" s="280"/>
      <c r="AT92" s="280"/>
      <c r="AU92" s="280"/>
      <c r="AV92" s="280"/>
      <c r="AW92" s="280"/>
      <c r="AX92" s="280"/>
      <c r="BA92" s="280"/>
      <c r="BB92" s="280"/>
      <c r="BC92" s="280"/>
      <c r="BD92" s="280"/>
      <c r="BE92" s="280"/>
      <c r="BF92" s="280"/>
      <c r="BG92" s="280"/>
      <c r="BH92" s="280"/>
      <c r="BI92" s="41"/>
    </row>
    <row r="93" spans="1:61" ht="7.4" customHeight="1" x14ac:dyDescent="0.5">
      <c r="A93" s="42"/>
      <c r="B93" s="311">
        <f>B89+1</f>
        <v>18</v>
      </c>
      <c r="C93" s="311"/>
      <c r="D93" s="41"/>
      <c r="E93" s="42"/>
      <c r="F93" s="543"/>
      <c r="G93" s="543"/>
      <c r="H93" s="543"/>
      <c r="I93" s="543"/>
      <c r="J93" s="543"/>
      <c r="K93" s="543"/>
      <c r="L93" s="543"/>
      <c r="M93" s="543"/>
      <c r="N93" s="543"/>
      <c r="O93" s="543"/>
      <c r="P93" s="543"/>
      <c r="Q93" s="544"/>
      <c r="R93" s="42"/>
      <c r="S93" s="316" t="e">
        <f>VLOOKUP(F93,PL!$B$9:$BH$858,14,FALSE)</f>
        <v>#N/A</v>
      </c>
      <c r="T93" s="316"/>
      <c r="U93" s="316"/>
      <c r="V93" s="316"/>
      <c r="W93" s="316"/>
      <c r="X93" s="316"/>
      <c r="Y93" s="316"/>
      <c r="Z93" s="316"/>
      <c r="AA93" s="316"/>
      <c r="AB93" s="316"/>
      <c r="AC93" s="316"/>
      <c r="AD93" s="316"/>
      <c r="AE93" s="316"/>
      <c r="AF93" s="316"/>
      <c r="AG93" s="316"/>
      <c r="AH93" s="316"/>
      <c r="AI93" s="316"/>
      <c r="AJ93" s="317"/>
      <c r="AK93" s="42"/>
      <c r="AL93" s="318"/>
      <c r="AM93" s="318"/>
      <c r="AN93" s="318"/>
      <c r="AO93" s="318"/>
      <c r="AP93" s="318"/>
      <c r="AQ93" s="41"/>
      <c r="AR93" s="111"/>
      <c r="AS93" s="542" t="e">
        <f>VLOOKUP(F93,PL!$B$9:$BH$813,52,FALSE)</f>
        <v>#N/A</v>
      </c>
      <c r="AT93" s="542"/>
      <c r="AU93" s="542"/>
      <c r="AV93" s="542"/>
      <c r="AW93" s="542"/>
      <c r="AX93" s="542"/>
      <c r="AY93" s="542"/>
      <c r="AZ93" s="542"/>
      <c r="BA93" s="542"/>
      <c r="BB93" s="542"/>
      <c r="BC93" s="542"/>
      <c r="BD93" s="542"/>
      <c r="BE93" s="542"/>
      <c r="BF93" s="542"/>
      <c r="BG93" s="542"/>
      <c r="BH93" s="542"/>
      <c r="BI93" s="41"/>
    </row>
    <row r="94" spans="1:61" ht="7.4" customHeight="1" x14ac:dyDescent="0.5">
      <c r="A94" s="42"/>
      <c r="B94" s="311"/>
      <c r="C94" s="311"/>
      <c r="D94" s="41"/>
      <c r="E94" s="42"/>
      <c r="F94" s="543"/>
      <c r="G94" s="543"/>
      <c r="H94" s="543"/>
      <c r="I94" s="543"/>
      <c r="J94" s="543"/>
      <c r="K94" s="543"/>
      <c r="L94" s="543"/>
      <c r="M94" s="543"/>
      <c r="N94" s="543"/>
      <c r="O94" s="543"/>
      <c r="P94" s="543"/>
      <c r="Q94" s="544"/>
      <c r="R94" s="42"/>
      <c r="S94" s="316"/>
      <c r="T94" s="316"/>
      <c r="U94" s="316"/>
      <c r="V94" s="316"/>
      <c r="W94" s="316"/>
      <c r="X94" s="316"/>
      <c r="Y94" s="316"/>
      <c r="Z94" s="316"/>
      <c r="AA94" s="316"/>
      <c r="AB94" s="316"/>
      <c r="AC94" s="316"/>
      <c r="AD94" s="316"/>
      <c r="AE94" s="316"/>
      <c r="AF94" s="316"/>
      <c r="AG94" s="316"/>
      <c r="AH94" s="316"/>
      <c r="AI94" s="316"/>
      <c r="AJ94" s="317"/>
      <c r="AK94" s="42"/>
      <c r="AL94" s="318"/>
      <c r="AM94" s="318"/>
      <c r="AN94" s="318"/>
      <c r="AO94" s="318"/>
      <c r="AP94" s="318"/>
      <c r="AQ94" s="41"/>
      <c r="AR94" s="111"/>
      <c r="AS94" s="542"/>
      <c r="AT94" s="542"/>
      <c r="AU94" s="542"/>
      <c r="AV94" s="542"/>
      <c r="AW94" s="542"/>
      <c r="AX94" s="542"/>
      <c r="AY94" s="542"/>
      <c r="AZ94" s="542"/>
      <c r="BA94" s="542"/>
      <c r="BB94" s="542"/>
      <c r="BC94" s="542"/>
      <c r="BD94" s="542"/>
      <c r="BE94" s="542"/>
      <c r="BF94" s="542"/>
      <c r="BG94" s="542"/>
      <c r="BH94" s="542"/>
      <c r="BI94" s="41"/>
    </row>
    <row r="95" spans="1:61" ht="7.4" customHeight="1" x14ac:dyDescent="0.5">
      <c r="A95" s="42"/>
      <c r="B95" s="114"/>
      <c r="C95" s="114"/>
      <c r="D95" s="115"/>
      <c r="E95" s="113"/>
      <c r="F95" s="117"/>
      <c r="G95" s="117"/>
      <c r="H95" s="117"/>
      <c r="I95" s="117"/>
      <c r="J95" s="117"/>
      <c r="K95" s="117"/>
      <c r="L95" s="117"/>
      <c r="M95" s="117"/>
      <c r="N95" s="117"/>
      <c r="O95" s="117"/>
      <c r="P95" s="117"/>
      <c r="Q95" s="115"/>
      <c r="R95" s="113"/>
      <c r="S95" s="116" t="str">
        <f>IF(AL93&gt;0,VLOOKUP(F93,PL!$B$9:$BH$858,33,FALSE),"")</f>
        <v/>
      </c>
      <c r="T95" s="117"/>
      <c r="U95" s="117"/>
      <c r="V95" s="117"/>
      <c r="W95" s="117"/>
      <c r="X95" s="117"/>
      <c r="Y95" s="117"/>
      <c r="Z95" s="117"/>
      <c r="AA95" s="117"/>
      <c r="AB95" s="117"/>
      <c r="AC95" s="117"/>
      <c r="AD95" s="117"/>
      <c r="AE95" s="117"/>
      <c r="AF95" s="117"/>
      <c r="AG95" s="117"/>
      <c r="AH95" s="117"/>
      <c r="AI95" s="117"/>
      <c r="AJ95" s="115"/>
      <c r="AK95" s="113"/>
      <c r="AL95" s="183"/>
      <c r="AM95" s="183"/>
      <c r="AN95" s="183"/>
      <c r="AO95" s="183"/>
      <c r="AP95" s="183"/>
      <c r="AQ95" s="115"/>
      <c r="AR95" s="117"/>
      <c r="AS95" s="280"/>
      <c r="AT95" s="280"/>
      <c r="AU95" s="280"/>
      <c r="AV95" s="280"/>
      <c r="AW95" s="280"/>
      <c r="AX95" s="280"/>
      <c r="AY95" s="117"/>
      <c r="AZ95" s="117"/>
      <c r="BA95" s="280"/>
      <c r="BB95" s="280"/>
      <c r="BC95" s="280"/>
      <c r="BD95" s="280"/>
      <c r="BE95" s="280"/>
      <c r="BF95" s="280"/>
      <c r="BG95" s="280"/>
      <c r="BH95" s="280"/>
      <c r="BI95" s="41"/>
    </row>
    <row r="96" spans="1:61" ht="7.4" customHeight="1" x14ac:dyDescent="0.5">
      <c r="A96" s="42"/>
      <c r="D96" s="41"/>
      <c r="E96" s="42"/>
      <c r="Q96" s="41"/>
      <c r="R96" s="42"/>
      <c r="S96" s="49"/>
      <c r="AJ96" s="41"/>
      <c r="AK96" s="42"/>
      <c r="AL96" s="127"/>
      <c r="AM96" s="127"/>
      <c r="AN96" s="127"/>
      <c r="AO96" s="127"/>
      <c r="AP96" s="127"/>
      <c r="AQ96" s="41"/>
      <c r="AS96" s="280"/>
      <c r="AT96" s="280"/>
      <c r="AU96" s="280"/>
      <c r="AV96" s="280"/>
      <c r="AW96" s="280"/>
      <c r="AX96" s="280"/>
      <c r="BA96" s="280"/>
      <c r="BB96" s="280"/>
      <c r="BC96" s="280"/>
      <c r="BD96" s="280"/>
      <c r="BE96" s="280"/>
      <c r="BF96" s="280"/>
      <c r="BG96" s="280"/>
      <c r="BH96" s="280"/>
      <c r="BI96" s="41"/>
    </row>
    <row r="97" spans="1:61" ht="7.4" customHeight="1" x14ac:dyDescent="0.5">
      <c r="A97" s="42"/>
      <c r="B97" s="311">
        <f>B93+1</f>
        <v>19</v>
      </c>
      <c r="C97" s="311"/>
      <c r="D97" s="41"/>
      <c r="E97" s="42"/>
      <c r="F97" s="543"/>
      <c r="G97" s="543"/>
      <c r="H97" s="543"/>
      <c r="I97" s="543"/>
      <c r="J97" s="543"/>
      <c r="K97" s="543"/>
      <c r="L97" s="543"/>
      <c r="M97" s="543"/>
      <c r="N97" s="543"/>
      <c r="O97" s="543"/>
      <c r="P97" s="543"/>
      <c r="Q97" s="544"/>
      <c r="R97" s="42"/>
      <c r="S97" s="316" t="e">
        <f>VLOOKUP(F97,PL!$B$9:$BH$858,14,FALSE)</f>
        <v>#N/A</v>
      </c>
      <c r="T97" s="316"/>
      <c r="U97" s="316"/>
      <c r="V97" s="316"/>
      <c r="W97" s="316"/>
      <c r="X97" s="316"/>
      <c r="Y97" s="316"/>
      <c r="Z97" s="316"/>
      <c r="AA97" s="316"/>
      <c r="AB97" s="316"/>
      <c r="AC97" s="316"/>
      <c r="AD97" s="316"/>
      <c r="AE97" s="316"/>
      <c r="AF97" s="316"/>
      <c r="AG97" s="316"/>
      <c r="AH97" s="316"/>
      <c r="AI97" s="316"/>
      <c r="AJ97" s="317"/>
      <c r="AK97" s="42"/>
      <c r="AL97" s="318"/>
      <c r="AM97" s="318"/>
      <c r="AN97" s="318"/>
      <c r="AO97" s="318"/>
      <c r="AP97" s="318"/>
      <c r="AQ97" s="41"/>
      <c r="AR97" s="111"/>
      <c r="AS97" s="542" t="e">
        <f>VLOOKUP(F97,PL!$B$9:$BH$813,52,FALSE)</f>
        <v>#N/A</v>
      </c>
      <c r="AT97" s="542"/>
      <c r="AU97" s="542"/>
      <c r="AV97" s="542"/>
      <c r="AW97" s="542"/>
      <c r="AX97" s="542"/>
      <c r="AY97" s="542"/>
      <c r="AZ97" s="542"/>
      <c r="BA97" s="542"/>
      <c r="BB97" s="542"/>
      <c r="BC97" s="542"/>
      <c r="BD97" s="542"/>
      <c r="BE97" s="542"/>
      <c r="BF97" s="542"/>
      <c r="BG97" s="542"/>
      <c r="BH97" s="542"/>
      <c r="BI97" s="41"/>
    </row>
    <row r="98" spans="1:61" ht="7.4" customHeight="1" x14ac:dyDescent="0.5">
      <c r="A98" s="42"/>
      <c r="B98" s="311"/>
      <c r="C98" s="311"/>
      <c r="D98" s="41"/>
      <c r="E98" s="42"/>
      <c r="F98" s="543"/>
      <c r="G98" s="543"/>
      <c r="H98" s="543"/>
      <c r="I98" s="543"/>
      <c r="J98" s="543"/>
      <c r="K98" s="543"/>
      <c r="L98" s="543"/>
      <c r="M98" s="543"/>
      <c r="N98" s="543"/>
      <c r="O98" s="543"/>
      <c r="P98" s="543"/>
      <c r="Q98" s="544"/>
      <c r="R98" s="42"/>
      <c r="S98" s="316"/>
      <c r="T98" s="316"/>
      <c r="U98" s="316"/>
      <c r="V98" s="316"/>
      <c r="W98" s="316"/>
      <c r="X98" s="316"/>
      <c r="Y98" s="316"/>
      <c r="Z98" s="316"/>
      <c r="AA98" s="316"/>
      <c r="AB98" s="316"/>
      <c r="AC98" s="316"/>
      <c r="AD98" s="316"/>
      <c r="AE98" s="316"/>
      <c r="AF98" s="316"/>
      <c r="AG98" s="316"/>
      <c r="AH98" s="316"/>
      <c r="AI98" s="316"/>
      <c r="AJ98" s="317"/>
      <c r="AK98" s="42"/>
      <c r="AL98" s="318"/>
      <c r="AM98" s="318"/>
      <c r="AN98" s="318"/>
      <c r="AO98" s="318"/>
      <c r="AP98" s="318"/>
      <c r="AQ98" s="41"/>
      <c r="AR98" s="111"/>
      <c r="AS98" s="542"/>
      <c r="AT98" s="542"/>
      <c r="AU98" s="542"/>
      <c r="AV98" s="542"/>
      <c r="AW98" s="542"/>
      <c r="AX98" s="542"/>
      <c r="AY98" s="542"/>
      <c r="AZ98" s="542"/>
      <c r="BA98" s="542"/>
      <c r="BB98" s="542"/>
      <c r="BC98" s="542"/>
      <c r="BD98" s="542"/>
      <c r="BE98" s="542"/>
      <c r="BF98" s="542"/>
      <c r="BG98" s="542"/>
      <c r="BH98" s="542"/>
      <c r="BI98" s="41"/>
    </row>
    <row r="99" spans="1:61" ht="7.4" customHeight="1" x14ac:dyDescent="0.5">
      <c r="A99" s="42"/>
      <c r="B99" s="281"/>
      <c r="C99" s="281"/>
      <c r="D99" s="115"/>
      <c r="E99" s="113"/>
      <c r="F99" s="117"/>
      <c r="G99" s="117"/>
      <c r="H99" s="117"/>
      <c r="I99" s="117"/>
      <c r="J99" s="117"/>
      <c r="K99" s="117"/>
      <c r="L99" s="117"/>
      <c r="M99" s="117"/>
      <c r="N99" s="117"/>
      <c r="O99" s="117"/>
      <c r="P99" s="117"/>
      <c r="Q99" s="115"/>
      <c r="R99" s="113"/>
      <c r="S99" s="116" t="str">
        <f>IF(AL97&gt;0,VLOOKUP(F97,PL!$B$9:$BH$858,33,FALSE),"")</f>
        <v/>
      </c>
      <c r="T99" s="117"/>
      <c r="U99" s="117"/>
      <c r="V99" s="117"/>
      <c r="W99" s="117"/>
      <c r="X99" s="117"/>
      <c r="Y99" s="117"/>
      <c r="Z99" s="117"/>
      <c r="AA99" s="117"/>
      <c r="AB99" s="117"/>
      <c r="AC99" s="117"/>
      <c r="AD99" s="117"/>
      <c r="AE99" s="117"/>
      <c r="AF99" s="117"/>
      <c r="AG99" s="117"/>
      <c r="AH99" s="117"/>
      <c r="AI99" s="117"/>
      <c r="AJ99" s="115"/>
      <c r="AK99" s="113"/>
      <c r="AL99" s="183"/>
      <c r="AM99" s="183"/>
      <c r="AN99" s="183"/>
      <c r="AO99" s="183"/>
      <c r="AP99" s="183"/>
      <c r="AQ99" s="115"/>
      <c r="AR99" s="117"/>
      <c r="AS99" s="280"/>
      <c r="AT99" s="280"/>
      <c r="AU99" s="280"/>
      <c r="AV99" s="280"/>
      <c r="AW99" s="280"/>
      <c r="AX99" s="280"/>
      <c r="AY99" s="117"/>
      <c r="AZ99" s="117"/>
      <c r="BA99" s="280"/>
      <c r="BB99" s="280"/>
      <c r="BC99" s="280"/>
      <c r="BD99" s="280"/>
      <c r="BE99" s="280"/>
      <c r="BF99" s="280"/>
      <c r="BG99" s="280"/>
      <c r="BH99" s="280"/>
      <c r="BI99" s="41"/>
    </row>
    <row r="100" spans="1:61" ht="7.4" customHeight="1" x14ac:dyDescent="0.5">
      <c r="A100" s="42"/>
      <c r="B100" s="45"/>
      <c r="C100" s="45"/>
      <c r="D100" s="41"/>
      <c r="E100" s="42"/>
      <c r="Q100" s="41"/>
      <c r="R100" s="42"/>
      <c r="S100" s="49"/>
      <c r="AJ100" s="41"/>
      <c r="AK100" s="42"/>
      <c r="AL100" s="127"/>
      <c r="AM100" s="127"/>
      <c r="AN100" s="127"/>
      <c r="AO100" s="127"/>
      <c r="AP100" s="127"/>
      <c r="AQ100" s="41"/>
      <c r="AS100" s="280"/>
      <c r="AT100" s="280"/>
      <c r="AU100" s="280"/>
      <c r="AV100" s="280"/>
      <c r="AW100" s="280"/>
      <c r="AX100" s="280"/>
      <c r="BA100" s="280"/>
      <c r="BB100" s="280"/>
      <c r="BC100" s="280"/>
      <c r="BD100" s="280"/>
      <c r="BE100" s="280"/>
      <c r="BF100" s="280"/>
      <c r="BG100" s="280"/>
      <c r="BH100" s="280"/>
      <c r="BI100" s="41"/>
    </row>
    <row r="101" spans="1:61" ht="7.4" customHeight="1" x14ac:dyDescent="0.5">
      <c r="A101" s="42"/>
      <c r="B101" s="311">
        <f>B97+1</f>
        <v>20</v>
      </c>
      <c r="C101" s="311"/>
      <c r="D101" s="41"/>
      <c r="E101" s="42"/>
      <c r="F101" s="543"/>
      <c r="G101" s="543"/>
      <c r="H101" s="543"/>
      <c r="I101" s="543"/>
      <c r="J101" s="543"/>
      <c r="K101" s="543"/>
      <c r="L101" s="543"/>
      <c r="M101" s="543"/>
      <c r="N101" s="543"/>
      <c r="O101" s="543"/>
      <c r="P101" s="543"/>
      <c r="Q101" s="544"/>
      <c r="R101" s="42"/>
      <c r="S101" s="316" t="e">
        <f>VLOOKUP(F101,PL!$B$9:$BH$858,14,FALSE)</f>
        <v>#N/A</v>
      </c>
      <c r="T101" s="316"/>
      <c r="U101" s="316"/>
      <c r="V101" s="316"/>
      <c r="W101" s="316"/>
      <c r="X101" s="316"/>
      <c r="Y101" s="316"/>
      <c r="Z101" s="316"/>
      <c r="AA101" s="316"/>
      <c r="AB101" s="316"/>
      <c r="AC101" s="316"/>
      <c r="AD101" s="316"/>
      <c r="AE101" s="316"/>
      <c r="AF101" s="316"/>
      <c r="AG101" s="316"/>
      <c r="AH101" s="316"/>
      <c r="AI101" s="316"/>
      <c r="AJ101" s="317"/>
      <c r="AK101" s="42"/>
      <c r="AL101" s="318"/>
      <c r="AM101" s="318"/>
      <c r="AN101" s="318"/>
      <c r="AO101" s="318"/>
      <c r="AP101" s="318"/>
      <c r="AQ101" s="41"/>
      <c r="AR101" s="111"/>
      <c r="AS101" s="542" t="e">
        <f>VLOOKUP(F101,PL!$B$9:$BH$813,52,FALSE)</f>
        <v>#N/A</v>
      </c>
      <c r="AT101" s="542"/>
      <c r="AU101" s="542"/>
      <c r="AV101" s="542"/>
      <c r="AW101" s="542"/>
      <c r="AX101" s="542"/>
      <c r="AY101" s="542"/>
      <c r="AZ101" s="542"/>
      <c r="BA101" s="542"/>
      <c r="BB101" s="542"/>
      <c r="BC101" s="542"/>
      <c r="BD101" s="542"/>
      <c r="BE101" s="542"/>
      <c r="BF101" s="542"/>
      <c r="BG101" s="542"/>
      <c r="BH101" s="542"/>
      <c r="BI101" s="41"/>
    </row>
    <row r="102" spans="1:61" ht="7.4" customHeight="1" x14ac:dyDescent="0.5">
      <c r="A102" s="42"/>
      <c r="B102" s="311"/>
      <c r="C102" s="311"/>
      <c r="D102" s="41"/>
      <c r="E102" s="42"/>
      <c r="F102" s="543"/>
      <c r="G102" s="543"/>
      <c r="H102" s="543"/>
      <c r="I102" s="543"/>
      <c r="J102" s="543"/>
      <c r="K102" s="543"/>
      <c r="L102" s="543"/>
      <c r="M102" s="543"/>
      <c r="N102" s="543"/>
      <c r="O102" s="543"/>
      <c r="P102" s="543"/>
      <c r="Q102" s="544"/>
      <c r="R102" s="42"/>
      <c r="S102" s="316"/>
      <c r="T102" s="316"/>
      <c r="U102" s="316"/>
      <c r="V102" s="316"/>
      <c r="W102" s="316"/>
      <c r="X102" s="316"/>
      <c r="Y102" s="316"/>
      <c r="Z102" s="316"/>
      <c r="AA102" s="316"/>
      <c r="AB102" s="316"/>
      <c r="AC102" s="316"/>
      <c r="AD102" s="316"/>
      <c r="AE102" s="316"/>
      <c r="AF102" s="316"/>
      <c r="AG102" s="316"/>
      <c r="AH102" s="316"/>
      <c r="AI102" s="316"/>
      <c r="AJ102" s="317"/>
      <c r="AK102" s="42"/>
      <c r="AL102" s="318"/>
      <c r="AM102" s="318"/>
      <c r="AN102" s="318"/>
      <c r="AO102" s="318"/>
      <c r="AP102" s="318"/>
      <c r="AQ102" s="41"/>
      <c r="AR102" s="111"/>
      <c r="AS102" s="542"/>
      <c r="AT102" s="542"/>
      <c r="AU102" s="542"/>
      <c r="AV102" s="542"/>
      <c r="AW102" s="542"/>
      <c r="AX102" s="542"/>
      <c r="AY102" s="542"/>
      <c r="AZ102" s="542"/>
      <c r="BA102" s="542"/>
      <c r="BB102" s="542"/>
      <c r="BC102" s="542"/>
      <c r="BD102" s="542"/>
      <c r="BE102" s="542"/>
      <c r="BF102" s="542"/>
      <c r="BG102" s="542"/>
      <c r="BH102" s="542"/>
      <c r="BI102" s="41"/>
    </row>
    <row r="103" spans="1:61" ht="7.4" customHeight="1" x14ac:dyDescent="0.5">
      <c r="A103" s="42"/>
      <c r="B103" s="114"/>
      <c r="C103" s="114"/>
      <c r="D103" s="115"/>
      <c r="E103" s="113"/>
      <c r="F103" s="117"/>
      <c r="G103" s="117"/>
      <c r="H103" s="117"/>
      <c r="I103" s="117"/>
      <c r="J103" s="117"/>
      <c r="K103" s="117"/>
      <c r="L103" s="117"/>
      <c r="M103" s="117"/>
      <c r="N103" s="117"/>
      <c r="O103" s="117"/>
      <c r="P103" s="117"/>
      <c r="Q103" s="115"/>
      <c r="R103" s="113"/>
      <c r="S103" s="116" t="str">
        <f>IF(AL101&gt;0,VLOOKUP(F101,PL!$B$9:$BH$858,33,FALSE),"")</f>
        <v/>
      </c>
      <c r="T103" s="117"/>
      <c r="U103" s="117"/>
      <c r="V103" s="117"/>
      <c r="W103" s="117"/>
      <c r="X103" s="117"/>
      <c r="Y103" s="117"/>
      <c r="Z103" s="117"/>
      <c r="AA103" s="117"/>
      <c r="AB103" s="117"/>
      <c r="AC103" s="117"/>
      <c r="AD103" s="117"/>
      <c r="AE103" s="117"/>
      <c r="AF103" s="117"/>
      <c r="AG103" s="117"/>
      <c r="AH103" s="117"/>
      <c r="AI103" s="117"/>
      <c r="AJ103" s="115"/>
      <c r="AK103" s="113"/>
      <c r="AL103" s="183"/>
      <c r="AM103" s="183"/>
      <c r="AN103" s="183"/>
      <c r="AO103" s="183"/>
      <c r="AP103" s="183"/>
      <c r="AQ103" s="115"/>
      <c r="AR103" s="117"/>
      <c r="AS103" s="280"/>
      <c r="AT103" s="280"/>
      <c r="AU103" s="280"/>
      <c r="AV103" s="280"/>
      <c r="AW103" s="280"/>
      <c r="AX103" s="280"/>
      <c r="AY103" s="117"/>
      <c r="AZ103" s="117"/>
      <c r="BA103" s="280"/>
      <c r="BB103" s="280"/>
      <c r="BC103" s="280"/>
      <c r="BD103" s="280"/>
      <c r="BE103" s="280"/>
      <c r="BF103" s="280"/>
      <c r="BG103" s="280"/>
      <c r="BH103" s="280"/>
      <c r="BI103" s="41"/>
    </row>
    <row r="104" spans="1:61" ht="7.4" customHeight="1" x14ac:dyDescent="0.5">
      <c r="A104" s="42"/>
      <c r="D104" s="41"/>
      <c r="E104" s="42"/>
      <c r="Q104" s="41"/>
      <c r="R104" s="42"/>
      <c r="S104" s="49"/>
      <c r="AJ104" s="41"/>
      <c r="AK104" s="42"/>
      <c r="AL104" s="127"/>
      <c r="AM104" s="127"/>
      <c r="AN104" s="127"/>
      <c r="AO104" s="127"/>
      <c r="AP104" s="127"/>
      <c r="AQ104" s="41"/>
      <c r="AS104" s="280"/>
      <c r="AT104" s="280"/>
      <c r="AU104" s="280"/>
      <c r="AV104" s="280"/>
      <c r="AW104" s="280"/>
      <c r="AX104" s="280"/>
      <c r="BA104" s="280"/>
      <c r="BB104" s="280"/>
      <c r="BC104" s="280"/>
      <c r="BD104" s="280"/>
      <c r="BE104" s="280"/>
      <c r="BF104" s="280"/>
      <c r="BG104" s="280"/>
      <c r="BH104" s="280"/>
      <c r="BI104" s="41"/>
    </row>
    <row r="105" spans="1:61" ht="7.4" customHeight="1" x14ac:dyDescent="0.5">
      <c r="A105" s="42"/>
      <c r="B105" s="311">
        <f>B101+1</f>
        <v>21</v>
      </c>
      <c r="C105" s="311"/>
      <c r="D105" s="41"/>
      <c r="E105" s="42"/>
      <c r="F105" s="543"/>
      <c r="G105" s="543"/>
      <c r="H105" s="543"/>
      <c r="I105" s="543"/>
      <c r="J105" s="543"/>
      <c r="K105" s="543"/>
      <c r="L105" s="543"/>
      <c r="M105" s="543"/>
      <c r="N105" s="543"/>
      <c r="O105" s="543"/>
      <c r="P105" s="543"/>
      <c r="Q105" s="544"/>
      <c r="R105" s="42"/>
      <c r="S105" s="316" t="e">
        <f>VLOOKUP(F105,PL!$B$9:$BH$858,14,FALSE)</f>
        <v>#N/A</v>
      </c>
      <c r="T105" s="316"/>
      <c r="U105" s="316"/>
      <c r="V105" s="316"/>
      <c r="W105" s="316"/>
      <c r="X105" s="316"/>
      <c r="Y105" s="316"/>
      <c r="Z105" s="316"/>
      <c r="AA105" s="316"/>
      <c r="AB105" s="316"/>
      <c r="AC105" s="316"/>
      <c r="AD105" s="316"/>
      <c r="AE105" s="316"/>
      <c r="AF105" s="316"/>
      <c r="AG105" s="316"/>
      <c r="AH105" s="316"/>
      <c r="AI105" s="316"/>
      <c r="AJ105" s="317"/>
      <c r="AK105" s="42"/>
      <c r="AL105" s="318"/>
      <c r="AM105" s="318"/>
      <c r="AN105" s="318"/>
      <c r="AO105" s="318"/>
      <c r="AP105" s="318"/>
      <c r="AQ105" s="41"/>
      <c r="AR105" s="111"/>
      <c r="AS105" s="542" t="e">
        <f>VLOOKUP(F105,PL!$B$9:$BH$813,52,FALSE)</f>
        <v>#N/A</v>
      </c>
      <c r="AT105" s="542"/>
      <c r="AU105" s="542"/>
      <c r="AV105" s="542"/>
      <c r="AW105" s="542"/>
      <c r="AX105" s="542"/>
      <c r="AY105" s="542"/>
      <c r="AZ105" s="542"/>
      <c r="BA105" s="542"/>
      <c r="BB105" s="542"/>
      <c r="BC105" s="542"/>
      <c r="BD105" s="542"/>
      <c r="BE105" s="542"/>
      <c r="BF105" s="542"/>
      <c r="BG105" s="542"/>
      <c r="BH105" s="542"/>
      <c r="BI105" s="41"/>
    </row>
    <row r="106" spans="1:61" ht="7.4" customHeight="1" x14ac:dyDescent="0.5">
      <c r="A106" s="42"/>
      <c r="B106" s="311"/>
      <c r="C106" s="311"/>
      <c r="D106" s="41"/>
      <c r="E106" s="42"/>
      <c r="F106" s="543"/>
      <c r="G106" s="543"/>
      <c r="H106" s="543"/>
      <c r="I106" s="543"/>
      <c r="J106" s="543"/>
      <c r="K106" s="543"/>
      <c r="L106" s="543"/>
      <c r="M106" s="543"/>
      <c r="N106" s="543"/>
      <c r="O106" s="543"/>
      <c r="P106" s="543"/>
      <c r="Q106" s="544"/>
      <c r="R106" s="42"/>
      <c r="S106" s="316"/>
      <c r="T106" s="316"/>
      <c r="U106" s="316"/>
      <c r="V106" s="316"/>
      <c r="W106" s="316"/>
      <c r="X106" s="316"/>
      <c r="Y106" s="316"/>
      <c r="Z106" s="316"/>
      <c r="AA106" s="316"/>
      <c r="AB106" s="316"/>
      <c r="AC106" s="316"/>
      <c r="AD106" s="316"/>
      <c r="AE106" s="316"/>
      <c r="AF106" s="316"/>
      <c r="AG106" s="316"/>
      <c r="AH106" s="316"/>
      <c r="AI106" s="316"/>
      <c r="AJ106" s="317"/>
      <c r="AK106" s="42"/>
      <c r="AL106" s="318"/>
      <c r="AM106" s="318"/>
      <c r="AN106" s="318"/>
      <c r="AO106" s="318"/>
      <c r="AP106" s="318"/>
      <c r="AQ106" s="41"/>
      <c r="AR106" s="111"/>
      <c r="AS106" s="542"/>
      <c r="AT106" s="542"/>
      <c r="AU106" s="542"/>
      <c r="AV106" s="542"/>
      <c r="AW106" s="542"/>
      <c r="AX106" s="542"/>
      <c r="AY106" s="542"/>
      <c r="AZ106" s="542"/>
      <c r="BA106" s="542"/>
      <c r="BB106" s="542"/>
      <c r="BC106" s="542"/>
      <c r="BD106" s="542"/>
      <c r="BE106" s="542"/>
      <c r="BF106" s="542"/>
      <c r="BG106" s="542"/>
      <c r="BH106" s="542"/>
      <c r="BI106" s="41"/>
    </row>
    <row r="107" spans="1:61" ht="7.4" customHeight="1" x14ac:dyDescent="0.5">
      <c r="A107" s="42"/>
      <c r="B107" s="281"/>
      <c r="C107" s="281"/>
      <c r="D107" s="115"/>
      <c r="E107" s="113"/>
      <c r="F107" s="117"/>
      <c r="G107" s="117"/>
      <c r="H107" s="117"/>
      <c r="I107" s="117"/>
      <c r="J107" s="117"/>
      <c r="K107" s="117"/>
      <c r="L107" s="117"/>
      <c r="M107" s="117"/>
      <c r="N107" s="117"/>
      <c r="O107" s="117"/>
      <c r="P107" s="117"/>
      <c r="Q107" s="115"/>
      <c r="R107" s="113"/>
      <c r="S107" s="116" t="str">
        <f>IF(AL105&gt;0,VLOOKUP(F105,PL!$B$9:$BH$858,33,FALSE),"")</f>
        <v/>
      </c>
      <c r="T107" s="117"/>
      <c r="U107" s="117"/>
      <c r="V107" s="117"/>
      <c r="W107" s="117"/>
      <c r="X107" s="117"/>
      <c r="Y107" s="117"/>
      <c r="Z107" s="117"/>
      <c r="AA107" s="117"/>
      <c r="AB107" s="117"/>
      <c r="AC107" s="117"/>
      <c r="AD107" s="117"/>
      <c r="AE107" s="117"/>
      <c r="AF107" s="117"/>
      <c r="AG107" s="117"/>
      <c r="AH107" s="117"/>
      <c r="AI107" s="117"/>
      <c r="AJ107" s="115"/>
      <c r="AK107" s="113"/>
      <c r="AL107" s="183"/>
      <c r="AM107" s="183"/>
      <c r="AN107" s="183"/>
      <c r="AO107" s="183"/>
      <c r="AP107" s="183"/>
      <c r="AQ107" s="115"/>
      <c r="AR107" s="117"/>
      <c r="AS107" s="280"/>
      <c r="AT107" s="280"/>
      <c r="AU107" s="280"/>
      <c r="AV107" s="280"/>
      <c r="AW107" s="280"/>
      <c r="AX107" s="280"/>
      <c r="AY107" s="117"/>
      <c r="AZ107" s="117"/>
      <c r="BA107" s="280"/>
      <c r="BB107" s="280"/>
      <c r="BC107" s="280"/>
      <c r="BD107" s="280"/>
      <c r="BE107" s="280"/>
      <c r="BF107" s="280"/>
      <c r="BG107" s="280"/>
      <c r="BH107" s="280"/>
      <c r="BI107" s="41"/>
    </row>
    <row r="108" spans="1:61" ht="7.4" customHeight="1" x14ac:dyDescent="0.5">
      <c r="A108" s="42"/>
      <c r="B108" s="45"/>
      <c r="C108" s="45"/>
      <c r="D108" s="41"/>
      <c r="E108" s="42"/>
      <c r="Q108" s="41"/>
      <c r="R108" s="42"/>
      <c r="S108" s="49"/>
      <c r="AJ108" s="41"/>
      <c r="AK108" s="42"/>
      <c r="AL108" s="75"/>
      <c r="AM108" s="75"/>
      <c r="AN108" s="75"/>
      <c r="AO108" s="75"/>
      <c r="AP108" s="75"/>
      <c r="AQ108" s="41"/>
      <c r="AS108" s="280"/>
      <c r="AT108" s="280"/>
      <c r="AU108" s="280"/>
      <c r="AV108" s="280"/>
      <c r="AW108" s="280"/>
      <c r="AX108" s="280"/>
      <c r="BA108" s="280"/>
      <c r="BB108" s="280"/>
      <c r="BC108" s="280"/>
      <c r="BD108" s="280"/>
      <c r="BE108" s="280"/>
      <c r="BF108" s="280"/>
      <c r="BG108" s="280"/>
      <c r="BH108" s="280"/>
      <c r="BI108" s="41"/>
    </row>
    <row r="109" spans="1:61" ht="7.4" customHeight="1" x14ac:dyDescent="0.5">
      <c r="A109" s="50"/>
      <c r="B109" s="51"/>
      <c r="C109" s="51"/>
      <c r="D109" s="52"/>
      <c r="E109" s="51"/>
      <c r="F109" s="51"/>
      <c r="G109" s="51"/>
      <c r="H109" s="51"/>
      <c r="I109" s="51"/>
      <c r="J109" s="51"/>
      <c r="K109" s="51"/>
      <c r="L109" s="51"/>
      <c r="M109" s="51"/>
      <c r="N109" s="51"/>
      <c r="O109" s="51"/>
      <c r="P109" s="51"/>
      <c r="Q109" s="51"/>
      <c r="R109" s="50"/>
      <c r="S109" s="292"/>
      <c r="T109" s="51"/>
      <c r="U109" s="51"/>
      <c r="V109" s="51"/>
      <c r="W109" s="51"/>
      <c r="X109" s="51"/>
      <c r="Y109" s="51"/>
      <c r="Z109" s="51"/>
      <c r="AA109" s="51"/>
      <c r="AB109" s="51"/>
      <c r="AC109" s="51"/>
      <c r="AD109" s="51"/>
      <c r="AE109" s="51"/>
      <c r="AF109" s="51"/>
      <c r="AG109" s="51"/>
      <c r="AH109" s="51"/>
      <c r="AI109" s="51"/>
      <c r="AJ109" s="52"/>
      <c r="AK109" s="50"/>
      <c r="AL109" s="94"/>
      <c r="AM109" s="94"/>
      <c r="AN109" s="94"/>
      <c r="AO109" s="94"/>
      <c r="AP109" s="94"/>
      <c r="AQ109" s="51"/>
      <c r="AR109" s="50"/>
      <c r="AS109" s="296"/>
      <c r="AT109" s="296"/>
      <c r="AU109" s="296"/>
      <c r="AV109" s="296"/>
      <c r="AW109" s="296"/>
      <c r="AX109" s="296"/>
      <c r="AY109" s="51"/>
      <c r="AZ109" s="51"/>
      <c r="BA109" s="296"/>
      <c r="BB109" s="296"/>
      <c r="BC109" s="296"/>
      <c r="BD109" s="296"/>
      <c r="BE109" s="296"/>
      <c r="BF109" s="296"/>
      <c r="BG109" s="296"/>
      <c r="BH109" s="296"/>
      <c r="BI109" s="52"/>
    </row>
    <row r="112" spans="1:61" ht="7.4" customHeight="1" x14ac:dyDescent="0.5">
      <c r="A112" s="506" t="s">
        <v>193</v>
      </c>
      <c r="B112" s="506"/>
      <c r="C112" s="506"/>
      <c r="D112" s="506"/>
      <c r="E112" s="506"/>
      <c r="F112" s="506"/>
      <c r="G112" s="506"/>
      <c r="H112" s="506"/>
      <c r="I112" s="506"/>
      <c r="J112" s="506"/>
      <c r="K112" s="506"/>
      <c r="L112" s="506"/>
      <c r="M112" s="506"/>
      <c r="N112" s="506"/>
      <c r="O112" s="506"/>
      <c r="P112" s="506"/>
      <c r="Q112" s="506"/>
      <c r="R112" s="506"/>
      <c r="S112" s="506"/>
      <c r="T112" s="506"/>
      <c r="U112" s="506"/>
      <c r="V112" s="506"/>
      <c r="W112" s="506"/>
      <c r="X112" s="506"/>
      <c r="Y112" s="506"/>
      <c r="Z112" s="506"/>
      <c r="AA112" s="506"/>
      <c r="AB112" s="506"/>
      <c r="AC112" s="506"/>
      <c r="AD112" s="506"/>
      <c r="AE112" s="506"/>
      <c r="AF112" s="506"/>
      <c r="AG112" s="506"/>
      <c r="AH112" s="506"/>
      <c r="AI112" s="506"/>
      <c r="AJ112" s="506"/>
      <c r="AK112" s="506"/>
      <c r="AL112" s="506"/>
      <c r="AM112" s="506"/>
      <c r="AN112" s="506"/>
      <c r="AO112" s="506"/>
      <c r="AP112" s="506"/>
      <c r="AQ112" s="506"/>
      <c r="AR112" s="506"/>
      <c r="AS112" s="506"/>
      <c r="AT112" s="506"/>
      <c r="AU112" s="506"/>
      <c r="AV112" s="506"/>
      <c r="AW112" s="506"/>
      <c r="AX112" s="506"/>
      <c r="AY112" s="506"/>
      <c r="AZ112" s="506"/>
      <c r="BA112" s="506"/>
      <c r="BB112" s="506"/>
      <c r="BC112" s="506"/>
      <c r="BD112" s="506"/>
      <c r="BE112" s="506"/>
      <c r="BF112" s="506"/>
      <c r="BG112" s="506"/>
      <c r="BH112" s="506"/>
      <c r="BI112" s="506"/>
    </row>
    <row r="113" spans="1:61" ht="7.4" customHeight="1" x14ac:dyDescent="0.5">
      <c r="A113" s="506"/>
      <c r="B113" s="506"/>
      <c r="C113" s="506"/>
      <c r="D113" s="506"/>
      <c r="E113" s="506"/>
      <c r="F113" s="506"/>
      <c r="G113" s="506"/>
      <c r="H113" s="506"/>
      <c r="I113" s="506"/>
      <c r="J113" s="506"/>
      <c r="K113" s="506"/>
      <c r="L113" s="506"/>
      <c r="M113" s="506"/>
      <c r="N113" s="506"/>
      <c r="O113" s="506"/>
      <c r="P113" s="506"/>
      <c r="Q113" s="506"/>
      <c r="R113" s="506"/>
      <c r="S113" s="506"/>
      <c r="T113" s="506"/>
      <c r="U113" s="506"/>
      <c r="V113" s="506"/>
      <c r="W113" s="506"/>
      <c r="X113" s="506"/>
      <c r="Y113" s="506"/>
      <c r="Z113" s="506"/>
      <c r="AA113" s="506"/>
      <c r="AB113" s="506"/>
      <c r="AC113" s="506"/>
      <c r="AD113" s="506"/>
      <c r="AE113" s="506"/>
      <c r="AF113" s="506"/>
      <c r="AG113" s="506"/>
      <c r="AH113" s="506"/>
      <c r="AI113" s="506"/>
      <c r="AJ113" s="506"/>
      <c r="AK113" s="506"/>
      <c r="AL113" s="506"/>
      <c r="AM113" s="506"/>
      <c r="AN113" s="506"/>
      <c r="AO113" s="506"/>
      <c r="AP113" s="506"/>
      <c r="AQ113" s="506"/>
      <c r="AR113" s="506"/>
      <c r="AS113" s="506"/>
      <c r="AT113" s="506"/>
      <c r="AU113" s="506"/>
      <c r="AV113" s="506"/>
      <c r="AW113" s="506"/>
      <c r="AX113" s="506"/>
      <c r="AY113" s="506"/>
      <c r="AZ113" s="506"/>
      <c r="BA113" s="506"/>
      <c r="BB113" s="506"/>
      <c r="BC113" s="506"/>
      <c r="BD113" s="506"/>
      <c r="BE113" s="506"/>
      <c r="BF113" s="506"/>
      <c r="BG113" s="506"/>
      <c r="BH113" s="506"/>
      <c r="BI113" s="506"/>
    </row>
    <row r="114" spans="1:61" ht="7.4" customHeight="1" x14ac:dyDescent="0.5">
      <c r="A114" s="506"/>
      <c r="B114" s="506"/>
      <c r="C114" s="506"/>
      <c r="D114" s="506"/>
      <c r="E114" s="506"/>
      <c r="F114" s="506"/>
      <c r="G114" s="506"/>
      <c r="H114" s="506"/>
      <c r="I114" s="506"/>
      <c r="J114" s="506"/>
      <c r="K114" s="506"/>
      <c r="L114" s="506"/>
      <c r="M114" s="506"/>
      <c r="N114" s="506"/>
      <c r="O114" s="506"/>
      <c r="P114" s="506"/>
      <c r="Q114" s="506"/>
      <c r="R114" s="506"/>
      <c r="S114" s="506"/>
      <c r="T114" s="506"/>
      <c r="U114" s="506"/>
      <c r="V114" s="506"/>
      <c r="W114" s="506"/>
      <c r="X114" s="506"/>
      <c r="Y114" s="506"/>
      <c r="Z114" s="506"/>
      <c r="AA114" s="506"/>
      <c r="AB114" s="506"/>
      <c r="AC114" s="506"/>
      <c r="AD114" s="506"/>
      <c r="AE114" s="506"/>
      <c r="AF114" s="506"/>
      <c r="AG114" s="506"/>
      <c r="AH114" s="506"/>
      <c r="AI114" s="506"/>
      <c r="AJ114" s="506"/>
      <c r="AK114" s="506"/>
      <c r="AL114" s="506"/>
      <c r="AM114" s="506"/>
      <c r="AN114" s="506"/>
      <c r="AO114" s="506"/>
      <c r="AP114" s="506"/>
      <c r="AQ114" s="506"/>
      <c r="AR114" s="506"/>
      <c r="AS114" s="506"/>
      <c r="AT114" s="506"/>
      <c r="AU114" s="506"/>
      <c r="AV114" s="506"/>
      <c r="AW114" s="506"/>
      <c r="AX114" s="506"/>
      <c r="AY114" s="506"/>
      <c r="AZ114" s="506"/>
      <c r="BA114" s="506"/>
      <c r="BB114" s="506"/>
      <c r="BC114" s="506"/>
      <c r="BD114" s="506"/>
      <c r="BE114" s="506"/>
      <c r="BF114" s="506"/>
      <c r="BG114" s="506"/>
      <c r="BH114" s="506"/>
      <c r="BI114" s="506"/>
    </row>
  </sheetData>
  <sheetProtection algorithmName="SHA-512" hashValue="wGThY85kSGdLp4bIezr342ppHraxFn+snb1at/hEuG2oxDv0oyuRz0oSkxZj4z19cgS8SH0MGlUkuplmuvIi2A==" saltValue="ygluPu+QFZ15phx4p1YnvA==" spinCount="100000" sheet="1" selectLockedCells="1"/>
  <mergeCells count="144">
    <mergeCell ref="C17:F18"/>
    <mergeCell ref="G17:X18"/>
    <mergeCell ref="Y17:AC18"/>
    <mergeCell ref="AD17:AS18"/>
    <mergeCell ref="AT17:AW18"/>
    <mergeCell ref="AX17:BH18"/>
    <mergeCell ref="C1:AI9"/>
    <mergeCell ref="AN1:BH2"/>
    <mergeCell ref="AN3:BH4"/>
    <mergeCell ref="AN5:BH6"/>
    <mergeCell ref="AN7:BH8"/>
    <mergeCell ref="A10:AL15"/>
    <mergeCell ref="AN11:AV12"/>
    <mergeCell ref="AX11:BH12"/>
    <mergeCell ref="AN13:AV14"/>
    <mergeCell ref="AX13:BH14"/>
    <mergeCell ref="B20:D23"/>
    <mergeCell ref="F20:Q23"/>
    <mergeCell ref="S20:AJ23"/>
    <mergeCell ref="AL20:AQ23"/>
    <mergeCell ref="AR20:BI23"/>
    <mergeCell ref="B25:C26"/>
    <mergeCell ref="F25:Q26"/>
    <mergeCell ref="S25:AC26"/>
    <mergeCell ref="AD25:AD26"/>
    <mergeCell ref="AE25:AG26"/>
    <mergeCell ref="AH25:AI26"/>
    <mergeCell ref="AJ25:AJ26"/>
    <mergeCell ref="AL25:AP26"/>
    <mergeCell ref="AS25:BH26"/>
    <mergeCell ref="B27:C27"/>
    <mergeCell ref="B29:C30"/>
    <mergeCell ref="F29:Q30"/>
    <mergeCell ref="AL29:AP30"/>
    <mergeCell ref="AS29:BH30"/>
    <mergeCell ref="B33:C34"/>
    <mergeCell ref="F33:Q34"/>
    <mergeCell ref="AL33:AP34"/>
    <mergeCell ref="AS33:BH34"/>
    <mergeCell ref="S29:AC30"/>
    <mergeCell ref="AD29:AD30"/>
    <mergeCell ref="AE29:AG30"/>
    <mergeCell ref="AH29:AI30"/>
    <mergeCell ref="AJ29:AJ30"/>
    <mergeCell ref="S33:AC34"/>
    <mergeCell ref="AD33:AD34"/>
    <mergeCell ref="AE33:AG34"/>
    <mergeCell ref="AH33:AI34"/>
    <mergeCell ref="AJ33:AJ34"/>
    <mergeCell ref="B37:C38"/>
    <mergeCell ref="F37:Q38"/>
    <mergeCell ref="S37:AJ38"/>
    <mergeCell ref="AL37:AP38"/>
    <mergeCell ref="AS37:BH38"/>
    <mergeCell ref="B41:C42"/>
    <mergeCell ref="F41:Q42"/>
    <mergeCell ref="S41:AJ42"/>
    <mergeCell ref="AL41:AP42"/>
    <mergeCell ref="AS41:BH42"/>
    <mergeCell ref="B45:C46"/>
    <mergeCell ref="F45:Q46"/>
    <mergeCell ref="S45:AJ46"/>
    <mergeCell ref="AL45:AP46"/>
    <mergeCell ref="AS45:BH46"/>
    <mergeCell ref="BO49:BP50"/>
    <mergeCell ref="BQ49:BU50"/>
    <mergeCell ref="BV49:CA50"/>
    <mergeCell ref="B53:C54"/>
    <mergeCell ref="F53:Q54"/>
    <mergeCell ref="S53:AJ54"/>
    <mergeCell ref="AL53:AP54"/>
    <mergeCell ref="AS53:BH54"/>
    <mergeCell ref="B49:C50"/>
    <mergeCell ref="F49:Q50"/>
    <mergeCell ref="S49:AJ50"/>
    <mergeCell ref="AL49:AP50"/>
    <mergeCell ref="AS49:BH50"/>
    <mergeCell ref="BJ49:BN50"/>
    <mergeCell ref="B57:C58"/>
    <mergeCell ref="F57:Q58"/>
    <mergeCell ref="S57:AJ58"/>
    <mergeCell ref="AL57:AP58"/>
    <mergeCell ref="AS57:BH58"/>
    <mergeCell ref="B61:C62"/>
    <mergeCell ref="F61:Q62"/>
    <mergeCell ref="S61:AJ62"/>
    <mergeCell ref="AL61:AP62"/>
    <mergeCell ref="AS61:BH62"/>
    <mergeCell ref="B65:C66"/>
    <mergeCell ref="F65:Q66"/>
    <mergeCell ref="S65:AJ66"/>
    <mergeCell ref="AL65:AP66"/>
    <mergeCell ref="AS65:BH66"/>
    <mergeCell ref="B69:C70"/>
    <mergeCell ref="F69:Q70"/>
    <mergeCell ref="S69:AJ70"/>
    <mergeCell ref="AL69:AP70"/>
    <mergeCell ref="AS69:BH70"/>
    <mergeCell ref="B73:C74"/>
    <mergeCell ref="F73:Q74"/>
    <mergeCell ref="S73:AJ74"/>
    <mergeCell ref="AL73:AP74"/>
    <mergeCell ref="AS73:BH74"/>
    <mergeCell ref="B77:C78"/>
    <mergeCell ref="F77:Q78"/>
    <mergeCell ref="S77:AJ78"/>
    <mergeCell ref="AL77:AP78"/>
    <mergeCell ref="AS77:BH78"/>
    <mergeCell ref="A112:BI114"/>
    <mergeCell ref="B81:C82"/>
    <mergeCell ref="F81:Q82"/>
    <mergeCell ref="S81:AJ82"/>
    <mergeCell ref="AL81:AP82"/>
    <mergeCell ref="AS81:BH82"/>
    <mergeCell ref="B85:C86"/>
    <mergeCell ref="F85:Q86"/>
    <mergeCell ref="S85:AJ86"/>
    <mergeCell ref="AL85:AP86"/>
    <mergeCell ref="AS85:BH86"/>
    <mergeCell ref="B89:C90"/>
    <mergeCell ref="F89:Q90"/>
    <mergeCell ref="S89:AJ90"/>
    <mergeCell ref="AL89:AP90"/>
    <mergeCell ref="AS89:BH90"/>
    <mergeCell ref="B93:C94"/>
    <mergeCell ref="F93:Q94"/>
    <mergeCell ref="S93:AJ94"/>
    <mergeCell ref="AL93:AP94"/>
    <mergeCell ref="AS93:BH94"/>
    <mergeCell ref="B97:C98"/>
    <mergeCell ref="F97:Q98"/>
    <mergeCell ref="S97:AJ98"/>
    <mergeCell ref="AL97:AP98"/>
    <mergeCell ref="AS97:BH98"/>
    <mergeCell ref="B101:C102"/>
    <mergeCell ref="F101:Q102"/>
    <mergeCell ref="S101:AJ102"/>
    <mergeCell ref="AL101:AP102"/>
    <mergeCell ref="AS101:BH102"/>
    <mergeCell ref="B105:C106"/>
    <mergeCell ref="F105:Q106"/>
    <mergeCell ref="S105:AJ106"/>
    <mergeCell ref="AL105:AP106"/>
    <mergeCell ref="AS105:BH106"/>
  </mergeCells>
  <dataValidations count="2">
    <dataValidation type="list" allowBlank="1" showInputMessage="1" showErrorMessage="1" sqref="AE25:AG26 AE29:AG30 AE33:AG34" xr:uid="{9731F94E-2420-4E42-8008-4B7901E08BE5}">
      <formula1>"4.7,5.85,5.7"</formula1>
    </dataValidation>
    <dataValidation type="list" allowBlank="1" showInputMessage="1" showErrorMessage="1" sqref="CI49:CI50" xr:uid="{4FCEBC62-0D70-420D-BCA5-EEB4396E2C5E}">
      <formula1>"USD,ZAR"</formula1>
    </dataValidation>
  </dataValidations>
  <pageMargins left="0.7" right="0.7" top="0.75" bottom="0.75" header="0.3" footer="0.3"/>
  <pageSetup paperSize="9" scale="85" fitToWidth="0" fitToHeight="0"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777E67CE-9C6D-4A7F-B331-CCF6E8C5DE3B}">
          <x14:formula1>
            <xm:f>PL!$B$167:$B$172</xm:f>
          </x14:formula1>
          <xm:sqref>F25:Q26 F29:Q30 F33:Q34</xm:sqref>
        </x14:dataValidation>
        <x14:dataValidation type="list" allowBlank="1" showInputMessage="1" showErrorMessage="1" xr:uid="{BB1FB5C2-EF63-4585-BCED-58B968CF4D3C}">
          <x14:formula1>
            <xm:f>PL!$B$9:$B$900</xm:f>
          </x14:formula1>
          <xm:sqref>F37:Q38 F41:Q42 F45:Q46 F49:Q50 F69:Q70 F81:Q82 F53:Q54 F61:Q62 F57:Q58 F65:Q66 F73:Q74 F77:Q78 F85:Q86 F89:Q90 F93:Q94 F97:Q98 F101:Q102 F105:Q106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BF073-32ED-4F83-A7C2-03D9E9D19AD6}">
  <sheetPr>
    <tabColor theme="1"/>
  </sheetPr>
  <dimension ref="A1:CX509"/>
  <sheetViews>
    <sheetView view="pageBreakPreview" topLeftCell="A226" zoomScaleNormal="100" zoomScaleSheetLayoutView="100" workbookViewId="0">
      <selection activeCell="AO31" sqref="AL31:AP34"/>
    </sheetView>
  </sheetViews>
  <sheetFormatPr defaultColWidth="1.54296875" defaultRowHeight="7.4" customHeight="1" x14ac:dyDescent="0.5"/>
  <cols>
    <col min="1" max="1" width="1.54296875" style="1"/>
    <col min="2" max="2" width="1.54296875" style="1" customWidth="1"/>
    <col min="3" max="18" width="1.54296875" style="1"/>
    <col min="19" max="19" width="1.54296875" style="1" customWidth="1"/>
    <col min="20" max="30" width="1.54296875" style="1"/>
    <col min="31" max="33" width="1.54296875" style="1" customWidth="1"/>
    <col min="34" max="37" width="1.54296875" style="1"/>
    <col min="38" max="38" width="1.54296875" style="1" customWidth="1"/>
    <col min="39" max="43" width="1.54296875" style="1"/>
    <col min="44" max="44" width="1.453125" style="1" customWidth="1"/>
    <col min="45" max="45" width="1.54296875" style="1" customWidth="1"/>
    <col min="46" max="46" width="1.453125" style="1" customWidth="1"/>
    <col min="47" max="47" width="1.54296875" style="1"/>
    <col min="48" max="48" width="1.54296875" style="1" customWidth="1"/>
    <col min="49" max="51" width="1.54296875" style="1"/>
    <col min="52" max="53" width="1.54296875" style="1" customWidth="1"/>
    <col min="54" max="54" width="1.453125" style="1" customWidth="1"/>
    <col min="55" max="61" width="1.54296875" style="1"/>
    <col min="62" max="62" width="1.54296875" style="3" hidden="1" customWidth="1"/>
    <col min="63" max="68" width="0" style="3" hidden="1" customWidth="1"/>
    <col min="69" max="69" width="1.54296875" style="3" bestFit="1" customWidth="1"/>
    <col min="70" max="16384" width="1.54296875" style="3"/>
  </cols>
  <sheetData>
    <row r="1" spans="1:64" ht="7.4" customHeight="1" x14ac:dyDescent="0.5">
      <c r="C1" s="562"/>
      <c r="D1" s="562"/>
      <c r="E1" s="562"/>
      <c r="F1" s="562"/>
      <c r="G1" s="562"/>
      <c r="H1" s="562"/>
      <c r="I1" s="562"/>
      <c r="J1" s="562"/>
      <c r="K1" s="562"/>
      <c r="L1" s="562"/>
      <c r="M1" s="562"/>
      <c r="N1" s="562"/>
      <c r="O1" s="562"/>
      <c r="P1" s="562"/>
      <c r="Q1" s="562"/>
      <c r="R1" s="562"/>
      <c r="S1" s="562"/>
      <c r="T1" s="562"/>
      <c r="U1" s="562"/>
      <c r="V1" s="562"/>
      <c r="W1" s="562"/>
      <c r="X1" s="562"/>
      <c r="Y1" s="562"/>
      <c r="Z1" s="562"/>
      <c r="AA1" s="562"/>
      <c r="AB1" s="562"/>
      <c r="AC1" s="562"/>
      <c r="AD1" s="562"/>
      <c r="AE1" s="562"/>
      <c r="AF1" s="562"/>
      <c r="AG1" s="562"/>
      <c r="AH1" s="562"/>
      <c r="AI1" s="562"/>
      <c r="AN1" s="565"/>
      <c r="AO1" s="565"/>
      <c r="AP1" s="565"/>
      <c r="AQ1" s="565"/>
      <c r="AR1" s="565"/>
      <c r="AS1" s="565"/>
      <c r="AT1" s="565"/>
      <c r="AU1" s="565"/>
      <c r="AV1" s="565"/>
      <c r="AW1" s="565"/>
      <c r="AX1" s="565"/>
      <c r="AY1" s="565"/>
      <c r="AZ1" s="565"/>
      <c r="BA1" s="565"/>
      <c r="BB1" s="565"/>
      <c r="BC1" s="565"/>
      <c r="BD1" s="565"/>
      <c r="BE1" s="565"/>
      <c r="BF1" s="565"/>
      <c r="BG1" s="565"/>
      <c r="BH1" s="565"/>
    </row>
    <row r="2" spans="1:64" ht="7.4" customHeight="1" x14ac:dyDescent="0.5">
      <c r="C2" s="562"/>
      <c r="D2" s="562"/>
      <c r="E2" s="562"/>
      <c r="F2" s="562"/>
      <c r="G2" s="562"/>
      <c r="H2" s="562"/>
      <c r="I2" s="562"/>
      <c r="J2" s="562"/>
      <c r="K2" s="562"/>
      <c r="L2" s="562"/>
      <c r="M2" s="562"/>
      <c r="N2" s="562"/>
      <c r="O2" s="562"/>
      <c r="P2" s="562"/>
      <c r="Q2" s="562"/>
      <c r="R2" s="562"/>
      <c r="S2" s="562"/>
      <c r="T2" s="562"/>
      <c r="U2" s="562"/>
      <c r="V2" s="562"/>
      <c r="W2" s="562"/>
      <c r="X2" s="562"/>
      <c r="Y2" s="562"/>
      <c r="Z2" s="562"/>
      <c r="AA2" s="562"/>
      <c r="AB2" s="562"/>
      <c r="AC2" s="562"/>
      <c r="AD2" s="562"/>
      <c r="AE2" s="562"/>
      <c r="AF2" s="562"/>
      <c r="AG2" s="562"/>
      <c r="AH2" s="562"/>
      <c r="AI2" s="562"/>
      <c r="AN2" s="565"/>
      <c r="AO2" s="565"/>
      <c r="AP2" s="565"/>
      <c r="AQ2" s="565"/>
      <c r="AR2" s="565"/>
      <c r="AS2" s="565"/>
      <c r="AT2" s="565"/>
      <c r="AU2" s="565"/>
      <c r="AV2" s="565"/>
      <c r="AW2" s="565"/>
      <c r="AX2" s="565"/>
      <c r="AY2" s="565"/>
      <c r="AZ2" s="565"/>
      <c r="BA2" s="565"/>
      <c r="BB2" s="565"/>
      <c r="BC2" s="565"/>
      <c r="BD2" s="565"/>
      <c r="BE2" s="565"/>
      <c r="BF2" s="565"/>
      <c r="BG2" s="565"/>
      <c r="BH2" s="565"/>
    </row>
    <row r="3" spans="1:64" ht="7.4" customHeight="1" x14ac:dyDescent="0.5">
      <c r="C3" s="562"/>
      <c r="D3" s="562"/>
      <c r="E3" s="562"/>
      <c r="F3" s="562"/>
      <c r="G3" s="562"/>
      <c r="H3" s="562"/>
      <c r="I3" s="562"/>
      <c r="J3" s="562"/>
      <c r="K3" s="562"/>
      <c r="L3" s="562"/>
      <c r="M3" s="562"/>
      <c r="N3" s="562"/>
      <c r="O3" s="562"/>
      <c r="P3" s="562"/>
      <c r="Q3" s="562"/>
      <c r="R3" s="562"/>
      <c r="S3" s="562"/>
      <c r="T3" s="562"/>
      <c r="U3" s="562"/>
      <c r="V3" s="562"/>
      <c r="W3" s="562"/>
      <c r="X3" s="562"/>
      <c r="Y3" s="562"/>
      <c r="Z3" s="562"/>
      <c r="AA3" s="562"/>
      <c r="AB3" s="562"/>
      <c r="AC3" s="562"/>
      <c r="AD3" s="562"/>
      <c r="AE3" s="562"/>
      <c r="AF3" s="562"/>
      <c r="AG3" s="562"/>
      <c r="AH3" s="562"/>
      <c r="AI3" s="562"/>
      <c r="AN3" s="568"/>
      <c r="AO3" s="568"/>
      <c r="AP3" s="568"/>
      <c r="AQ3" s="568"/>
      <c r="AR3" s="568"/>
      <c r="AS3" s="568"/>
      <c r="AT3" s="568"/>
      <c r="AU3" s="568"/>
      <c r="AV3" s="568"/>
      <c r="AW3" s="568"/>
      <c r="AX3" s="568"/>
      <c r="AY3" s="568"/>
      <c r="AZ3" s="568"/>
      <c r="BA3" s="568"/>
      <c r="BB3" s="568"/>
      <c r="BC3" s="568"/>
      <c r="BD3" s="568"/>
      <c r="BE3" s="568"/>
      <c r="BF3" s="568"/>
      <c r="BG3" s="568"/>
      <c r="BH3" s="568"/>
    </row>
    <row r="4" spans="1:64" ht="7.4" customHeight="1" x14ac:dyDescent="0.5">
      <c r="C4" s="562"/>
      <c r="D4" s="562"/>
      <c r="E4" s="562"/>
      <c r="F4" s="562"/>
      <c r="G4" s="562"/>
      <c r="H4" s="562"/>
      <c r="I4" s="562"/>
      <c r="J4" s="562"/>
      <c r="K4" s="562"/>
      <c r="L4" s="562"/>
      <c r="M4" s="562"/>
      <c r="N4" s="562"/>
      <c r="O4" s="562"/>
      <c r="P4" s="562"/>
      <c r="Q4" s="562"/>
      <c r="R4" s="562"/>
      <c r="S4" s="562"/>
      <c r="T4" s="562"/>
      <c r="U4" s="562"/>
      <c r="V4" s="562"/>
      <c r="W4" s="562"/>
      <c r="X4" s="562"/>
      <c r="Y4" s="562"/>
      <c r="Z4" s="562"/>
      <c r="AA4" s="562"/>
      <c r="AB4" s="562"/>
      <c r="AC4" s="562"/>
      <c r="AD4" s="562"/>
      <c r="AE4" s="562"/>
      <c r="AF4" s="562"/>
      <c r="AG4" s="562"/>
      <c r="AH4" s="562"/>
      <c r="AI4" s="562"/>
      <c r="AN4" s="568"/>
      <c r="AO4" s="568"/>
      <c r="AP4" s="568"/>
      <c r="AQ4" s="568"/>
      <c r="AR4" s="568"/>
      <c r="AS4" s="568"/>
      <c r="AT4" s="568"/>
      <c r="AU4" s="568"/>
      <c r="AV4" s="568"/>
      <c r="AW4" s="568"/>
      <c r="AX4" s="568"/>
      <c r="AY4" s="568"/>
      <c r="AZ4" s="568"/>
      <c r="BA4" s="568"/>
      <c r="BB4" s="568"/>
      <c r="BC4" s="568"/>
      <c r="BD4" s="568"/>
      <c r="BE4" s="568"/>
      <c r="BF4" s="568"/>
      <c r="BG4" s="568"/>
      <c r="BH4" s="568"/>
    </row>
    <row r="5" spans="1:64" ht="7.4" customHeight="1" x14ac:dyDescent="0.5">
      <c r="C5" s="562"/>
      <c r="D5" s="562"/>
      <c r="E5" s="562"/>
      <c r="F5" s="562"/>
      <c r="G5" s="562"/>
      <c r="H5" s="562"/>
      <c r="I5" s="562"/>
      <c r="J5" s="562"/>
      <c r="K5" s="562"/>
      <c r="L5" s="562"/>
      <c r="M5" s="562"/>
      <c r="N5" s="562"/>
      <c r="O5" s="562"/>
      <c r="P5" s="562"/>
      <c r="Q5" s="562"/>
      <c r="R5" s="562"/>
      <c r="S5" s="562"/>
      <c r="T5" s="562"/>
      <c r="U5" s="562"/>
      <c r="V5" s="562"/>
      <c r="W5" s="562"/>
      <c r="X5" s="562"/>
      <c r="Y5" s="562"/>
      <c r="Z5" s="562"/>
      <c r="AA5" s="562"/>
      <c r="AB5" s="562"/>
      <c r="AC5" s="562"/>
      <c r="AD5" s="562"/>
      <c r="AE5" s="562"/>
      <c r="AF5" s="562"/>
      <c r="AG5" s="562"/>
      <c r="AH5" s="562"/>
      <c r="AI5" s="562"/>
      <c r="AN5" s="569"/>
      <c r="AO5" s="568"/>
      <c r="AP5" s="568"/>
      <c r="AQ5" s="568"/>
      <c r="AR5" s="568"/>
      <c r="AS5" s="568"/>
      <c r="AT5" s="568"/>
      <c r="AU5" s="568"/>
      <c r="AV5" s="568"/>
      <c r="AW5" s="568"/>
      <c r="AX5" s="568"/>
      <c r="AY5" s="568"/>
      <c r="AZ5" s="568"/>
      <c r="BA5" s="568"/>
      <c r="BB5" s="568"/>
      <c r="BC5" s="568"/>
      <c r="BD5" s="568"/>
      <c r="BE5" s="568"/>
      <c r="BF5" s="568"/>
      <c r="BG5" s="568"/>
      <c r="BH5" s="568"/>
    </row>
    <row r="6" spans="1:64" ht="7.4" customHeight="1" x14ac:dyDescent="0.5">
      <c r="C6" s="562"/>
      <c r="D6" s="562"/>
      <c r="E6" s="562"/>
      <c r="F6" s="562"/>
      <c r="G6" s="562"/>
      <c r="H6" s="562"/>
      <c r="I6" s="562"/>
      <c r="J6" s="562"/>
      <c r="K6" s="562"/>
      <c r="L6" s="562"/>
      <c r="M6" s="562"/>
      <c r="N6" s="562"/>
      <c r="O6" s="562"/>
      <c r="P6" s="562"/>
      <c r="Q6" s="562"/>
      <c r="R6" s="562"/>
      <c r="S6" s="562"/>
      <c r="T6" s="562"/>
      <c r="U6" s="562"/>
      <c r="V6" s="562"/>
      <c r="W6" s="562"/>
      <c r="X6" s="562"/>
      <c r="Y6" s="562"/>
      <c r="Z6" s="562"/>
      <c r="AA6" s="562"/>
      <c r="AB6" s="562"/>
      <c r="AC6" s="562"/>
      <c r="AD6" s="562"/>
      <c r="AE6" s="562"/>
      <c r="AF6" s="562"/>
      <c r="AG6" s="562"/>
      <c r="AH6" s="562"/>
      <c r="AI6" s="562"/>
      <c r="AN6" s="568"/>
      <c r="AO6" s="568"/>
      <c r="AP6" s="568"/>
      <c r="AQ6" s="568"/>
      <c r="AR6" s="568"/>
      <c r="AS6" s="568"/>
      <c r="AT6" s="568"/>
      <c r="AU6" s="568"/>
      <c r="AV6" s="568"/>
      <c r="AW6" s="568"/>
      <c r="AX6" s="568"/>
      <c r="AY6" s="568"/>
      <c r="AZ6" s="568"/>
      <c r="BA6" s="568"/>
      <c r="BB6" s="568"/>
      <c r="BC6" s="568"/>
      <c r="BD6" s="568"/>
      <c r="BE6" s="568"/>
      <c r="BF6" s="568"/>
      <c r="BG6" s="568"/>
      <c r="BH6" s="568"/>
    </row>
    <row r="7" spans="1:64" ht="7.4" customHeight="1" x14ac:dyDescent="0.5">
      <c r="C7" s="562"/>
      <c r="D7" s="562"/>
      <c r="E7" s="562"/>
      <c r="F7" s="562"/>
      <c r="G7" s="562"/>
      <c r="H7" s="562"/>
      <c r="I7" s="562"/>
      <c r="J7" s="562"/>
      <c r="K7" s="562"/>
      <c r="L7" s="562"/>
      <c r="M7" s="562"/>
      <c r="N7" s="562"/>
      <c r="O7" s="562"/>
      <c r="P7" s="562"/>
      <c r="Q7" s="562"/>
      <c r="R7" s="562"/>
      <c r="S7" s="562"/>
      <c r="T7" s="562"/>
      <c r="U7" s="562"/>
      <c r="V7" s="562"/>
      <c r="W7" s="562"/>
      <c r="X7" s="562"/>
      <c r="Y7" s="562"/>
      <c r="Z7" s="562"/>
      <c r="AA7" s="562"/>
      <c r="AB7" s="562"/>
      <c r="AC7" s="562"/>
      <c r="AD7" s="562"/>
      <c r="AE7" s="562"/>
      <c r="AF7" s="562"/>
      <c r="AG7" s="562"/>
      <c r="AH7" s="562"/>
      <c r="AI7" s="562"/>
      <c r="AN7" s="565"/>
      <c r="AO7" s="565"/>
      <c r="AP7" s="565"/>
      <c r="AQ7" s="565"/>
      <c r="AR7" s="565"/>
      <c r="AS7" s="565"/>
      <c r="AT7" s="565"/>
      <c r="AU7" s="565"/>
      <c r="AV7" s="565"/>
      <c r="AW7" s="565"/>
      <c r="AX7" s="565"/>
      <c r="AY7" s="565"/>
      <c r="AZ7" s="565"/>
      <c r="BA7" s="565"/>
      <c r="BB7" s="565"/>
      <c r="BC7" s="565"/>
      <c r="BD7" s="565"/>
      <c r="BE7" s="565"/>
      <c r="BF7" s="565"/>
      <c r="BG7" s="565"/>
      <c r="BH7" s="565"/>
    </row>
    <row r="8" spans="1:64" ht="7.4" customHeight="1" x14ac:dyDescent="0.5">
      <c r="C8" s="562"/>
      <c r="D8" s="562"/>
      <c r="E8" s="562"/>
      <c r="F8" s="562"/>
      <c r="G8" s="562"/>
      <c r="H8" s="562"/>
      <c r="I8" s="562"/>
      <c r="J8" s="562"/>
      <c r="K8" s="562"/>
      <c r="L8" s="562"/>
      <c r="M8" s="562"/>
      <c r="N8" s="562"/>
      <c r="O8" s="562"/>
      <c r="P8" s="562"/>
      <c r="Q8" s="562"/>
      <c r="R8" s="562"/>
      <c r="S8" s="562"/>
      <c r="T8" s="562"/>
      <c r="U8" s="562"/>
      <c r="V8" s="562"/>
      <c r="W8" s="562"/>
      <c r="X8" s="562"/>
      <c r="Y8" s="562"/>
      <c r="Z8" s="562"/>
      <c r="AA8" s="562"/>
      <c r="AB8" s="562"/>
      <c r="AC8" s="562"/>
      <c r="AD8" s="562"/>
      <c r="AE8" s="562"/>
      <c r="AF8" s="562"/>
      <c r="AG8" s="562"/>
      <c r="AH8" s="562"/>
      <c r="AI8" s="562"/>
      <c r="AN8" s="565"/>
      <c r="AO8" s="565"/>
      <c r="AP8" s="565"/>
      <c r="AQ8" s="565"/>
      <c r="AR8" s="565"/>
      <c r="AS8" s="565"/>
      <c r="AT8" s="565"/>
      <c r="AU8" s="565"/>
      <c r="AV8" s="565"/>
      <c r="AW8" s="565"/>
      <c r="AX8" s="565"/>
      <c r="AY8" s="565"/>
      <c r="AZ8" s="565"/>
      <c r="BA8" s="565"/>
      <c r="BB8" s="565"/>
      <c r="BC8" s="565"/>
      <c r="BD8" s="565"/>
      <c r="BE8" s="565"/>
      <c r="BF8" s="565"/>
      <c r="BG8" s="565"/>
      <c r="BH8" s="565"/>
    </row>
    <row r="9" spans="1:64" ht="7.4" customHeight="1" x14ac:dyDescent="0.5">
      <c r="C9" s="562"/>
      <c r="D9" s="562"/>
      <c r="E9" s="562"/>
      <c r="F9" s="562"/>
      <c r="G9" s="562"/>
      <c r="H9" s="562"/>
      <c r="I9" s="562"/>
      <c r="J9" s="562"/>
      <c r="K9" s="562"/>
      <c r="L9" s="562"/>
      <c r="M9" s="562"/>
      <c r="N9" s="562"/>
      <c r="O9" s="562"/>
      <c r="P9" s="562"/>
      <c r="Q9" s="562"/>
      <c r="R9" s="562"/>
      <c r="S9" s="562"/>
      <c r="T9" s="562"/>
      <c r="U9" s="562"/>
      <c r="V9" s="562"/>
      <c r="W9" s="562"/>
      <c r="X9" s="562"/>
      <c r="Y9" s="562"/>
      <c r="Z9" s="562"/>
      <c r="AA9" s="562"/>
      <c r="AB9" s="562"/>
      <c r="AC9" s="562"/>
      <c r="AD9" s="562"/>
      <c r="AE9" s="562"/>
      <c r="AF9" s="562"/>
      <c r="AG9" s="562"/>
      <c r="AH9" s="562"/>
      <c r="AI9" s="562"/>
    </row>
    <row r="10" spans="1:64" ht="7.4" customHeight="1" x14ac:dyDescent="0.5">
      <c r="A10" s="570"/>
      <c r="B10" s="570"/>
      <c r="C10" s="570"/>
      <c r="D10" s="570"/>
      <c r="E10" s="570"/>
      <c r="F10" s="570"/>
      <c r="G10" s="570"/>
      <c r="H10" s="570"/>
      <c r="I10" s="570"/>
      <c r="J10" s="570"/>
      <c r="K10" s="570"/>
      <c r="L10" s="570"/>
      <c r="M10" s="570"/>
      <c r="N10" s="570"/>
      <c r="O10" s="570"/>
      <c r="P10" s="570"/>
      <c r="Q10" s="570"/>
      <c r="R10" s="570"/>
      <c r="S10" s="570"/>
      <c r="T10" s="570"/>
      <c r="U10" s="570"/>
      <c r="V10" s="570"/>
      <c r="W10" s="570"/>
      <c r="X10" s="570"/>
      <c r="Y10" s="570"/>
      <c r="Z10" s="570"/>
      <c r="AA10" s="570"/>
      <c r="AB10" s="570"/>
      <c r="AC10" s="570"/>
      <c r="AD10" s="570"/>
      <c r="AE10" s="570"/>
      <c r="AF10" s="570"/>
      <c r="AG10" s="570"/>
      <c r="AH10" s="570"/>
      <c r="AI10" s="570"/>
      <c r="AJ10" s="570"/>
      <c r="AK10" s="570"/>
      <c r="AL10" s="570"/>
    </row>
    <row r="11" spans="1:64" ht="7.4" customHeight="1" x14ac:dyDescent="0.5">
      <c r="A11" s="570"/>
      <c r="B11" s="570"/>
      <c r="C11" s="570"/>
      <c r="D11" s="570"/>
      <c r="E11" s="570"/>
      <c r="F11" s="570"/>
      <c r="G11" s="570"/>
      <c r="H11" s="570"/>
      <c r="I11" s="570"/>
      <c r="J11" s="570"/>
      <c r="K11" s="570"/>
      <c r="L11" s="570"/>
      <c r="M11" s="570"/>
      <c r="N11" s="570"/>
      <c r="O11" s="570"/>
      <c r="P11" s="570"/>
      <c r="Q11" s="570"/>
      <c r="R11" s="570"/>
      <c r="S11" s="570"/>
      <c r="T11" s="570"/>
      <c r="U11" s="570"/>
      <c r="V11" s="570"/>
      <c r="W11" s="570"/>
      <c r="X11" s="570"/>
      <c r="Y11" s="570"/>
      <c r="Z11" s="570"/>
      <c r="AA11" s="570"/>
      <c r="AB11" s="570"/>
      <c r="AC11" s="570"/>
      <c r="AD11" s="570"/>
      <c r="AE11" s="570"/>
      <c r="AF11" s="570"/>
      <c r="AG11" s="570"/>
      <c r="AH11" s="570"/>
      <c r="AI11" s="570"/>
      <c r="AJ11" s="570"/>
      <c r="AK11" s="570"/>
      <c r="AL11" s="570"/>
      <c r="AN11" s="565"/>
      <c r="AO11" s="565"/>
      <c r="AP11" s="565"/>
      <c r="AQ11" s="565"/>
      <c r="AR11" s="565"/>
      <c r="AS11" s="565"/>
      <c r="AT11" s="565"/>
      <c r="AU11" s="565"/>
      <c r="AV11" s="565"/>
      <c r="AX11" s="571"/>
      <c r="AY11" s="571"/>
      <c r="AZ11" s="571"/>
      <c r="BA11" s="571"/>
      <c r="BB11" s="571"/>
      <c r="BC11" s="571"/>
      <c r="BD11" s="571"/>
      <c r="BE11" s="571"/>
      <c r="BF11" s="571"/>
      <c r="BG11" s="571"/>
      <c r="BH11" s="571"/>
    </row>
    <row r="12" spans="1:64" ht="7.4" customHeight="1" x14ac:dyDescent="0.5">
      <c r="A12" s="570"/>
      <c r="B12" s="570"/>
      <c r="C12" s="570"/>
      <c r="D12" s="570"/>
      <c r="E12" s="570"/>
      <c r="F12" s="570"/>
      <c r="G12" s="570"/>
      <c r="H12" s="570"/>
      <c r="I12" s="570"/>
      <c r="J12" s="570"/>
      <c r="K12" s="570"/>
      <c r="L12" s="570"/>
      <c r="M12" s="570"/>
      <c r="N12" s="570"/>
      <c r="O12" s="570"/>
      <c r="P12" s="570"/>
      <c r="Q12" s="570"/>
      <c r="R12" s="570"/>
      <c r="S12" s="570"/>
      <c r="T12" s="570"/>
      <c r="U12" s="570"/>
      <c r="V12" s="570"/>
      <c r="W12" s="570"/>
      <c r="X12" s="570"/>
      <c r="Y12" s="570"/>
      <c r="Z12" s="570"/>
      <c r="AA12" s="570"/>
      <c r="AB12" s="570"/>
      <c r="AC12" s="570"/>
      <c r="AD12" s="570"/>
      <c r="AE12" s="570"/>
      <c r="AF12" s="570"/>
      <c r="AG12" s="570"/>
      <c r="AH12" s="570"/>
      <c r="AI12" s="570"/>
      <c r="AJ12" s="570"/>
      <c r="AK12" s="570"/>
      <c r="AL12" s="570"/>
      <c r="AN12" s="565"/>
      <c r="AO12" s="565"/>
      <c r="AP12" s="565"/>
      <c r="AQ12" s="565"/>
      <c r="AR12" s="565"/>
      <c r="AS12" s="565"/>
      <c r="AT12" s="565"/>
      <c r="AU12" s="565"/>
      <c r="AV12" s="565"/>
      <c r="AX12" s="571"/>
      <c r="AY12" s="571"/>
      <c r="AZ12" s="571"/>
      <c r="BA12" s="571"/>
      <c r="BB12" s="571"/>
      <c r="BC12" s="571"/>
      <c r="BD12" s="571"/>
      <c r="BE12" s="571"/>
      <c r="BF12" s="571"/>
      <c r="BG12" s="571"/>
      <c r="BH12" s="571"/>
    </row>
    <row r="13" spans="1:64" ht="7.4" customHeight="1" x14ac:dyDescent="0.5">
      <c r="A13" s="570"/>
      <c r="B13" s="570"/>
      <c r="C13" s="570"/>
      <c r="D13" s="570"/>
      <c r="E13" s="570"/>
      <c r="F13" s="570"/>
      <c r="G13" s="570"/>
      <c r="H13" s="570"/>
      <c r="I13" s="570"/>
      <c r="J13" s="570"/>
      <c r="K13" s="570"/>
      <c r="L13" s="570"/>
      <c r="M13" s="570"/>
      <c r="N13" s="570"/>
      <c r="O13" s="570"/>
      <c r="P13" s="570"/>
      <c r="Q13" s="570"/>
      <c r="R13" s="570"/>
      <c r="S13" s="570"/>
      <c r="T13" s="570"/>
      <c r="U13" s="570"/>
      <c r="V13" s="570"/>
      <c r="W13" s="570"/>
      <c r="X13" s="570"/>
      <c r="Y13" s="570"/>
      <c r="Z13" s="570"/>
      <c r="AA13" s="570"/>
      <c r="AB13" s="570"/>
      <c r="AC13" s="570"/>
      <c r="AD13" s="570"/>
      <c r="AE13" s="570"/>
      <c r="AF13" s="570"/>
      <c r="AG13" s="570"/>
      <c r="AH13" s="570"/>
      <c r="AI13" s="570"/>
      <c r="AJ13" s="570"/>
      <c r="AK13" s="570"/>
      <c r="AL13" s="570"/>
      <c r="AN13" s="565"/>
      <c r="AO13" s="565"/>
      <c r="AP13" s="565"/>
      <c r="AQ13" s="565"/>
      <c r="AR13" s="565"/>
      <c r="AS13" s="565"/>
      <c r="AT13" s="565"/>
      <c r="AU13" s="565"/>
      <c r="AV13" s="565"/>
      <c r="AX13" s="565"/>
      <c r="AY13" s="565"/>
      <c r="AZ13" s="565"/>
      <c r="BA13" s="565"/>
      <c r="BB13" s="565"/>
      <c r="BC13" s="565"/>
      <c r="BD13" s="565"/>
      <c r="BE13" s="565"/>
      <c r="BF13" s="565"/>
      <c r="BG13" s="565"/>
      <c r="BH13" s="565"/>
    </row>
    <row r="14" spans="1:64" ht="7.4" customHeight="1" x14ac:dyDescent="0.5">
      <c r="A14" s="570"/>
      <c r="B14" s="570"/>
      <c r="C14" s="570"/>
      <c r="D14" s="570"/>
      <c r="E14" s="570"/>
      <c r="F14" s="570"/>
      <c r="G14" s="570"/>
      <c r="H14" s="570"/>
      <c r="I14" s="570"/>
      <c r="J14" s="570"/>
      <c r="K14" s="570"/>
      <c r="L14" s="570"/>
      <c r="M14" s="570"/>
      <c r="N14" s="570"/>
      <c r="O14" s="570"/>
      <c r="P14" s="570"/>
      <c r="Q14" s="570"/>
      <c r="R14" s="570"/>
      <c r="S14" s="570"/>
      <c r="T14" s="570"/>
      <c r="U14" s="570"/>
      <c r="V14" s="570"/>
      <c r="W14" s="570"/>
      <c r="X14" s="570"/>
      <c r="Y14" s="570"/>
      <c r="Z14" s="570"/>
      <c r="AA14" s="570"/>
      <c r="AB14" s="570"/>
      <c r="AC14" s="570"/>
      <c r="AD14" s="570"/>
      <c r="AE14" s="570"/>
      <c r="AF14" s="570"/>
      <c r="AG14" s="570"/>
      <c r="AH14" s="570"/>
      <c r="AI14" s="570"/>
      <c r="AJ14" s="570"/>
      <c r="AK14" s="570"/>
      <c r="AL14" s="570"/>
      <c r="AN14" s="565"/>
      <c r="AO14" s="565"/>
      <c r="AP14" s="565"/>
      <c r="AQ14" s="565"/>
      <c r="AR14" s="565"/>
      <c r="AS14" s="565"/>
      <c r="AT14" s="565"/>
      <c r="AU14" s="565"/>
      <c r="AV14" s="565"/>
      <c r="AX14" s="565"/>
      <c r="AY14" s="565"/>
      <c r="AZ14" s="565"/>
      <c r="BA14" s="565"/>
      <c r="BB14" s="565"/>
      <c r="BC14" s="565"/>
      <c r="BD14" s="565"/>
      <c r="BE14" s="565"/>
      <c r="BF14" s="565"/>
      <c r="BG14" s="565"/>
      <c r="BH14" s="565"/>
    </row>
    <row r="15" spans="1:64" ht="7.4" customHeight="1" x14ac:dyDescent="0.5">
      <c r="A15" s="570"/>
      <c r="B15" s="570"/>
      <c r="C15" s="570"/>
      <c r="D15" s="570"/>
      <c r="E15" s="570"/>
      <c r="F15" s="570"/>
      <c r="G15" s="570"/>
      <c r="H15" s="570"/>
      <c r="I15" s="570"/>
      <c r="J15" s="570"/>
      <c r="K15" s="570"/>
      <c r="L15" s="570"/>
      <c r="M15" s="570"/>
      <c r="N15" s="570"/>
      <c r="O15" s="570"/>
      <c r="P15" s="570"/>
      <c r="Q15" s="570"/>
      <c r="R15" s="570"/>
      <c r="S15" s="570"/>
      <c r="T15" s="570"/>
      <c r="U15" s="570"/>
      <c r="V15" s="570"/>
      <c r="W15" s="570"/>
      <c r="X15" s="570"/>
      <c r="Y15" s="570"/>
      <c r="Z15" s="570"/>
      <c r="AA15" s="570"/>
      <c r="AB15" s="570"/>
      <c r="AC15" s="570"/>
      <c r="AD15" s="570"/>
      <c r="AE15" s="570"/>
      <c r="AF15" s="570"/>
      <c r="AG15" s="570"/>
      <c r="AH15" s="570"/>
      <c r="AI15" s="570"/>
      <c r="AJ15" s="570"/>
      <c r="AK15" s="570"/>
      <c r="AL15" s="570"/>
    </row>
    <row r="16" spans="1:64" ht="7.4" customHeight="1" x14ac:dyDescent="0.5">
      <c r="BL16" s="3" t="s">
        <v>194</v>
      </c>
    </row>
    <row r="17" spans="1:102" ht="7.4" customHeight="1" x14ac:dyDescent="0.5">
      <c r="C17" s="565"/>
      <c r="D17" s="565"/>
      <c r="E17" s="565"/>
      <c r="F17" s="565"/>
      <c r="G17" s="566"/>
      <c r="H17" s="566"/>
      <c r="I17" s="566"/>
      <c r="J17" s="566"/>
      <c r="K17" s="566"/>
      <c r="L17" s="566"/>
      <c r="M17" s="566"/>
      <c r="N17" s="566"/>
      <c r="O17" s="566"/>
      <c r="P17" s="566"/>
      <c r="Q17" s="566"/>
      <c r="R17" s="566"/>
      <c r="S17" s="566"/>
      <c r="T17" s="566"/>
      <c r="U17" s="566"/>
      <c r="V17" s="566"/>
      <c r="W17" s="566"/>
      <c r="X17" s="566"/>
      <c r="Y17" s="565"/>
      <c r="Z17" s="565"/>
      <c r="AA17" s="565"/>
      <c r="AB17" s="565"/>
      <c r="AC17" s="565"/>
      <c r="AD17" s="566"/>
      <c r="AE17" s="566"/>
      <c r="AF17" s="566"/>
      <c r="AG17" s="566"/>
      <c r="AH17" s="566"/>
      <c r="AI17" s="566"/>
      <c r="AJ17" s="566"/>
      <c r="AK17" s="566"/>
      <c r="AL17" s="566"/>
      <c r="AM17" s="566"/>
      <c r="AN17" s="566"/>
      <c r="AO17" s="566"/>
      <c r="AP17" s="566"/>
      <c r="AQ17" s="566"/>
      <c r="AR17" s="566"/>
      <c r="AS17" s="566"/>
      <c r="AT17" s="565"/>
      <c r="AU17" s="565"/>
      <c r="AV17" s="565"/>
      <c r="AW17" s="565"/>
      <c r="AX17" s="567"/>
      <c r="AY17" s="567"/>
      <c r="AZ17" s="567"/>
      <c r="BA17" s="567"/>
      <c r="BB17" s="567"/>
      <c r="BC17" s="567"/>
      <c r="BD17" s="567"/>
      <c r="BE17" s="567"/>
      <c r="BF17" s="567"/>
      <c r="BG17" s="567"/>
      <c r="BH17" s="567"/>
      <c r="BL17" s="3" t="s">
        <v>195</v>
      </c>
    </row>
    <row r="18" spans="1:102" ht="7.4" customHeight="1" x14ac:dyDescent="0.5">
      <c r="C18" s="565"/>
      <c r="D18" s="565"/>
      <c r="E18" s="565"/>
      <c r="F18" s="565"/>
      <c r="G18" s="566"/>
      <c r="H18" s="566"/>
      <c r="I18" s="566"/>
      <c r="J18" s="566"/>
      <c r="K18" s="566"/>
      <c r="L18" s="566"/>
      <c r="M18" s="566"/>
      <c r="N18" s="566"/>
      <c r="O18" s="566"/>
      <c r="P18" s="566"/>
      <c r="Q18" s="566"/>
      <c r="R18" s="566"/>
      <c r="S18" s="566"/>
      <c r="T18" s="566"/>
      <c r="U18" s="566"/>
      <c r="V18" s="566"/>
      <c r="W18" s="566"/>
      <c r="X18" s="566"/>
      <c r="Y18" s="565"/>
      <c r="Z18" s="565"/>
      <c r="AA18" s="565"/>
      <c r="AB18" s="565"/>
      <c r="AC18" s="565"/>
      <c r="AD18" s="566"/>
      <c r="AE18" s="566"/>
      <c r="AF18" s="566"/>
      <c r="AG18" s="566"/>
      <c r="AH18" s="566"/>
      <c r="AI18" s="566"/>
      <c r="AJ18" s="566"/>
      <c r="AK18" s="566"/>
      <c r="AL18" s="566"/>
      <c r="AM18" s="566"/>
      <c r="AN18" s="566"/>
      <c r="AO18" s="566"/>
      <c r="AP18" s="566"/>
      <c r="AQ18" s="566"/>
      <c r="AR18" s="566"/>
      <c r="AS18" s="566"/>
      <c r="AT18" s="565"/>
      <c r="AU18" s="565"/>
      <c r="AV18" s="565"/>
      <c r="AW18" s="565"/>
      <c r="AX18" s="567"/>
      <c r="AY18" s="567"/>
      <c r="AZ18" s="567"/>
      <c r="BA18" s="567"/>
      <c r="BB18" s="567"/>
      <c r="BC18" s="567"/>
      <c r="BD18" s="567"/>
      <c r="BE18" s="567"/>
      <c r="BF18" s="567"/>
      <c r="BG18" s="567"/>
      <c r="BH18" s="567"/>
      <c r="CO18" s="4"/>
      <c r="CP18" s="4"/>
      <c r="CQ18" s="4"/>
      <c r="CR18" s="4"/>
      <c r="CS18" s="4"/>
      <c r="CT18" s="4"/>
    </row>
    <row r="19" spans="1:102" ht="7.4" customHeight="1" x14ac:dyDescent="0.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row>
    <row r="20" spans="1:102" ht="7.4" customHeight="1" x14ac:dyDescent="0.5">
      <c r="B20" s="555"/>
      <c r="C20" s="555"/>
      <c r="D20" s="555"/>
      <c r="F20" s="555"/>
      <c r="G20" s="555"/>
      <c r="H20" s="555"/>
      <c r="I20" s="555"/>
      <c r="J20" s="555"/>
      <c r="K20" s="555"/>
      <c r="L20" s="555"/>
      <c r="M20" s="555"/>
      <c r="N20" s="555"/>
      <c r="O20" s="555"/>
      <c r="P20" s="555"/>
      <c r="Q20" s="555"/>
      <c r="S20" s="555"/>
      <c r="T20" s="555"/>
      <c r="U20" s="555"/>
      <c r="V20" s="555"/>
      <c r="W20" s="555"/>
      <c r="X20" s="555"/>
      <c r="Y20" s="555"/>
      <c r="Z20" s="555"/>
      <c r="AA20" s="555"/>
      <c r="AB20" s="555"/>
      <c r="AC20" s="555"/>
      <c r="AD20" s="555"/>
      <c r="AE20" s="555"/>
      <c r="AF20" s="555"/>
      <c r="AG20" s="555"/>
      <c r="AH20" s="555"/>
      <c r="AI20" s="555"/>
      <c r="AJ20" s="555"/>
      <c r="AL20" s="555"/>
      <c r="AM20" s="555"/>
      <c r="AN20" s="555"/>
      <c r="AO20" s="555"/>
      <c r="AP20" s="555"/>
      <c r="AQ20" s="555"/>
      <c r="AR20" s="562"/>
      <c r="AS20" s="562"/>
      <c r="AT20" s="562"/>
      <c r="AU20" s="562"/>
      <c r="AV20" s="562"/>
      <c r="AW20" s="562"/>
      <c r="AX20" s="562"/>
      <c r="AY20" s="562"/>
      <c r="AZ20" s="562"/>
      <c r="BA20" s="562"/>
      <c r="BB20" s="562"/>
      <c r="BC20" s="562"/>
      <c r="BD20" s="562"/>
      <c r="BE20" s="562"/>
      <c r="BF20" s="562"/>
      <c r="BG20" s="562"/>
      <c r="BH20" s="562"/>
      <c r="BI20" s="562"/>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row>
    <row r="21" spans="1:102" ht="7.4" customHeight="1" x14ac:dyDescent="0.5">
      <c r="A21" s="6"/>
      <c r="B21" s="555"/>
      <c r="C21" s="555"/>
      <c r="D21" s="555"/>
      <c r="E21" s="6"/>
      <c r="F21" s="555"/>
      <c r="G21" s="555"/>
      <c r="H21" s="555"/>
      <c r="I21" s="555"/>
      <c r="J21" s="555"/>
      <c r="K21" s="555"/>
      <c r="L21" s="555"/>
      <c r="M21" s="555"/>
      <c r="N21" s="555"/>
      <c r="O21" s="555"/>
      <c r="P21" s="555"/>
      <c r="Q21" s="555"/>
      <c r="R21" s="6"/>
      <c r="S21" s="555"/>
      <c r="T21" s="555"/>
      <c r="U21" s="555"/>
      <c r="V21" s="555"/>
      <c r="W21" s="555"/>
      <c r="X21" s="555"/>
      <c r="Y21" s="555"/>
      <c r="Z21" s="555"/>
      <c r="AA21" s="555"/>
      <c r="AB21" s="555"/>
      <c r="AC21" s="555"/>
      <c r="AD21" s="555"/>
      <c r="AE21" s="555"/>
      <c r="AF21" s="555"/>
      <c r="AG21" s="555"/>
      <c r="AH21" s="555"/>
      <c r="AI21" s="555"/>
      <c r="AJ21" s="555"/>
      <c r="AK21" s="6"/>
      <c r="AL21" s="555"/>
      <c r="AM21" s="555"/>
      <c r="AN21" s="555"/>
      <c r="AO21" s="555"/>
      <c r="AP21" s="555"/>
      <c r="AQ21" s="555"/>
      <c r="AR21" s="562"/>
      <c r="AS21" s="562"/>
      <c r="AT21" s="562"/>
      <c r="AU21" s="562"/>
      <c r="AV21" s="562"/>
      <c r="AW21" s="562"/>
      <c r="AX21" s="562"/>
      <c r="AY21" s="562"/>
      <c r="AZ21" s="562"/>
      <c r="BA21" s="562"/>
      <c r="BB21" s="562"/>
      <c r="BC21" s="562"/>
      <c r="BD21" s="562"/>
      <c r="BE21" s="562"/>
      <c r="BF21" s="562"/>
      <c r="BG21" s="562"/>
      <c r="BH21" s="562"/>
      <c r="BI21" s="562"/>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row>
    <row r="22" spans="1:102" ht="7.4" customHeight="1" x14ac:dyDescent="0.5">
      <c r="A22" s="6"/>
      <c r="B22" s="555"/>
      <c r="C22" s="555"/>
      <c r="D22" s="555"/>
      <c r="E22" s="6"/>
      <c r="F22" s="555"/>
      <c r="G22" s="555"/>
      <c r="H22" s="555"/>
      <c r="I22" s="555"/>
      <c r="J22" s="555"/>
      <c r="K22" s="555"/>
      <c r="L22" s="555"/>
      <c r="M22" s="555"/>
      <c r="N22" s="555"/>
      <c r="O22" s="555"/>
      <c r="P22" s="555"/>
      <c r="Q22" s="555"/>
      <c r="R22" s="6"/>
      <c r="S22" s="555"/>
      <c r="T22" s="555"/>
      <c r="U22" s="555"/>
      <c r="V22" s="555"/>
      <c r="W22" s="555"/>
      <c r="X22" s="555"/>
      <c r="Y22" s="555"/>
      <c r="Z22" s="555"/>
      <c r="AA22" s="555"/>
      <c r="AB22" s="555"/>
      <c r="AC22" s="555"/>
      <c r="AD22" s="555"/>
      <c r="AE22" s="555"/>
      <c r="AF22" s="555"/>
      <c r="AG22" s="555"/>
      <c r="AH22" s="555"/>
      <c r="AI22" s="555"/>
      <c r="AJ22" s="555"/>
      <c r="AK22" s="6"/>
      <c r="AL22" s="555"/>
      <c r="AM22" s="555"/>
      <c r="AN22" s="555"/>
      <c r="AO22" s="555"/>
      <c r="AP22" s="555"/>
      <c r="AQ22" s="555"/>
      <c r="AR22" s="562"/>
      <c r="AS22" s="562"/>
      <c r="AT22" s="562"/>
      <c r="AU22" s="562"/>
      <c r="AV22" s="562"/>
      <c r="AW22" s="562"/>
      <c r="AX22" s="562"/>
      <c r="AY22" s="562"/>
      <c r="AZ22" s="562"/>
      <c r="BA22" s="562"/>
      <c r="BB22" s="562"/>
      <c r="BC22" s="562"/>
      <c r="BD22" s="562"/>
      <c r="BE22" s="562"/>
      <c r="BF22" s="562"/>
      <c r="BG22" s="562"/>
      <c r="BH22" s="562"/>
      <c r="BI22" s="562"/>
      <c r="BJ22" s="5"/>
      <c r="BK22" s="5"/>
      <c r="BL22" s="5"/>
      <c r="BM22" s="5"/>
      <c r="BN22" s="5"/>
      <c r="BO22" s="5"/>
      <c r="BP22" s="5"/>
      <c r="BQ22" s="5"/>
      <c r="BR22" s="5"/>
      <c r="BS22" s="5"/>
      <c r="BT22" s="5"/>
      <c r="BU22" s="5"/>
      <c r="BV22" s="5"/>
      <c r="BW22" s="5"/>
      <c r="BX22" s="5"/>
      <c r="BY22" s="5"/>
      <c r="BZ22" s="5"/>
      <c r="CA22" s="5"/>
      <c r="CB22" s="5"/>
      <c r="CC22" s="5"/>
      <c r="CD22" s="5"/>
      <c r="CE22" s="5"/>
      <c r="CF22" s="5"/>
      <c r="CG22" s="5"/>
      <c r="CH22" s="5"/>
      <c r="CI22" s="5"/>
      <c r="CJ22" s="5"/>
      <c r="CK22" s="5"/>
      <c r="CL22" s="5"/>
      <c r="CM22" s="5"/>
      <c r="CN22" s="5"/>
      <c r="CO22" s="5"/>
      <c r="CP22" s="5"/>
      <c r="CQ22" s="5"/>
      <c r="CR22" s="5"/>
      <c r="CS22" s="5"/>
      <c r="CT22" s="5"/>
      <c r="CU22" s="5"/>
      <c r="CV22" s="5"/>
      <c r="CW22" s="5"/>
      <c r="CX22" s="5"/>
    </row>
    <row r="23" spans="1:102" ht="7.4" customHeight="1" x14ac:dyDescent="0.5">
      <c r="B23" s="555"/>
      <c r="C23" s="555"/>
      <c r="D23" s="555"/>
      <c r="F23" s="555"/>
      <c r="G23" s="555"/>
      <c r="H23" s="555"/>
      <c r="I23" s="555"/>
      <c r="J23" s="555"/>
      <c r="K23" s="555"/>
      <c r="L23" s="555"/>
      <c r="M23" s="555"/>
      <c r="N23" s="555"/>
      <c r="O23" s="555"/>
      <c r="P23" s="555"/>
      <c r="Q23" s="555"/>
      <c r="S23" s="555"/>
      <c r="T23" s="555"/>
      <c r="U23" s="555"/>
      <c r="V23" s="555"/>
      <c r="W23" s="555"/>
      <c r="X23" s="555"/>
      <c r="Y23" s="555"/>
      <c r="Z23" s="555"/>
      <c r="AA23" s="555"/>
      <c r="AB23" s="555"/>
      <c r="AC23" s="555"/>
      <c r="AD23" s="555"/>
      <c r="AE23" s="555"/>
      <c r="AF23" s="555"/>
      <c r="AG23" s="555"/>
      <c r="AH23" s="555"/>
      <c r="AI23" s="555"/>
      <c r="AJ23" s="555"/>
      <c r="AL23" s="555"/>
      <c r="AM23" s="555"/>
      <c r="AN23" s="555"/>
      <c r="AO23" s="555"/>
      <c r="AP23" s="555"/>
      <c r="AQ23" s="555"/>
      <c r="AR23" s="562"/>
      <c r="AS23" s="562"/>
      <c r="AT23" s="562"/>
      <c r="AU23" s="562"/>
      <c r="AV23" s="562"/>
      <c r="AW23" s="562"/>
      <c r="AX23" s="562"/>
      <c r="AY23" s="562"/>
      <c r="AZ23" s="562"/>
      <c r="BA23" s="562"/>
      <c r="BB23" s="562"/>
      <c r="BC23" s="562"/>
      <c r="BD23" s="562"/>
      <c r="BE23" s="562"/>
      <c r="BF23" s="562"/>
      <c r="BG23" s="562"/>
      <c r="BH23" s="562"/>
      <c r="BI23" s="562"/>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c r="CQ23" s="5"/>
      <c r="CR23" s="5"/>
      <c r="CS23" s="5"/>
      <c r="CT23" s="5"/>
      <c r="CU23" s="5"/>
      <c r="CV23" s="5"/>
      <c r="CW23" s="5"/>
      <c r="CX23" s="5"/>
    </row>
    <row r="24" spans="1:102" ht="7.4" customHeight="1" x14ac:dyDescent="0.5">
      <c r="B24" s="2"/>
      <c r="C24" s="2"/>
      <c r="AL24" s="7"/>
      <c r="AM24" s="7"/>
      <c r="AN24" s="7"/>
      <c r="AO24" s="7"/>
      <c r="AP24" s="7"/>
      <c r="AS24" s="8"/>
      <c r="AT24" s="8"/>
      <c r="AU24" s="8"/>
      <c r="AV24" s="8"/>
      <c r="AW24" s="8"/>
      <c r="AX24" s="8"/>
      <c r="BA24" s="8"/>
      <c r="BB24" s="8"/>
      <c r="BC24" s="8"/>
      <c r="BD24" s="8"/>
      <c r="BE24" s="8"/>
      <c r="BF24" s="8"/>
      <c r="BG24" s="8"/>
      <c r="BH24" s="8"/>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c r="CP24" s="5"/>
      <c r="CQ24" s="5"/>
      <c r="CR24" s="5"/>
      <c r="CS24" s="5"/>
      <c r="CT24" s="5"/>
      <c r="CU24" s="5"/>
      <c r="CV24" s="5"/>
      <c r="CW24" s="5"/>
      <c r="CX24" s="5"/>
    </row>
    <row r="25" spans="1:102" ht="7.4" customHeight="1" x14ac:dyDescent="0.5">
      <c r="B25" s="553"/>
      <c r="C25" s="553"/>
      <c r="F25" s="554"/>
      <c r="G25" s="554"/>
      <c r="H25" s="554"/>
      <c r="I25" s="554"/>
      <c r="J25" s="554"/>
      <c r="K25" s="554"/>
      <c r="L25" s="554"/>
      <c r="M25" s="554"/>
      <c r="N25" s="554"/>
      <c r="O25" s="554"/>
      <c r="P25" s="554"/>
      <c r="Q25" s="554"/>
      <c r="S25" s="555"/>
      <c r="T25" s="555"/>
      <c r="U25" s="555"/>
      <c r="V25" s="555"/>
      <c r="W25" s="555"/>
      <c r="X25" s="555"/>
      <c r="Y25" s="555"/>
      <c r="Z25" s="555"/>
      <c r="AA25" s="555"/>
      <c r="AB25" s="555"/>
      <c r="AC25" s="555"/>
      <c r="AD25" s="563"/>
      <c r="AE25" s="564"/>
      <c r="AF25" s="564"/>
      <c r="AG25" s="564"/>
      <c r="AH25" s="563"/>
      <c r="AI25" s="563"/>
      <c r="AJ25" s="563"/>
      <c r="AL25" s="556"/>
      <c r="AM25" s="556"/>
      <c r="AN25" s="556"/>
      <c r="AO25" s="556"/>
      <c r="AP25" s="556"/>
      <c r="AR25" s="9"/>
      <c r="AS25" s="557"/>
      <c r="AT25" s="557"/>
      <c r="AU25" s="557"/>
      <c r="AV25" s="557"/>
      <c r="AW25" s="557"/>
      <c r="AX25" s="557"/>
      <c r="AY25" s="557"/>
      <c r="AZ25" s="557"/>
      <c r="BA25" s="557"/>
      <c r="BB25" s="557"/>
      <c r="BC25" s="557"/>
      <c r="BD25" s="557"/>
      <c r="BE25" s="557"/>
      <c r="BF25" s="557"/>
      <c r="BG25" s="557"/>
      <c r="BH25" s="557"/>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row>
    <row r="26" spans="1:102" ht="7.4" customHeight="1" x14ac:dyDescent="0.5">
      <c r="B26" s="553"/>
      <c r="C26" s="553"/>
      <c r="F26" s="554"/>
      <c r="G26" s="554"/>
      <c r="H26" s="554"/>
      <c r="I26" s="554"/>
      <c r="J26" s="554"/>
      <c r="K26" s="554"/>
      <c r="L26" s="554"/>
      <c r="M26" s="554"/>
      <c r="N26" s="554"/>
      <c r="O26" s="554"/>
      <c r="P26" s="554"/>
      <c r="Q26" s="554"/>
      <c r="S26" s="555"/>
      <c r="T26" s="555"/>
      <c r="U26" s="555"/>
      <c r="V26" s="555"/>
      <c r="W26" s="555"/>
      <c r="X26" s="555"/>
      <c r="Y26" s="555"/>
      <c r="Z26" s="555"/>
      <c r="AA26" s="555"/>
      <c r="AB26" s="555"/>
      <c r="AC26" s="555"/>
      <c r="AD26" s="563"/>
      <c r="AE26" s="564"/>
      <c r="AF26" s="564"/>
      <c r="AG26" s="564"/>
      <c r="AH26" s="563"/>
      <c r="AI26" s="563"/>
      <c r="AJ26" s="563"/>
      <c r="AL26" s="556"/>
      <c r="AM26" s="556"/>
      <c r="AN26" s="556"/>
      <c r="AO26" s="556"/>
      <c r="AP26" s="556"/>
      <c r="AR26" s="9"/>
      <c r="AS26" s="557"/>
      <c r="AT26" s="557"/>
      <c r="AU26" s="557"/>
      <c r="AV26" s="557"/>
      <c r="AW26" s="557"/>
      <c r="AX26" s="557"/>
      <c r="AY26" s="557"/>
      <c r="AZ26" s="557"/>
      <c r="BA26" s="557"/>
      <c r="BB26" s="557"/>
      <c r="BC26" s="557"/>
      <c r="BD26" s="557"/>
      <c r="BE26" s="557"/>
      <c r="BF26" s="557"/>
      <c r="BG26" s="557"/>
      <c r="BH26" s="557"/>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row>
    <row r="27" spans="1:102" s="17" customFormat="1" ht="7.4" customHeight="1" x14ac:dyDescent="0.5">
      <c r="A27" s="10"/>
      <c r="B27" s="561"/>
      <c r="C27" s="561"/>
      <c r="D27" s="10"/>
      <c r="E27" s="10"/>
      <c r="F27" s="10"/>
      <c r="G27" s="10"/>
      <c r="H27" s="10"/>
      <c r="I27" s="10"/>
      <c r="J27" s="10"/>
      <c r="K27" s="10"/>
      <c r="L27" s="10"/>
      <c r="M27" s="10"/>
      <c r="N27" s="10"/>
      <c r="O27" s="10"/>
      <c r="P27" s="10"/>
      <c r="Q27" s="10"/>
      <c r="R27" s="12"/>
      <c r="S27" s="13"/>
      <c r="T27" s="12"/>
      <c r="U27" s="12"/>
      <c r="V27" s="12"/>
      <c r="W27" s="12"/>
      <c r="X27" s="12"/>
      <c r="Y27" s="12"/>
      <c r="Z27" s="12"/>
      <c r="AA27" s="12"/>
      <c r="AB27" s="12"/>
      <c r="AC27" s="12"/>
      <c r="AD27" s="12"/>
      <c r="AE27" s="12"/>
      <c r="AF27" s="12"/>
      <c r="AG27" s="12"/>
      <c r="AH27" s="12"/>
      <c r="AI27" s="12"/>
      <c r="AJ27" s="12"/>
      <c r="AK27" s="10"/>
      <c r="AL27" s="14"/>
      <c r="AM27" s="14"/>
      <c r="AN27" s="14"/>
      <c r="AO27" s="14"/>
      <c r="AP27" s="14"/>
      <c r="AQ27" s="10"/>
      <c r="AR27" s="15"/>
      <c r="AS27" s="16"/>
      <c r="AT27" s="16"/>
      <c r="AU27" s="16"/>
      <c r="AV27" s="16"/>
      <c r="AW27" s="16"/>
      <c r="AX27" s="16"/>
      <c r="AY27" s="10"/>
      <c r="AZ27" s="15"/>
      <c r="BA27" s="16"/>
      <c r="BB27" s="16"/>
      <c r="BC27" s="16"/>
      <c r="BD27" s="16"/>
      <c r="BE27" s="16"/>
      <c r="BF27" s="16"/>
      <c r="BG27" s="16"/>
      <c r="BH27" s="16"/>
      <c r="BI27" s="10"/>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row>
    <row r="28" spans="1:102" ht="7.4" customHeight="1" x14ac:dyDescent="0.5">
      <c r="B28" s="2"/>
      <c r="C28" s="2"/>
      <c r="S28" s="6"/>
      <c r="AL28" s="7"/>
      <c r="AM28" s="7"/>
      <c r="AN28" s="7"/>
      <c r="AO28" s="7"/>
      <c r="AP28" s="7"/>
      <c r="AR28" s="8"/>
      <c r="AS28" s="16"/>
      <c r="AT28" s="16"/>
      <c r="AU28" s="16"/>
      <c r="AV28" s="16"/>
      <c r="AW28" s="16"/>
      <c r="AX28" s="16"/>
      <c r="AZ28" s="8"/>
      <c r="BA28" s="16"/>
      <c r="BB28" s="16"/>
      <c r="BC28" s="16"/>
      <c r="BD28" s="16"/>
      <c r="BE28" s="16"/>
      <c r="BF28" s="16"/>
      <c r="BG28" s="16"/>
      <c r="BH28" s="16"/>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row>
    <row r="29" spans="1:102" ht="7.4" customHeight="1" x14ac:dyDescent="0.5">
      <c r="B29" s="553"/>
      <c r="C29" s="553"/>
      <c r="F29" s="554"/>
      <c r="G29" s="554"/>
      <c r="H29" s="554"/>
      <c r="I29" s="554"/>
      <c r="J29" s="554"/>
      <c r="K29" s="554"/>
      <c r="L29" s="554"/>
      <c r="M29" s="554"/>
      <c r="N29" s="554"/>
      <c r="O29" s="554"/>
      <c r="P29" s="554"/>
      <c r="Q29" s="554"/>
      <c r="S29" s="555"/>
      <c r="T29" s="555"/>
      <c r="U29" s="555"/>
      <c r="V29" s="555"/>
      <c r="W29" s="555"/>
      <c r="X29" s="555"/>
      <c r="Y29" s="555"/>
      <c r="Z29" s="555"/>
      <c r="AA29" s="555"/>
      <c r="AB29" s="555"/>
      <c r="AC29" s="555"/>
      <c r="AD29" s="555"/>
      <c r="AE29" s="555"/>
      <c r="AF29" s="555"/>
      <c r="AG29" s="555"/>
      <c r="AH29" s="555"/>
      <c r="AI29" s="555"/>
      <c r="AJ29" s="555"/>
      <c r="AL29" s="556"/>
      <c r="AM29" s="556"/>
      <c r="AN29" s="556"/>
      <c r="AO29" s="556"/>
      <c r="AP29" s="556"/>
      <c r="AR29" s="9"/>
      <c r="AS29" s="557"/>
      <c r="AT29" s="557"/>
      <c r="AU29" s="557"/>
      <c r="AV29" s="557"/>
      <c r="AW29" s="557"/>
      <c r="AX29" s="557"/>
      <c r="AY29" s="557"/>
      <c r="AZ29" s="557"/>
      <c r="BA29" s="557"/>
      <c r="BB29" s="557"/>
      <c r="BC29" s="557"/>
      <c r="BD29" s="557"/>
      <c r="BE29" s="557"/>
      <c r="BF29" s="557"/>
      <c r="BG29" s="557"/>
      <c r="BH29" s="557"/>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row>
    <row r="30" spans="1:102" ht="7.4" customHeight="1" x14ac:dyDescent="0.5">
      <c r="B30" s="553"/>
      <c r="C30" s="553"/>
      <c r="F30" s="554"/>
      <c r="G30" s="554"/>
      <c r="H30" s="554"/>
      <c r="I30" s="554"/>
      <c r="J30" s="554"/>
      <c r="K30" s="554"/>
      <c r="L30" s="554"/>
      <c r="M30" s="554"/>
      <c r="N30" s="554"/>
      <c r="O30" s="554"/>
      <c r="P30" s="554"/>
      <c r="Q30" s="554"/>
      <c r="S30" s="555"/>
      <c r="T30" s="555"/>
      <c r="U30" s="555"/>
      <c r="V30" s="555"/>
      <c r="W30" s="555"/>
      <c r="X30" s="555"/>
      <c r="Y30" s="555"/>
      <c r="Z30" s="555"/>
      <c r="AA30" s="555"/>
      <c r="AB30" s="555"/>
      <c r="AC30" s="555"/>
      <c r="AD30" s="555"/>
      <c r="AE30" s="555"/>
      <c r="AF30" s="555"/>
      <c r="AG30" s="555"/>
      <c r="AH30" s="555"/>
      <c r="AI30" s="555"/>
      <c r="AJ30" s="555"/>
      <c r="AL30" s="556"/>
      <c r="AM30" s="556"/>
      <c r="AN30" s="556"/>
      <c r="AO30" s="556"/>
      <c r="AP30" s="556"/>
      <c r="AR30" s="9"/>
      <c r="AS30" s="557"/>
      <c r="AT30" s="557"/>
      <c r="AU30" s="557"/>
      <c r="AV30" s="557"/>
      <c r="AW30" s="557"/>
      <c r="AX30" s="557"/>
      <c r="AY30" s="557"/>
      <c r="AZ30" s="557"/>
      <c r="BA30" s="557"/>
      <c r="BB30" s="557"/>
      <c r="BC30" s="557"/>
      <c r="BD30" s="557"/>
      <c r="BE30" s="557"/>
      <c r="BF30" s="557"/>
      <c r="BG30" s="557"/>
      <c r="BH30" s="557"/>
      <c r="BJ30" s="5"/>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5"/>
      <c r="CL30" s="5"/>
      <c r="CM30" s="5"/>
      <c r="CN30" s="5"/>
      <c r="CO30" s="5"/>
      <c r="CP30" s="5"/>
      <c r="CQ30" s="5"/>
      <c r="CR30" s="5"/>
      <c r="CS30" s="5"/>
      <c r="CT30" s="5"/>
      <c r="CU30" s="5"/>
      <c r="CV30" s="5"/>
      <c r="CW30" s="5"/>
      <c r="CX30" s="5"/>
    </row>
    <row r="31" spans="1:102" s="17" customFormat="1" ht="7.4" customHeight="1" x14ac:dyDescent="0.5">
      <c r="A31" s="10"/>
      <c r="B31" s="11"/>
      <c r="C31" s="11"/>
      <c r="D31" s="10"/>
      <c r="E31" s="10"/>
      <c r="F31" s="10"/>
      <c r="G31" s="10"/>
      <c r="H31" s="10"/>
      <c r="I31" s="10"/>
      <c r="J31" s="10"/>
      <c r="K31" s="10"/>
      <c r="L31" s="10"/>
      <c r="M31" s="10"/>
      <c r="N31" s="10"/>
      <c r="O31" s="10"/>
      <c r="P31" s="10"/>
      <c r="Q31" s="10"/>
      <c r="R31" s="10"/>
      <c r="S31" s="13"/>
      <c r="T31" s="10"/>
      <c r="U31" s="10"/>
      <c r="V31" s="10"/>
      <c r="W31" s="10"/>
      <c r="X31" s="10"/>
      <c r="Y31" s="10"/>
      <c r="Z31" s="10"/>
      <c r="AA31" s="10"/>
      <c r="AB31" s="10"/>
      <c r="AC31" s="10"/>
      <c r="AD31" s="10"/>
      <c r="AE31" s="10"/>
      <c r="AF31" s="10"/>
      <c r="AG31" s="10"/>
      <c r="AH31" s="10"/>
      <c r="AI31" s="10"/>
      <c r="AJ31" s="10"/>
      <c r="AK31" s="10"/>
      <c r="AL31" s="14"/>
      <c r="AM31" s="14"/>
      <c r="AN31" s="14"/>
      <c r="AO31" s="14"/>
      <c r="AP31" s="14"/>
      <c r="AQ31" s="10"/>
      <c r="AR31" s="10"/>
      <c r="AS31" s="16"/>
      <c r="AT31" s="16"/>
      <c r="AU31" s="16"/>
      <c r="AV31" s="16"/>
      <c r="AW31" s="16"/>
      <c r="AX31" s="16"/>
      <c r="AY31" s="10"/>
      <c r="AZ31" s="10"/>
      <c r="BA31" s="16"/>
      <c r="BB31" s="16"/>
      <c r="BC31" s="16"/>
      <c r="BD31" s="16"/>
      <c r="BE31" s="16"/>
      <c r="BF31" s="16"/>
      <c r="BG31" s="16"/>
      <c r="BH31" s="16"/>
      <c r="BI31" s="10"/>
      <c r="BJ31" s="5"/>
      <c r="BK31" s="5"/>
      <c r="BL31" s="5"/>
      <c r="BM31" s="5"/>
      <c r="BN31" s="5"/>
      <c r="BO31" s="5"/>
      <c r="BP31" s="5"/>
      <c r="BQ31" s="5"/>
      <c r="BR31" s="5"/>
      <c r="BS31" s="5"/>
      <c r="BT31" s="5"/>
      <c r="BU31" s="5"/>
      <c r="BV31" s="5"/>
      <c r="BW31" s="5"/>
      <c r="BX31" s="5"/>
      <c r="BY31" s="5"/>
      <c r="BZ31" s="5"/>
      <c r="CA31" s="5"/>
      <c r="CB31" s="5"/>
      <c r="CC31" s="5"/>
      <c r="CD31" s="5"/>
      <c r="CE31" s="5"/>
      <c r="CF31" s="5"/>
      <c r="CG31" s="5"/>
      <c r="CH31" s="5"/>
      <c r="CI31" s="5"/>
      <c r="CJ31" s="5"/>
      <c r="CK31" s="5"/>
      <c r="CL31" s="5"/>
      <c r="CM31" s="5"/>
      <c r="CN31" s="5"/>
      <c r="CO31" s="5"/>
      <c r="CP31" s="5"/>
      <c r="CQ31" s="5"/>
      <c r="CR31" s="5"/>
      <c r="CS31" s="5"/>
      <c r="CT31" s="5"/>
      <c r="CU31" s="5"/>
      <c r="CV31" s="5"/>
      <c r="CW31" s="5"/>
      <c r="CX31" s="5"/>
    </row>
    <row r="32" spans="1:102" ht="7.4" customHeight="1" x14ac:dyDescent="0.5">
      <c r="S32" s="6"/>
      <c r="AL32" s="7"/>
      <c r="AM32" s="7"/>
      <c r="AN32" s="7"/>
      <c r="AO32" s="7"/>
      <c r="AP32" s="7"/>
      <c r="AS32" s="16"/>
      <c r="AT32" s="16"/>
      <c r="AU32" s="16"/>
      <c r="AV32" s="16"/>
      <c r="AW32" s="16"/>
      <c r="AX32" s="16"/>
      <c r="BA32" s="16"/>
      <c r="BB32" s="16"/>
      <c r="BC32" s="16"/>
      <c r="BD32" s="16"/>
      <c r="BE32" s="16"/>
      <c r="BF32" s="16"/>
      <c r="BG32" s="16"/>
      <c r="BH32" s="16"/>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row>
    <row r="33" spans="1:102" ht="7.4" customHeight="1" x14ac:dyDescent="0.5">
      <c r="B33" s="553"/>
      <c r="C33" s="553"/>
      <c r="F33" s="554"/>
      <c r="G33" s="554"/>
      <c r="H33" s="554"/>
      <c r="I33" s="554"/>
      <c r="J33" s="554"/>
      <c r="K33" s="554"/>
      <c r="L33" s="554"/>
      <c r="M33" s="554"/>
      <c r="N33" s="554"/>
      <c r="O33" s="554"/>
      <c r="P33" s="554"/>
      <c r="Q33" s="554"/>
      <c r="S33" s="555"/>
      <c r="T33" s="555"/>
      <c r="U33" s="555"/>
      <c r="V33" s="555"/>
      <c r="W33" s="555"/>
      <c r="X33" s="555"/>
      <c r="Y33" s="555"/>
      <c r="Z33" s="555"/>
      <c r="AA33" s="555"/>
      <c r="AB33" s="555"/>
      <c r="AC33" s="555"/>
      <c r="AD33" s="555"/>
      <c r="AE33" s="555"/>
      <c r="AF33" s="555"/>
      <c r="AG33" s="555"/>
      <c r="AH33" s="555"/>
      <c r="AI33" s="555"/>
      <c r="AJ33" s="555"/>
      <c r="AL33" s="556"/>
      <c r="AM33" s="556"/>
      <c r="AN33" s="556"/>
      <c r="AO33" s="556"/>
      <c r="AP33" s="556"/>
      <c r="AR33" s="9"/>
      <c r="AS33" s="557"/>
      <c r="AT33" s="557"/>
      <c r="AU33" s="557"/>
      <c r="AV33" s="557"/>
      <c r="AW33" s="557"/>
      <c r="AX33" s="557"/>
      <c r="AY33" s="557"/>
      <c r="AZ33" s="557"/>
      <c r="BA33" s="557"/>
      <c r="BB33" s="557"/>
      <c r="BC33" s="557"/>
      <c r="BD33" s="557"/>
      <c r="BE33" s="557"/>
      <c r="BF33" s="557"/>
      <c r="BG33" s="557"/>
      <c r="BH33" s="557"/>
      <c r="BI33" s="18"/>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row>
    <row r="34" spans="1:102" ht="7.4" customHeight="1" x14ac:dyDescent="0.5">
      <c r="B34" s="553"/>
      <c r="C34" s="553"/>
      <c r="F34" s="554"/>
      <c r="G34" s="554"/>
      <c r="H34" s="554"/>
      <c r="I34" s="554"/>
      <c r="J34" s="554"/>
      <c r="K34" s="554"/>
      <c r="L34" s="554"/>
      <c r="M34" s="554"/>
      <c r="N34" s="554"/>
      <c r="O34" s="554"/>
      <c r="P34" s="554"/>
      <c r="Q34" s="554"/>
      <c r="S34" s="555"/>
      <c r="T34" s="555"/>
      <c r="U34" s="555"/>
      <c r="V34" s="555"/>
      <c r="W34" s="555"/>
      <c r="X34" s="555"/>
      <c r="Y34" s="555"/>
      <c r="Z34" s="555"/>
      <c r="AA34" s="555"/>
      <c r="AB34" s="555"/>
      <c r="AC34" s="555"/>
      <c r="AD34" s="555"/>
      <c r="AE34" s="555"/>
      <c r="AF34" s="555"/>
      <c r="AG34" s="555"/>
      <c r="AH34" s="555"/>
      <c r="AI34" s="555"/>
      <c r="AJ34" s="555"/>
      <c r="AL34" s="556"/>
      <c r="AM34" s="556"/>
      <c r="AN34" s="556"/>
      <c r="AO34" s="556"/>
      <c r="AP34" s="556"/>
      <c r="AR34" s="9"/>
      <c r="AS34" s="557"/>
      <c r="AT34" s="557"/>
      <c r="AU34" s="557"/>
      <c r="AV34" s="557"/>
      <c r="AW34" s="557"/>
      <c r="AX34" s="557"/>
      <c r="AY34" s="557"/>
      <c r="AZ34" s="557"/>
      <c r="BA34" s="557"/>
      <c r="BB34" s="557"/>
      <c r="BC34" s="557"/>
      <c r="BD34" s="557"/>
      <c r="BE34" s="557"/>
      <c r="BF34" s="557"/>
      <c r="BG34" s="557"/>
      <c r="BH34" s="557"/>
      <c r="BI34" s="18"/>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row>
    <row r="35" spans="1:102" s="17" customFormat="1" ht="7.4" customHeight="1" x14ac:dyDescent="0.5">
      <c r="A35" s="10"/>
      <c r="B35" s="11"/>
      <c r="C35" s="11"/>
      <c r="D35" s="10"/>
      <c r="E35" s="10"/>
      <c r="F35" s="10"/>
      <c r="G35" s="10"/>
      <c r="H35" s="10"/>
      <c r="I35" s="10"/>
      <c r="J35" s="10"/>
      <c r="K35" s="10"/>
      <c r="L35" s="10"/>
      <c r="M35" s="10"/>
      <c r="N35" s="10"/>
      <c r="O35" s="10"/>
      <c r="P35" s="10"/>
      <c r="Q35" s="10"/>
      <c r="R35" s="10"/>
      <c r="S35" s="13"/>
      <c r="T35" s="10"/>
      <c r="U35" s="10"/>
      <c r="V35" s="10"/>
      <c r="W35" s="10"/>
      <c r="X35" s="10"/>
      <c r="Y35" s="10"/>
      <c r="Z35" s="10"/>
      <c r="AA35" s="10"/>
      <c r="AB35" s="10"/>
      <c r="AC35" s="10"/>
      <c r="AD35" s="10"/>
      <c r="AE35" s="10"/>
      <c r="AF35" s="10"/>
      <c r="AG35" s="10"/>
      <c r="AH35" s="10"/>
      <c r="AI35" s="10"/>
      <c r="AJ35" s="10"/>
      <c r="AK35" s="10"/>
      <c r="AL35" s="14"/>
      <c r="AM35" s="14"/>
      <c r="AN35" s="14"/>
      <c r="AO35" s="14"/>
      <c r="AP35" s="14"/>
      <c r="AQ35" s="10"/>
      <c r="AR35" s="10"/>
      <c r="AS35" s="16"/>
      <c r="AT35" s="16"/>
      <c r="AU35" s="16"/>
      <c r="AV35" s="16"/>
      <c r="AW35" s="16"/>
      <c r="AX35" s="16"/>
      <c r="AY35" s="10"/>
      <c r="AZ35" s="10"/>
      <c r="BA35" s="16"/>
      <c r="BB35" s="16"/>
      <c r="BC35" s="16"/>
      <c r="BD35" s="16"/>
      <c r="BE35" s="16"/>
      <c r="BF35" s="16"/>
      <c r="BG35" s="16"/>
      <c r="BH35" s="16"/>
      <c r="BI35" s="19"/>
    </row>
    <row r="36" spans="1:102" ht="7.4" customHeight="1" x14ac:dyDescent="0.5">
      <c r="B36" s="2"/>
      <c r="C36" s="2"/>
      <c r="S36" s="6"/>
      <c r="AJ36" s="20"/>
      <c r="AL36" s="7"/>
      <c r="AM36" s="7"/>
      <c r="AN36" s="7"/>
      <c r="AO36" s="7"/>
      <c r="AP36" s="7"/>
      <c r="AQ36" s="21"/>
      <c r="AS36" s="16"/>
      <c r="AT36" s="16"/>
      <c r="AU36" s="16"/>
      <c r="AV36" s="16"/>
      <c r="AW36" s="16"/>
      <c r="AX36" s="16"/>
      <c r="AY36" s="18"/>
      <c r="BA36" s="16"/>
      <c r="BB36" s="16"/>
      <c r="BC36" s="16"/>
      <c r="BD36" s="16"/>
      <c r="BE36" s="16"/>
      <c r="BF36" s="16"/>
      <c r="BG36" s="16"/>
      <c r="BH36" s="16"/>
      <c r="BI36" s="18"/>
    </row>
    <row r="37" spans="1:102" ht="7.4" customHeight="1" x14ac:dyDescent="0.5">
      <c r="B37" s="553"/>
      <c r="C37" s="553"/>
      <c r="F37" s="554"/>
      <c r="G37" s="554"/>
      <c r="H37" s="554"/>
      <c r="I37" s="554"/>
      <c r="J37" s="554"/>
      <c r="K37" s="554"/>
      <c r="L37" s="554"/>
      <c r="M37" s="554"/>
      <c r="N37" s="554"/>
      <c r="O37" s="554"/>
      <c r="P37" s="554"/>
      <c r="Q37" s="554"/>
      <c r="S37" s="555"/>
      <c r="T37" s="555"/>
      <c r="U37" s="555"/>
      <c r="V37" s="555"/>
      <c r="W37" s="555"/>
      <c r="X37" s="555"/>
      <c r="Y37" s="555"/>
      <c r="Z37" s="555"/>
      <c r="AA37" s="555"/>
      <c r="AB37" s="555"/>
      <c r="AC37" s="555"/>
      <c r="AD37" s="555"/>
      <c r="AE37" s="555"/>
      <c r="AF37" s="555"/>
      <c r="AG37" s="555"/>
      <c r="AH37" s="555"/>
      <c r="AI37" s="555"/>
      <c r="AJ37" s="555"/>
      <c r="AL37" s="556"/>
      <c r="AM37" s="556"/>
      <c r="AN37" s="556"/>
      <c r="AO37" s="556"/>
      <c r="AP37" s="556"/>
      <c r="AR37" s="9"/>
      <c r="AS37" s="557"/>
      <c r="AT37" s="557"/>
      <c r="AU37" s="557"/>
      <c r="AV37" s="557"/>
      <c r="AW37" s="557"/>
      <c r="AX37" s="557"/>
      <c r="AY37" s="557"/>
      <c r="AZ37" s="557"/>
      <c r="BA37" s="557"/>
      <c r="BB37" s="557"/>
      <c r="BC37" s="557"/>
      <c r="BD37" s="557"/>
      <c r="BE37" s="557"/>
      <c r="BF37" s="557"/>
      <c r="BG37" s="557"/>
      <c r="BH37" s="557"/>
      <c r="BI37" s="18"/>
    </row>
    <row r="38" spans="1:102" ht="7.4" customHeight="1" x14ac:dyDescent="0.5">
      <c r="B38" s="553"/>
      <c r="C38" s="553"/>
      <c r="F38" s="554"/>
      <c r="G38" s="554"/>
      <c r="H38" s="554"/>
      <c r="I38" s="554"/>
      <c r="J38" s="554"/>
      <c r="K38" s="554"/>
      <c r="L38" s="554"/>
      <c r="M38" s="554"/>
      <c r="N38" s="554"/>
      <c r="O38" s="554"/>
      <c r="P38" s="554"/>
      <c r="Q38" s="554"/>
      <c r="S38" s="555"/>
      <c r="T38" s="555"/>
      <c r="U38" s="555"/>
      <c r="V38" s="555"/>
      <c r="W38" s="555"/>
      <c r="X38" s="555"/>
      <c r="Y38" s="555"/>
      <c r="Z38" s="555"/>
      <c r="AA38" s="555"/>
      <c r="AB38" s="555"/>
      <c r="AC38" s="555"/>
      <c r="AD38" s="555"/>
      <c r="AE38" s="555"/>
      <c r="AF38" s="555"/>
      <c r="AG38" s="555"/>
      <c r="AH38" s="555"/>
      <c r="AI38" s="555"/>
      <c r="AJ38" s="555"/>
      <c r="AL38" s="556"/>
      <c r="AM38" s="556"/>
      <c r="AN38" s="556"/>
      <c r="AO38" s="556"/>
      <c r="AP38" s="556"/>
      <c r="AR38" s="9"/>
      <c r="AS38" s="557"/>
      <c r="AT38" s="557"/>
      <c r="AU38" s="557"/>
      <c r="AV38" s="557"/>
      <c r="AW38" s="557"/>
      <c r="AX38" s="557"/>
      <c r="AY38" s="557"/>
      <c r="AZ38" s="557"/>
      <c r="BA38" s="557"/>
      <c r="BB38" s="557"/>
      <c r="BC38" s="557"/>
      <c r="BD38" s="557"/>
      <c r="BE38" s="557"/>
      <c r="BF38" s="557"/>
      <c r="BG38" s="557"/>
      <c r="BH38" s="557"/>
      <c r="BI38" s="18"/>
    </row>
    <row r="39" spans="1:102" s="17" customFormat="1" ht="7.4" customHeight="1" x14ac:dyDescent="0.5">
      <c r="A39" s="10"/>
      <c r="B39" s="11"/>
      <c r="C39" s="11"/>
      <c r="D39" s="10"/>
      <c r="E39" s="10"/>
      <c r="F39" s="10"/>
      <c r="G39" s="10"/>
      <c r="H39" s="10"/>
      <c r="I39" s="10"/>
      <c r="J39" s="10"/>
      <c r="K39" s="10"/>
      <c r="L39" s="10"/>
      <c r="M39" s="10"/>
      <c r="N39" s="10"/>
      <c r="O39" s="10"/>
      <c r="P39" s="10"/>
      <c r="Q39" s="10"/>
      <c r="R39" s="10"/>
      <c r="S39" s="13"/>
      <c r="T39" s="10"/>
      <c r="U39" s="10"/>
      <c r="V39" s="10"/>
      <c r="W39" s="10"/>
      <c r="X39" s="10"/>
      <c r="Y39" s="10"/>
      <c r="Z39" s="10"/>
      <c r="AA39" s="10"/>
      <c r="AB39" s="10"/>
      <c r="AC39" s="10"/>
      <c r="AD39" s="10"/>
      <c r="AE39" s="10"/>
      <c r="AF39" s="10"/>
      <c r="AG39" s="10"/>
      <c r="AH39" s="10"/>
      <c r="AI39" s="10"/>
      <c r="AJ39" s="10"/>
      <c r="AK39" s="10"/>
      <c r="AL39" s="14"/>
      <c r="AM39" s="14"/>
      <c r="AN39" s="14"/>
      <c r="AO39" s="14"/>
      <c r="AP39" s="14"/>
      <c r="AQ39" s="10"/>
      <c r="AR39" s="10"/>
      <c r="AS39" s="16"/>
      <c r="AT39" s="16"/>
      <c r="AU39" s="16"/>
      <c r="AV39" s="16"/>
      <c r="AW39" s="16"/>
      <c r="AX39" s="16"/>
      <c r="AY39" s="10"/>
      <c r="AZ39" s="10"/>
      <c r="BA39" s="16"/>
      <c r="BB39" s="16"/>
      <c r="BC39" s="16"/>
      <c r="BD39" s="16"/>
      <c r="BE39" s="16"/>
      <c r="BF39" s="16"/>
      <c r="BG39" s="16"/>
      <c r="BH39" s="16"/>
      <c r="BI39" s="19"/>
    </row>
    <row r="40" spans="1:102" ht="7.4" customHeight="1" x14ac:dyDescent="0.5">
      <c r="S40" s="6"/>
      <c r="AL40" s="7"/>
      <c r="AM40" s="7"/>
      <c r="AN40" s="7"/>
      <c r="AO40" s="7"/>
      <c r="AP40" s="7"/>
      <c r="AS40" s="16"/>
      <c r="AT40" s="16"/>
      <c r="AU40" s="16"/>
      <c r="AV40" s="16"/>
      <c r="AW40" s="16"/>
      <c r="AX40" s="16"/>
      <c r="BA40" s="16"/>
      <c r="BB40" s="16"/>
      <c r="BC40" s="16"/>
      <c r="BD40" s="16"/>
      <c r="BE40" s="16"/>
      <c r="BF40" s="16"/>
      <c r="BG40" s="16"/>
      <c r="BH40" s="16"/>
    </row>
    <row r="41" spans="1:102" ht="7.4" customHeight="1" x14ac:dyDescent="0.5">
      <c r="B41" s="553"/>
      <c r="C41" s="553"/>
      <c r="F41" s="554"/>
      <c r="G41" s="554"/>
      <c r="H41" s="554"/>
      <c r="I41" s="554"/>
      <c r="J41" s="554"/>
      <c r="K41" s="554"/>
      <c r="L41" s="554"/>
      <c r="M41" s="554"/>
      <c r="N41" s="554"/>
      <c r="O41" s="554"/>
      <c r="P41" s="554"/>
      <c r="Q41" s="554"/>
      <c r="S41" s="555"/>
      <c r="T41" s="555"/>
      <c r="U41" s="555"/>
      <c r="V41" s="555"/>
      <c r="W41" s="555"/>
      <c r="X41" s="555"/>
      <c r="Y41" s="555"/>
      <c r="Z41" s="555"/>
      <c r="AA41" s="555"/>
      <c r="AB41" s="555"/>
      <c r="AC41" s="555"/>
      <c r="AD41" s="555"/>
      <c r="AE41" s="555"/>
      <c r="AF41" s="555"/>
      <c r="AG41" s="555"/>
      <c r="AH41" s="555"/>
      <c r="AI41" s="555"/>
      <c r="AJ41" s="555"/>
      <c r="AL41" s="556"/>
      <c r="AM41" s="556"/>
      <c r="AN41" s="556"/>
      <c r="AO41" s="556"/>
      <c r="AP41" s="556"/>
      <c r="AR41" s="9"/>
      <c r="AS41" s="557"/>
      <c r="AT41" s="557"/>
      <c r="AU41" s="557"/>
      <c r="AV41" s="557"/>
      <c r="AW41" s="557"/>
      <c r="AX41" s="557"/>
      <c r="AY41" s="557"/>
      <c r="AZ41" s="557"/>
      <c r="BA41" s="557"/>
      <c r="BB41" s="557"/>
      <c r="BC41" s="557"/>
      <c r="BD41" s="557"/>
      <c r="BE41" s="557"/>
      <c r="BF41" s="557"/>
      <c r="BG41" s="557"/>
      <c r="BH41" s="557"/>
      <c r="BI41" s="18"/>
    </row>
    <row r="42" spans="1:102" ht="7.4" customHeight="1" x14ac:dyDescent="0.5">
      <c r="B42" s="553"/>
      <c r="C42" s="553"/>
      <c r="F42" s="554"/>
      <c r="G42" s="554"/>
      <c r="H42" s="554"/>
      <c r="I42" s="554"/>
      <c r="J42" s="554"/>
      <c r="K42" s="554"/>
      <c r="L42" s="554"/>
      <c r="M42" s="554"/>
      <c r="N42" s="554"/>
      <c r="O42" s="554"/>
      <c r="P42" s="554"/>
      <c r="Q42" s="554"/>
      <c r="S42" s="555"/>
      <c r="T42" s="555"/>
      <c r="U42" s="555"/>
      <c r="V42" s="555"/>
      <c r="W42" s="555"/>
      <c r="X42" s="555"/>
      <c r="Y42" s="555"/>
      <c r="Z42" s="555"/>
      <c r="AA42" s="555"/>
      <c r="AB42" s="555"/>
      <c r="AC42" s="555"/>
      <c r="AD42" s="555"/>
      <c r="AE42" s="555"/>
      <c r="AF42" s="555"/>
      <c r="AG42" s="555"/>
      <c r="AH42" s="555"/>
      <c r="AI42" s="555"/>
      <c r="AJ42" s="555"/>
      <c r="AL42" s="556"/>
      <c r="AM42" s="556"/>
      <c r="AN42" s="556"/>
      <c r="AO42" s="556"/>
      <c r="AP42" s="556"/>
      <c r="AR42" s="9"/>
      <c r="AS42" s="557"/>
      <c r="AT42" s="557"/>
      <c r="AU42" s="557"/>
      <c r="AV42" s="557"/>
      <c r="AW42" s="557"/>
      <c r="AX42" s="557"/>
      <c r="AY42" s="557"/>
      <c r="AZ42" s="557"/>
      <c r="BA42" s="557"/>
      <c r="BB42" s="557"/>
      <c r="BC42" s="557"/>
      <c r="BD42" s="557"/>
      <c r="BE42" s="557"/>
      <c r="BF42" s="557"/>
      <c r="BG42" s="557"/>
      <c r="BH42" s="557"/>
      <c r="BI42" s="18"/>
    </row>
    <row r="43" spans="1:102" s="17" customFormat="1" ht="7.4" customHeight="1" x14ac:dyDescent="0.5">
      <c r="A43" s="10"/>
      <c r="B43" s="11"/>
      <c r="C43" s="11"/>
      <c r="D43" s="10"/>
      <c r="E43" s="10"/>
      <c r="F43" s="10"/>
      <c r="G43" s="10"/>
      <c r="H43" s="10"/>
      <c r="I43" s="10"/>
      <c r="J43" s="10"/>
      <c r="K43" s="10"/>
      <c r="L43" s="10"/>
      <c r="M43" s="10"/>
      <c r="N43" s="10"/>
      <c r="O43" s="10"/>
      <c r="P43" s="10"/>
      <c r="Q43" s="10"/>
      <c r="R43" s="10"/>
      <c r="S43" s="13"/>
      <c r="T43" s="10"/>
      <c r="U43" s="10"/>
      <c r="V43" s="10"/>
      <c r="W43" s="10"/>
      <c r="X43" s="10"/>
      <c r="Y43" s="10"/>
      <c r="Z43" s="10"/>
      <c r="AA43" s="10"/>
      <c r="AB43" s="10"/>
      <c r="AC43" s="10"/>
      <c r="AD43" s="10"/>
      <c r="AE43" s="10"/>
      <c r="AF43" s="10"/>
      <c r="AG43" s="10"/>
      <c r="AH43" s="10"/>
      <c r="AI43" s="10"/>
      <c r="AJ43" s="10"/>
      <c r="AK43" s="10"/>
      <c r="AL43" s="14"/>
      <c r="AM43" s="14"/>
      <c r="AN43" s="14"/>
      <c r="AO43" s="14"/>
      <c r="AP43" s="14"/>
      <c r="AQ43" s="10"/>
      <c r="AR43" s="10"/>
      <c r="AS43" s="16"/>
      <c r="AT43" s="16"/>
      <c r="AU43" s="16"/>
      <c r="AV43" s="16"/>
      <c r="AW43" s="16"/>
      <c r="AX43" s="16"/>
      <c r="AY43" s="10"/>
      <c r="AZ43" s="10"/>
      <c r="BA43" s="16"/>
      <c r="BB43" s="16"/>
      <c r="BC43" s="16"/>
      <c r="BD43" s="16"/>
      <c r="BE43" s="16"/>
      <c r="BF43" s="16"/>
      <c r="BG43" s="16"/>
      <c r="BH43" s="16"/>
      <c r="BI43" s="19"/>
    </row>
    <row r="44" spans="1:102" ht="7.4" customHeight="1" x14ac:dyDescent="0.5">
      <c r="S44" s="6"/>
      <c r="AL44" s="7"/>
      <c r="AM44" s="7"/>
      <c r="AN44" s="7"/>
      <c r="AO44" s="7"/>
      <c r="AP44" s="7"/>
      <c r="AS44" s="16"/>
      <c r="AT44" s="16"/>
      <c r="AU44" s="16"/>
      <c r="AV44" s="16"/>
      <c r="AW44" s="16"/>
      <c r="AX44" s="16"/>
      <c r="BA44" s="16"/>
      <c r="BB44" s="16"/>
      <c r="BC44" s="16"/>
      <c r="BD44" s="16"/>
      <c r="BE44" s="16"/>
      <c r="BF44" s="16"/>
      <c r="BG44" s="16"/>
      <c r="BH44" s="16"/>
    </row>
    <row r="45" spans="1:102" ht="7.4" customHeight="1" x14ac:dyDescent="0.5">
      <c r="B45" s="553"/>
      <c r="C45" s="553"/>
      <c r="F45" s="554"/>
      <c r="G45" s="554"/>
      <c r="H45" s="554"/>
      <c r="I45" s="554"/>
      <c r="J45" s="554"/>
      <c r="K45" s="554"/>
      <c r="L45" s="554"/>
      <c r="M45" s="554"/>
      <c r="N45" s="554"/>
      <c r="O45" s="554"/>
      <c r="P45" s="554"/>
      <c r="Q45" s="554"/>
      <c r="S45" s="555"/>
      <c r="T45" s="555"/>
      <c r="U45" s="555"/>
      <c r="V45" s="555"/>
      <c r="W45" s="555"/>
      <c r="X45" s="555"/>
      <c r="Y45" s="555"/>
      <c r="Z45" s="555"/>
      <c r="AA45" s="555"/>
      <c r="AB45" s="555"/>
      <c r="AC45" s="555"/>
      <c r="AD45" s="555"/>
      <c r="AE45" s="555"/>
      <c r="AF45" s="555"/>
      <c r="AG45" s="555"/>
      <c r="AH45" s="555"/>
      <c r="AI45" s="555"/>
      <c r="AJ45" s="555"/>
      <c r="AL45" s="556"/>
      <c r="AM45" s="556"/>
      <c r="AN45" s="556"/>
      <c r="AO45" s="556"/>
      <c r="AP45" s="556"/>
      <c r="AR45" s="9"/>
      <c r="AS45" s="557"/>
      <c r="AT45" s="557"/>
      <c r="AU45" s="557"/>
      <c r="AV45" s="557"/>
      <c r="AW45" s="557"/>
      <c r="AX45" s="557"/>
      <c r="AY45" s="557"/>
      <c r="AZ45" s="557"/>
      <c r="BA45" s="557"/>
      <c r="BB45" s="557"/>
      <c r="BC45" s="557"/>
      <c r="BD45" s="557"/>
      <c r="BE45" s="557"/>
      <c r="BF45" s="557"/>
      <c r="BG45" s="557"/>
      <c r="BH45" s="557"/>
      <c r="BI45" s="18"/>
    </row>
    <row r="46" spans="1:102" ht="7.4" customHeight="1" x14ac:dyDescent="0.5">
      <c r="B46" s="553"/>
      <c r="C46" s="553"/>
      <c r="F46" s="554"/>
      <c r="G46" s="554"/>
      <c r="H46" s="554"/>
      <c r="I46" s="554"/>
      <c r="J46" s="554"/>
      <c r="K46" s="554"/>
      <c r="L46" s="554"/>
      <c r="M46" s="554"/>
      <c r="N46" s="554"/>
      <c r="O46" s="554"/>
      <c r="P46" s="554"/>
      <c r="Q46" s="554"/>
      <c r="S46" s="555"/>
      <c r="T46" s="555"/>
      <c r="U46" s="555"/>
      <c r="V46" s="555"/>
      <c r="W46" s="555"/>
      <c r="X46" s="555"/>
      <c r="Y46" s="555"/>
      <c r="Z46" s="555"/>
      <c r="AA46" s="555"/>
      <c r="AB46" s="555"/>
      <c r="AC46" s="555"/>
      <c r="AD46" s="555"/>
      <c r="AE46" s="555"/>
      <c r="AF46" s="555"/>
      <c r="AG46" s="555"/>
      <c r="AH46" s="555"/>
      <c r="AI46" s="555"/>
      <c r="AJ46" s="555"/>
      <c r="AL46" s="556"/>
      <c r="AM46" s="556"/>
      <c r="AN46" s="556"/>
      <c r="AO46" s="556"/>
      <c r="AP46" s="556"/>
      <c r="AR46" s="9"/>
      <c r="AS46" s="557"/>
      <c r="AT46" s="557"/>
      <c r="AU46" s="557"/>
      <c r="AV46" s="557"/>
      <c r="AW46" s="557"/>
      <c r="AX46" s="557"/>
      <c r="AY46" s="557"/>
      <c r="AZ46" s="557"/>
      <c r="BA46" s="557"/>
      <c r="BB46" s="557"/>
      <c r="BC46" s="557"/>
      <c r="BD46" s="557"/>
      <c r="BE46" s="557"/>
      <c r="BF46" s="557"/>
      <c r="BG46" s="557"/>
      <c r="BH46" s="557"/>
      <c r="BI46" s="18"/>
    </row>
    <row r="47" spans="1:102" s="17" customFormat="1" ht="7.4" customHeight="1" x14ac:dyDescent="0.5">
      <c r="A47" s="10"/>
      <c r="B47" s="11"/>
      <c r="C47" s="11"/>
      <c r="D47" s="10"/>
      <c r="E47" s="10"/>
      <c r="F47" s="10"/>
      <c r="G47" s="10"/>
      <c r="H47" s="10"/>
      <c r="I47" s="10"/>
      <c r="J47" s="10"/>
      <c r="K47" s="10"/>
      <c r="L47" s="10"/>
      <c r="M47" s="10"/>
      <c r="N47" s="10"/>
      <c r="O47" s="10"/>
      <c r="P47" s="10"/>
      <c r="Q47" s="10"/>
      <c r="R47" s="10"/>
      <c r="S47" s="13"/>
      <c r="T47" s="10"/>
      <c r="U47" s="10"/>
      <c r="V47" s="10"/>
      <c r="W47" s="10"/>
      <c r="X47" s="10"/>
      <c r="Y47" s="10"/>
      <c r="Z47" s="10"/>
      <c r="AA47" s="10"/>
      <c r="AB47" s="10"/>
      <c r="AC47" s="10"/>
      <c r="AD47" s="10"/>
      <c r="AE47" s="10"/>
      <c r="AF47" s="10"/>
      <c r="AG47" s="10"/>
      <c r="AH47" s="10"/>
      <c r="AI47" s="10"/>
      <c r="AJ47" s="10"/>
      <c r="AK47" s="10"/>
      <c r="AL47" s="14"/>
      <c r="AM47" s="14"/>
      <c r="AN47" s="14"/>
      <c r="AO47" s="14"/>
      <c r="AP47" s="14"/>
      <c r="AQ47" s="10"/>
      <c r="AR47" s="10"/>
      <c r="AS47" s="16"/>
      <c r="AT47" s="16"/>
      <c r="AU47" s="16"/>
      <c r="AV47" s="16"/>
      <c r="AW47" s="16"/>
      <c r="AX47" s="16"/>
      <c r="AY47" s="10"/>
      <c r="AZ47" s="10"/>
      <c r="BA47" s="16"/>
      <c r="BB47" s="16"/>
      <c r="BC47" s="16"/>
      <c r="BD47" s="16"/>
      <c r="BE47" s="16"/>
      <c r="BF47" s="16"/>
      <c r="BG47" s="16"/>
      <c r="BH47" s="16"/>
      <c r="BI47" s="19"/>
    </row>
    <row r="48" spans="1:102" ht="7.4" customHeight="1" x14ac:dyDescent="0.5">
      <c r="S48" s="6"/>
      <c r="AL48" s="7"/>
      <c r="AM48" s="7"/>
      <c r="AN48" s="7"/>
      <c r="AO48" s="7"/>
      <c r="AP48" s="7"/>
      <c r="AS48" s="16"/>
      <c r="AT48" s="16"/>
      <c r="AU48" s="16"/>
      <c r="AV48" s="16"/>
      <c r="AW48" s="16"/>
      <c r="AX48" s="16"/>
      <c r="BA48" s="16"/>
      <c r="BB48" s="16"/>
      <c r="BC48" s="16"/>
      <c r="BD48" s="16"/>
      <c r="BE48" s="16"/>
      <c r="BF48" s="16"/>
      <c r="BG48" s="16"/>
      <c r="BH48" s="16"/>
    </row>
    <row r="49" spans="1:79" ht="7.4" customHeight="1" x14ac:dyDescent="0.5">
      <c r="B49" s="553"/>
      <c r="C49" s="553"/>
      <c r="F49" s="554"/>
      <c r="G49" s="554"/>
      <c r="H49" s="554"/>
      <c r="I49" s="554"/>
      <c r="J49" s="554"/>
      <c r="K49" s="554"/>
      <c r="L49" s="554"/>
      <c r="M49" s="554"/>
      <c r="N49" s="554"/>
      <c r="O49" s="554"/>
      <c r="P49" s="554"/>
      <c r="Q49" s="554"/>
      <c r="S49" s="555"/>
      <c r="T49" s="555"/>
      <c r="U49" s="555"/>
      <c r="V49" s="555"/>
      <c r="W49" s="555"/>
      <c r="X49" s="555"/>
      <c r="Y49" s="555"/>
      <c r="Z49" s="555"/>
      <c r="AA49" s="555"/>
      <c r="AB49" s="555"/>
      <c r="AC49" s="555"/>
      <c r="AD49" s="555"/>
      <c r="AE49" s="555"/>
      <c r="AF49" s="555"/>
      <c r="AG49" s="555"/>
      <c r="AH49" s="555"/>
      <c r="AI49" s="555"/>
      <c r="AJ49" s="555"/>
      <c r="AL49" s="556"/>
      <c r="AM49" s="556"/>
      <c r="AN49" s="556"/>
      <c r="AO49" s="556"/>
      <c r="AP49" s="556"/>
      <c r="AR49" s="9"/>
      <c r="AS49" s="557"/>
      <c r="AT49" s="557"/>
      <c r="AU49" s="557"/>
      <c r="AV49" s="557"/>
      <c r="AW49" s="557"/>
      <c r="AX49" s="557"/>
      <c r="AY49" s="557"/>
      <c r="AZ49" s="557"/>
      <c r="BA49" s="557"/>
      <c r="BB49" s="557"/>
      <c r="BC49" s="557"/>
      <c r="BD49" s="557"/>
      <c r="BE49" s="557"/>
      <c r="BF49" s="557"/>
      <c r="BG49" s="557"/>
      <c r="BH49" s="557"/>
      <c r="BI49" s="18"/>
      <c r="BJ49" s="558"/>
      <c r="BK49" s="560"/>
      <c r="BL49" s="560"/>
      <c r="BM49" s="560"/>
      <c r="BN49" s="560"/>
      <c r="BO49" s="558"/>
      <c r="BP49" s="558"/>
      <c r="BQ49" s="558"/>
      <c r="BR49" s="558"/>
      <c r="BS49" s="558"/>
      <c r="BT49" s="558"/>
      <c r="BU49" s="558"/>
      <c r="BV49" s="559"/>
      <c r="BW49" s="559"/>
      <c r="BX49" s="559"/>
      <c r="BY49" s="559"/>
      <c r="BZ49" s="559"/>
      <c r="CA49" s="559"/>
    </row>
    <row r="50" spans="1:79" ht="7.4" customHeight="1" x14ac:dyDescent="0.5">
      <c r="B50" s="553"/>
      <c r="C50" s="553"/>
      <c r="F50" s="554"/>
      <c r="G50" s="554"/>
      <c r="H50" s="554"/>
      <c r="I50" s="554"/>
      <c r="J50" s="554"/>
      <c r="K50" s="554"/>
      <c r="L50" s="554"/>
      <c r="M50" s="554"/>
      <c r="N50" s="554"/>
      <c r="O50" s="554"/>
      <c r="P50" s="554"/>
      <c r="Q50" s="554"/>
      <c r="S50" s="555"/>
      <c r="T50" s="555"/>
      <c r="U50" s="555"/>
      <c r="V50" s="555"/>
      <c r="W50" s="555"/>
      <c r="X50" s="555"/>
      <c r="Y50" s="555"/>
      <c r="Z50" s="555"/>
      <c r="AA50" s="555"/>
      <c r="AB50" s="555"/>
      <c r="AC50" s="555"/>
      <c r="AD50" s="555"/>
      <c r="AE50" s="555"/>
      <c r="AF50" s="555"/>
      <c r="AG50" s="555"/>
      <c r="AH50" s="555"/>
      <c r="AI50" s="555"/>
      <c r="AJ50" s="555"/>
      <c r="AL50" s="556"/>
      <c r="AM50" s="556"/>
      <c r="AN50" s="556"/>
      <c r="AO50" s="556"/>
      <c r="AP50" s="556"/>
      <c r="AR50" s="9"/>
      <c r="AS50" s="557"/>
      <c r="AT50" s="557"/>
      <c r="AU50" s="557"/>
      <c r="AV50" s="557"/>
      <c r="AW50" s="557"/>
      <c r="AX50" s="557"/>
      <c r="AY50" s="557"/>
      <c r="AZ50" s="557"/>
      <c r="BA50" s="557"/>
      <c r="BB50" s="557"/>
      <c r="BC50" s="557"/>
      <c r="BD50" s="557"/>
      <c r="BE50" s="557"/>
      <c r="BF50" s="557"/>
      <c r="BG50" s="557"/>
      <c r="BH50" s="557"/>
      <c r="BI50" s="18"/>
      <c r="BJ50" s="558"/>
      <c r="BK50" s="560"/>
      <c r="BL50" s="560"/>
      <c r="BM50" s="560"/>
      <c r="BN50" s="560"/>
      <c r="BO50" s="558"/>
      <c r="BP50" s="558"/>
      <c r="BQ50" s="558"/>
      <c r="BR50" s="558"/>
      <c r="BS50" s="558"/>
      <c r="BT50" s="558"/>
      <c r="BU50" s="558"/>
      <c r="BV50" s="559"/>
      <c r="BW50" s="559"/>
      <c r="BX50" s="559"/>
      <c r="BY50" s="559"/>
      <c r="BZ50" s="559"/>
      <c r="CA50" s="559"/>
    </row>
    <row r="51" spans="1:79" s="17" customFormat="1" ht="7.4" customHeight="1" x14ac:dyDescent="0.5">
      <c r="A51" s="10"/>
      <c r="B51" s="11"/>
      <c r="C51" s="11"/>
      <c r="D51" s="10"/>
      <c r="E51" s="10"/>
      <c r="F51" s="10"/>
      <c r="G51" s="10"/>
      <c r="H51" s="10"/>
      <c r="I51" s="10"/>
      <c r="J51" s="10"/>
      <c r="K51" s="10"/>
      <c r="L51" s="10"/>
      <c r="M51" s="10"/>
      <c r="N51" s="10"/>
      <c r="O51" s="10"/>
      <c r="P51" s="10"/>
      <c r="Q51" s="10"/>
      <c r="R51" s="10"/>
      <c r="S51" s="13"/>
      <c r="T51" s="10"/>
      <c r="U51" s="10"/>
      <c r="V51" s="10"/>
      <c r="W51" s="10"/>
      <c r="X51" s="10"/>
      <c r="Y51" s="10"/>
      <c r="Z51" s="10"/>
      <c r="AA51" s="10"/>
      <c r="AB51" s="10"/>
      <c r="AC51" s="10"/>
      <c r="AD51" s="10"/>
      <c r="AE51" s="10"/>
      <c r="AF51" s="10"/>
      <c r="AG51" s="10"/>
      <c r="AH51" s="10"/>
      <c r="AI51" s="10"/>
      <c r="AJ51" s="10"/>
      <c r="AK51" s="10"/>
      <c r="AL51" s="14"/>
      <c r="AM51" s="14"/>
      <c r="AN51" s="14"/>
      <c r="AO51" s="14"/>
      <c r="AP51" s="14"/>
      <c r="AQ51" s="10"/>
      <c r="AR51" s="10"/>
      <c r="AS51" s="16"/>
      <c r="AT51" s="16"/>
      <c r="AU51" s="16"/>
      <c r="AV51" s="16"/>
      <c r="AW51" s="16"/>
      <c r="AX51" s="16"/>
      <c r="AY51" s="10"/>
      <c r="AZ51" s="10"/>
      <c r="BA51" s="16"/>
      <c r="BB51" s="16"/>
      <c r="BC51" s="16"/>
      <c r="BD51" s="16"/>
      <c r="BE51" s="16"/>
      <c r="BF51" s="16"/>
      <c r="BG51" s="16"/>
      <c r="BH51" s="16"/>
      <c r="BI51" s="19"/>
    </row>
    <row r="52" spans="1:79" ht="7.4" customHeight="1" x14ac:dyDescent="0.5">
      <c r="S52" s="6"/>
      <c r="AL52" s="7"/>
      <c r="AM52" s="7"/>
      <c r="AN52" s="7"/>
      <c r="AO52" s="7"/>
      <c r="AP52" s="7"/>
      <c r="AS52" s="16"/>
      <c r="AT52" s="16"/>
      <c r="AU52" s="16"/>
      <c r="AV52" s="16"/>
      <c r="AW52" s="16"/>
      <c r="AX52" s="16"/>
      <c r="BA52" s="16"/>
      <c r="BB52" s="16"/>
      <c r="BC52" s="16"/>
      <c r="BD52" s="16"/>
      <c r="BE52" s="16"/>
      <c r="BF52" s="16"/>
      <c r="BG52" s="16"/>
      <c r="BH52" s="16"/>
    </row>
    <row r="53" spans="1:79" ht="7.4" customHeight="1" x14ac:dyDescent="0.5">
      <c r="B53" s="553"/>
      <c r="C53" s="553"/>
      <c r="F53" s="554"/>
      <c r="G53" s="554"/>
      <c r="H53" s="554"/>
      <c r="I53" s="554"/>
      <c r="J53" s="554"/>
      <c r="K53" s="554"/>
      <c r="L53" s="554"/>
      <c r="M53" s="554"/>
      <c r="N53" s="554"/>
      <c r="O53" s="554"/>
      <c r="P53" s="554"/>
      <c r="Q53" s="554"/>
      <c r="S53" s="555"/>
      <c r="T53" s="555"/>
      <c r="U53" s="555"/>
      <c r="V53" s="555"/>
      <c r="W53" s="555"/>
      <c r="X53" s="555"/>
      <c r="Y53" s="555"/>
      <c r="Z53" s="555"/>
      <c r="AA53" s="555"/>
      <c r="AB53" s="555"/>
      <c r="AC53" s="555"/>
      <c r="AD53" s="555"/>
      <c r="AE53" s="555"/>
      <c r="AF53" s="555"/>
      <c r="AG53" s="555"/>
      <c r="AH53" s="555"/>
      <c r="AI53" s="555"/>
      <c r="AJ53" s="555"/>
      <c r="AL53" s="556"/>
      <c r="AM53" s="556"/>
      <c r="AN53" s="556"/>
      <c r="AO53" s="556"/>
      <c r="AP53" s="556"/>
      <c r="AR53" s="9"/>
      <c r="AS53" s="557"/>
      <c r="AT53" s="557"/>
      <c r="AU53" s="557"/>
      <c r="AV53" s="557"/>
      <c r="AW53" s="557"/>
      <c r="AX53" s="557"/>
      <c r="AY53" s="557"/>
      <c r="AZ53" s="557"/>
      <c r="BA53" s="557"/>
      <c r="BB53" s="557"/>
      <c r="BC53" s="557"/>
      <c r="BD53" s="557"/>
      <c r="BE53" s="557"/>
      <c r="BF53" s="557"/>
      <c r="BG53" s="557"/>
      <c r="BH53" s="557"/>
      <c r="BI53" s="18"/>
    </row>
    <row r="54" spans="1:79" ht="7.4" customHeight="1" x14ac:dyDescent="0.5">
      <c r="B54" s="553"/>
      <c r="C54" s="553"/>
      <c r="F54" s="554"/>
      <c r="G54" s="554"/>
      <c r="H54" s="554"/>
      <c r="I54" s="554"/>
      <c r="J54" s="554"/>
      <c r="K54" s="554"/>
      <c r="L54" s="554"/>
      <c r="M54" s="554"/>
      <c r="N54" s="554"/>
      <c r="O54" s="554"/>
      <c r="P54" s="554"/>
      <c r="Q54" s="554"/>
      <c r="S54" s="555"/>
      <c r="T54" s="555"/>
      <c r="U54" s="555"/>
      <c r="V54" s="555"/>
      <c r="W54" s="555"/>
      <c r="X54" s="555"/>
      <c r="Y54" s="555"/>
      <c r="Z54" s="555"/>
      <c r="AA54" s="555"/>
      <c r="AB54" s="555"/>
      <c r="AC54" s="555"/>
      <c r="AD54" s="555"/>
      <c r="AE54" s="555"/>
      <c r="AF54" s="555"/>
      <c r="AG54" s="555"/>
      <c r="AH54" s="555"/>
      <c r="AI54" s="555"/>
      <c r="AJ54" s="555"/>
      <c r="AL54" s="556"/>
      <c r="AM54" s="556"/>
      <c r="AN54" s="556"/>
      <c r="AO54" s="556"/>
      <c r="AP54" s="556"/>
      <c r="AR54" s="9"/>
      <c r="AS54" s="557"/>
      <c r="AT54" s="557"/>
      <c r="AU54" s="557"/>
      <c r="AV54" s="557"/>
      <c r="AW54" s="557"/>
      <c r="AX54" s="557"/>
      <c r="AY54" s="557"/>
      <c r="AZ54" s="557"/>
      <c r="BA54" s="557"/>
      <c r="BB54" s="557"/>
      <c r="BC54" s="557"/>
      <c r="BD54" s="557"/>
      <c r="BE54" s="557"/>
      <c r="BF54" s="557"/>
      <c r="BG54" s="557"/>
      <c r="BH54" s="557"/>
      <c r="BI54" s="18"/>
    </row>
    <row r="55" spans="1:79" s="17" customFormat="1" ht="7.4" customHeight="1" x14ac:dyDescent="0.5">
      <c r="A55" s="10"/>
      <c r="B55" s="11"/>
      <c r="C55" s="11"/>
      <c r="D55" s="10"/>
      <c r="E55" s="10"/>
      <c r="F55" s="10"/>
      <c r="G55" s="10"/>
      <c r="H55" s="10"/>
      <c r="I55" s="10"/>
      <c r="J55" s="10"/>
      <c r="K55" s="10"/>
      <c r="L55" s="10"/>
      <c r="M55" s="10"/>
      <c r="N55" s="10"/>
      <c r="O55" s="10"/>
      <c r="P55" s="10"/>
      <c r="Q55" s="10"/>
      <c r="R55" s="10"/>
      <c r="S55" s="13"/>
      <c r="T55" s="10"/>
      <c r="U55" s="10"/>
      <c r="V55" s="10"/>
      <c r="W55" s="10"/>
      <c r="X55" s="10"/>
      <c r="Y55" s="10"/>
      <c r="Z55" s="10"/>
      <c r="AA55" s="10"/>
      <c r="AB55" s="10"/>
      <c r="AC55" s="10"/>
      <c r="AD55" s="10"/>
      <c r="AE55" s="10"/>
      <c r="AF55" s="10"/>
      <c r="AG55" s="10"/>
      <c r="AH55" s="10"/>
      <c r="AI55" s="10"/>
      <c r="AJ55" s="10"/>
      <c r="AK55" s="10"/>
      <c r="AL55" s="14"/>
      <c r="AM55" s="14"/>
      <c r="AN55" s="14"/>
      <c r="AO55" s="14"/>
      <c r="AP55" s="14"/>
      <c r="AQ55" s="10"/>
      <c r="AR55" s="10"/>
      <c r="AS55" s="16"/>
      <c r="AT55" s="16"/>
      <c r="AU55" s="16"/>
      <c r="AV55" s="16"/>
      <c r="AW55" s="16"/>
      <c r="AX55" s="16"/>
      <c r="AY55" s="10"/>
      <c r="AZ55" s="10"/>
      <c r="BA55" s="16"/>
      <c r="BB55" s="16"/>
      <c r="BC55" s="16"/>
      <c r="BD55" s="16"/>
      <c r="BE55" s="16"/>
      <c r="BF55" s="16"/>
      <c r="BG55" s="16"/>
      <c r="BH55" s="16"/>
      <c r="BI55" s="19"/>
    </row>
    <row r="56" spans="1:79" ht="7.4" customHeight="1" x14ac:dyDescent="0.5">
      <c r="S56" s="6"/>
      <c r="AL56" s="7"/>
      <c r="AM56" s="7"/>
      <c r="AN56" s="7"/>
      <c r="AO56" s="7"/>
      <c r="AP56" s="7"/>
      <c r="AS56" s="16"/>
      <c r="AT56" s="16"/>
      <c r="AU56" s="16"/>
      <c r="AV56" s="16"/>
      <c r="AW56" s="16"/>
      <c r="AX56" s="16"/>
      <c r="BA56" s="16"/>
      <c r="BB56" s="16"/>
      <c r="BC56" s="16"/>
      <c r="BD56" s="16"/>
      <c r="BE56" s="16"/>
      <c r="BF56" s="16"/>
      <c r="BG56" s="16"/>
      <c r="BH56" s="16"/>
    </row>
    <row r="57" spans="1:79" ht="7.4" customHeight="1" x14ac:dyDescent="0.5">
      <c r="B57" s="553"/>
      <c r="C57" s="553"/>
      <c r="F57" s="554"/>
      <c r="G57" s="554"/>
      <c r="H57" s="554"/>
      <c r="I57" s="554"/>
      <c r="J57" s="554"/>
      <c r="K57" s="554"/>
      <c r="L57" s="554"/>
      <c r="M57" s="554"/>
      <c r="N57" s="554"/>
      <c r="O57" s="554"/>
      <c r="P57" s="554"/>
      <c r="Q57" s="554"/>
      <c r="S57" s="555"/>
      <c r="T57" s="555"/>
      <c r="U57" s="555"/>
      <c r="V57" s="555"/>
      <c r="W57" s="555"/>
      <c r="X57" s="555"/>
      <c r="Y57" s="555"/>
      <c r="Z57" s="555"/>
      <c r="AA57" s="555"/>
      <c r="AB57" s="555"/>
      <c r="AC57" s="555"/>
      <c r="AD57" s="555"/>
      <c r="AE57" s="555"/>
      <c r="AF57" s="555"/>
      <c r="AG57" s="555"/>
      <c r="AH57" s="555"/>
      <c r="AI57" s="555"/>
      <c r="AJ57" s="555"/>
      <c r="AL57" s="556"/>
      <c r="AM57" s="556"/>
      <c r="AN57" s="556"/>
      <c r="AO57" s="556"/>
      <c r="AP57" s="556"/>
      <c r="AR57" s="9"/>
      <c r="AS57" s="557"/>
      <c r="AT57" s="557"/>
      <c r="AU57" s="557"/>
      <c r="AV57" s="557"/>
      <c r="AW57" s="557"/>
      <c r="AX57" s="557"/>
      <c r="AY57" s="557"/>
      <c r="AZ57" s="557"/>
      <c r="BA57" s="557"/>
      <c r="BB57" s="557"/>
      <c r="BC57" s="557"/>
      <c r="BD57" s="557"/>
      <c r="BE57" s="557"/>
      <c r="BF57" s="557"/>
      <c r="BG57" s="557"/>
      <c r="BH57" s="557"/>
      <c r="BI57" s="18"/>
    </row>
    <row r="58" spans="1:79" ht="7.4" customHeight="1" x14ac:dyDescent="0.5">
      <c r="B58" s="553"/>
      <c r="C58" s="553"/>
      <c r="F58" s="554"/>
      <c r="G58" s="554"/>
      <c r="H58" s="554"/>
      <c r="I58" s="554"/>
      <c r="J58" s="554"/>
      <c r="K58" s="554"/>
      <c r="L58" s="554"/>
      <c r="M58" s="554"/>
      <c r="N58" s="554"/>
      <c r="O58" s="554"/>
      <c r="P58" s="554"/>
      <c r="Q58" s="554"/>
      <c r="S58" s="555"/>
      <c r="T58" s="555"/>
      <c r="U58" s="555"/>
      <c r="V58" s="555"/>
      <c r="W58" s="555"/>
      <c r="X58" s="555"/>
      <c r="Y58" s="555"/>
      <c r="Z58" s="555"/>
      <c r="AA58" s="555"/>
      <c r="AB58" s="555"/>
      <c r="AC58" s="555"/>
      <c r="AD58" s="555"/>
      <c r="AE58" s="555"/>
      <c r="AF58" s="555"/>
      <c r="AG58" s="555"/>
      <c r="AH58" s="555"/>
      <c r="AI58" s="555"/>
      <c r="AJ58" s="555"/>
      <c r="AL58" s="556"/>
      <c r="AM58" s="556"/>
      <c r="AN58" s="556"/>
      <c r="AO58" s="556"/>
      <c r="AP58" s="556"/>
      <c r="AR58" s="9"/>
      <c r="AS58" s="557"/>
      <c r="AT58" s="557"/>
      <c r="AU58" s="557"/>
      <c r="AV58" s="557"/>
      <c r="AW58" s="557"/>
      <c r="AX58" s="557"/>
      <c r="AY58" s="557"/>
      <c r="AZ58" s="557"/>
      <c r="BA58" s="557"/>
      <c r="BB58" s="557"/>
      <c r="BC58" s="557"/>
      <c r="BD58" s="557"/>
      <c r="BE58" s="557"/>
      <c r="BF58" s="557"/>
      <c r="BG58" s="557"/>
      <c r="BH58" s="557"/>
      <c r="BI58" s="18"/>
    </row>
    <row r="59" spans="1:79" s="17" customFormat="1" ht="7.4" customHeight="1" x14ac:dyDescent="0.5">
      <c r="A59" s="10"/>
      <c r="B59" s="11"/>
      <c r="C59" s="11"/>
      <c r="D59" s="10"/>
      <c r="E59" s="10"/>
      <c r="F59" s="10"/>
      <c r="G59" s="10"/>
      <c r="H59" s="10"/>
      <c r="I59" s="10"/>
      <c r="J59" s="10"/>
      <c r="K59" s="10"/>
      <c r="L59" s="10"/>
      <c r="M59" s="10"/>
      <c r="N59" s="10"/>
      <c r="O59" s="10"/>
      <c r="P59" s="10"/>
      <c r="Q59" s="10"/>
      <c r="R59" s="10"/>
      <c r="S59" s="13"/>
      <c r="T59" s="10"/>
      <c r="U59" s="10"/>
      <c r="V59" s="10"/>
      <c r="W59" s="10"/>
      <c r="X59" s="10"/>
      <c r="Y59" s="10"/>
      <c r="Z59" s="10"/>
      <c r="AA59" s="10"/>
      <c r="AB59" s="10"/>
      <c r="AC59" s="10"/>
      <c r="AD59" s="10"/>
      <c r="AE59" s="10"/>
      <c r="AF59" s="10"/>
      <c r="AG59" s="10"/>
      <c r="AH59" s="10"/>
      <c r="AI59" s="10"/>
      <c r="AJ59" s="10"/>
      <c r="AK59" s="10"/>
      <c r="AL59" s="14"/>
      <c r="AM59" s="14"/>
      <c r="AN59" s="14"/>
      <c r="AO59" s="14"/>
      <c r="AP59" s="14"/>
      <c r="AQ59" s="10"/>
      <c r="AR59" s="10"/>
      <c r="AS59" s="16"/>
      <c r="AT59" s="16"/>
      <c r="AU59" s="16"/>
      <c r="AV59" s="16"/>
      <c r="AW59" s="16"/>
      <c r="AX59" s="16"/>
      <c r="AY59" s="10"/>
      <c r="AZ59" s="10"/>
      <c r="BA59" s="16"/>
      <c r="BB59" s="16"/>
      <c r="BC59" s="16"/>
      <c r="BD59" s="16"/>
      <c r="BE59" s="16"/>
      <c r="BF59" s="16"/>
      <c r="BG59" s="16"/>
      <c r="BH59" s="16"/>
      <c r="BI59" s="19"/>
    </row>
    <row r="60" spans="1:79" ht="7.4" customHeight="1" x14ac:dyDescent="0.5">
      <c r="S60" s="6"/>
      <c r="AL60" s="7"/>
      <c r="AM60" s="7"/>
      <c r="AN60" s="7"/>
      <c r="AO60" s="7"/>
      <c r="AP60" s="7"/>
      <c r="AS60" s="16"/>
      <c r="AT60" s="16"/>
      <c r="AU60" s="16"/>
      <c r="AV60" s="16"/>
      <c r="AW60" s="16"/>
      <c r="AX60" s="16"/>
      <c r="BA60" s="16"/>
      <c r="BB60" s="16"/>
      <c r="BC60" s="16"/>
      <c r="BD60" s="16"/>
      <c r="BE60" s="16"/>
      <c r="BF60" s="16"/>
      <c r="BG60" s="16"/>
      <c r="BH60" s="16"/>
    </row>
    <row r="61" spans="1:79" ht="7.4" customHeight="1" x14ac:dyDescent="0.5">
      <c r="B61" s="553"/>
      <c r="C61" s="553"/>
      <c r="F61" s="554"/>
      <c r="G61" s="554"/>
      <c r="H61" s="554"/>
      <c r="I61" s="554"/>
      <c r="J61" s="554"/>
      <c r="K61" s="554"/>
      <c r="L61" s="554"/>
      <c r="M61" s="554"/>
      <c r="N61" s="554"/>
      <c r="O61" s="554"/>
      <c r="P61" s="554"/>
      <c r="Q61" s="554"/>
      <c r="S61" s="555"/>
      <c r="T61" s="555"/>
      <c r="U61" s="555"/>
      <c r="V61" s="555"/>
      <c r="W61" s="555"/>
      <c r="X61" s="555"/>
      <c r="Y61" s="555"/>
      <c r="Z61" s="555"/>
      <c r="AA61" s="555"/>
      <c r="AB61" s="555"/>
      <c r="AC61" s="555"/>
      <c r="AD61" s="555"/>
      <c r="AE61" s="555"/>
      <c r="AF61" s="555"/>
      <c r="AG61" s="555"/>
      <c r="AH61" s="555"/>
      <c r="AI61" s="555"/>
      <c r="AJ61" s="555"/>
      <c r="AL61" s="556"/>
      <c r="AM61" s="556"/>
      <c r="AN61" s="556"/>
      <c r="AO61" s="556"/>
      <c r="AP61" s="556"/>
      <c r="AR61" s="9"/>
      <c r="AS61" s="557"/>
      <c r="AT61" s="557"/>
      <c r="AU61" s="557"/>
      <c r="AV61" s="557"/>
      <c r="AW61" s="557"/>
      <c r="AX61" s="557"/>
      <c r="AY61" s="557"/>
      <c r="AZ61" s="557"/>
      <c r="BA61" s="557"/>
      <c r="BB61" s="557"/>
      <c r="BC61" s="557"/>
      <c r="BD61" s="557"/>
      <c r="BE61" s="557"/>
      <c r="BF61" s="557"/>
      <c r="BG61" s="557"/>
      <c r="BH61" s="557"/>
      <c r="BI61" s="18"/>
    </row>
    <row r="62" spans="1:79" ht="7.4" customHeight="1" x14ac:dyDescent="0.5">
      <c r="B62" s="553"/>
      <c r="C62" s="553"/>
      <c r="F62" s="554"/>
      <c r="G62" s="554"/>
      <c r="H62" s="554"/>
      <c r="I62" s="554"/>
      <c r="J62" s="554"/>
      <c r="K62" s="554"/>
      <c r="L62" s="554"/>
      <c r="M62" s="554"/>
      <c r="N62" s="554"/>
      <c r="O62" s="554"/>
      <c r="P62" s="554"/>
      <c r="Q62" s="554"/>
      <c r="S62" s="555"/>
      <c r="T62" s="555"/>
      <c r="U62" s="555"/>
      <c r="V62" s="555"/>
      <c r="W62" s="555"/>
      <c r="X62" s="555"/>
      <c r="Y62" s="555"/>
      <c r="Z62" s="555"/>
      <c r="AA62" s="555"/>
      <c r="AB62" s="555"/>
      <c r="AC62" s="555"/>
      <c r="AD62" s="555"/>
      <c r="AE62" s="555"/>
      <c r="AF62" s="555"/>
      <c r="AG62" s="555"/>
      <c r="AH62" s="555"/>
      <c r="AI62" s="555"/>
      <c r="AJ62" s="555"/>
      <c r="AL62" s="556"/>
      <c r="AM62" s="556"/>
      <c r="AN62" s="556"/>
      <c r="AO62" s="556"/>
      <c r="AP62" s="556"/>
      <c r="AR62" s="9"/>
      <c r="AS62" s="557"/>
      <c r="AT62" s="557"/>
      <c r="AU62" s="557"/>
      <c r="AV62" s="557"/>
      <c r="AW62" s="557"/>
      <c r="AX62" s="557"/>
      <c r="AY62" s="557"/>
      <c r="AZ62" s="557"/>
      <c r="BA62" s="557"/>
      <c r="BB62" s="557"/>
      <c r="BC62" s="557"/>
      <c r="BD62" s="557"/>
      <c r="BE62" s="557"/>
      <c r="BF62" s="557"/>
      <c r="BG62" s="557"/>
      <c r="BH62" s="557"/>
      <c r="BI62" s="18"/>
    </row>
    <row r="63" spans="1:79" s="17" customFormat="1" ht="7.4" customHeight="1" x14ac:dyDescent="0.5">
      <c r="A63" s="10"/>
      <c r="B63" s="11"/>
      <c r="C63" s="11"/>
      <c r="D63" s="10"/>
      <c r="E63" s="10"/>
      <c r="F63" s="10"/>
      <c r="G63" s="10"/>
      <c r="H63" s="10"/>
      <c r="I63" s="10"/>
      <c r="J63" s="10"/>
      <c r="K63" s="10"/>
      <c r="L63" s="10"/>
      <c r="M63" s="10"/>
      <c r="N63" s="10"/>
      <c r="O63" s="10"/>
      <c r="P63" s="10"/>
      <c r="Q63" s="10"/>
      <c r="R63" s="10"/>
      <c r="S63" s="13"/>
      <c r="T63" s="10"/>
      <c r="U63" s="10"/>
      <c r="V63" s="10"/>
      <c r="W63" s="10"/>
      <c r="X63" s="10"/>
      <c r="Y63" s="10"/>
      <c r="Z63" s="10"/>
      <c r="AA63" s="10"/>
      <c r="AB63" s="10"/>
      <c r="AC63" s="10"/>
      <c r="AD63" s="10"/>
      <c r="AE63" s="10"/>
      <c r="AF63" s="10"/>
      <c r="AG63" s="10"/>
      <c r="AH63" s="10"/>
      <c r="AI63" s="10"/>
      <c r="AJ63" s="10"/>
      <c r="AK63" s="10"/>
      <c r="AL63" s="14"/>
      <c r="AM63" s="14"/>
      <c r="AN63" s="14"/>
      <c r="AO63" s="14"/>
      <c r="AP63" s="14"/>
      <c r="AQ63" s="10"/>
      <c r="AR63" s="10"/>
      <c r="AS63" s="16"/>
      <c r="AT63" s="16"/>
      <c r="AU63" s="16"/>
      <c r="AV63" s="16"/>
      <c r="AW63" s="16"/>
      <c r="AX63" s="16"/>
      <c r="AY63" s="10"/>
      <c r="AZ63" s="10"/>
      <c r="BA63" s="16"/>
      <c r="BB63" s="16"/>
      <c r="BC63" s="16"/>
      <c r="BD63" s="16"/>
      <c r="BE63" s="16"/>
      <c r="BF63" s="16"/>
      <c r="BG63" s="16"/>
      <c r="BH63" s="16"/>
      <c r="BI63" s="19"/>
    </row>
    <row r="64" spans="1:79" ht="7.4" customHeight="1" x14ac:dyDescent="0.5">
      <c r="S64" s="6"/>
      <c r="AL64" s="7"/>
      <c r="AM64" s="7"/>
      <c r="AN64" s="7"/>
      <c r="AO64" s="7"/>
      <c r="AP64" s="7"/>
      <c r="AS64" s="16"/>
      <c r="AT64" s="16"/>
      <c r="AU64" s="16"/>
      <c r="AV64" s="16"/>
      <c r="AW64" s="16"/>
      <c r="AX64" s="16"/>
      <c r="BA64" s="16"/>
      <c r="BB64" s="16"/>
      <c r="BC64" s="16"/>
      <c r="BD64" s="16"/>
      <c r="BE64" s="16"/>
      <c r="BF64" s="16"/>
      <c r="BG64" s="16"/>
      <c r="BH64" s="16"/>
    </row>
    <row r="65" spans="1:61" ht="7.4" customHeight="1" x14ac:dyDescent="0.5">
      <c r="B65" s="553"/>
      <c r="C65" s="553"/>
      <c r="F65" s="554"/>
      <c r="G65" s="554"/>
      <c r="H65" s="554"/>
      <c r="I65" s="554"/>
      <c r="J65" s="554"/>
      <c r="K65" s="554"/>
      <c r="L65" s="554"/>
      <c r="M65" s="554"/>
      <c r="N65" s="554"/>
      <c r="O65" s="554"/>
      <c r="P65" s="554"/>
      <c r="Q65" s="554"/>
      <c r="S65" s="555"/>
      <c r="T65" s="555"/>
      <c r="U65" s="555"/>
      <c r="V65" s="555"/>
      <c r="W65" s="555"/>
      <c r="X65" s="555"/>
      <c r="Y65" s="555"/>
      <c r="Z65" s="555"/>
      <c r="AA65" s="555"/>
      <c r="AB65" s="555"/>
      <c r="AC65" s="555"/>
      <c r="AD65" s="555"/>
      <c r="AE65" s="555"/>
      <c r="AF65" s="555"/>
      <c r="AG65" s="555"/>
      <c r="AH65" s="555"/>
      <c r="AI65" s="555"/>
      <c r="AJ65" s="555"/>
      <c r="AL65" s="556"/>
      <c r="AM65" s="556"/>
      <c r="AN65" s="556"/>
      <c r="AO65" s="556"/>
      <c r="AP65" s="556"/>
      <c r="AR65" s="9"/>
      <c r="AS65" s="557"/>
      <c r="AT65" s="557"/>
      <c r="AU65" s="557"/>
      <c r="AV65" s="557"/>
      <c r="AW65" s="557"/>
      <c r="AX65" s="557"/>
      <c r="AY65" s="557"/>
      <c r="AZ65" s="557"/>
      <c r="BA65" s="557"/>
      <c r="BB65" s="557"/>
      <c r="BC65" s="557"/>
      <c r="BD65" s="557"/>
      <c r="BE65" s="557"/>
      <c r="BF65" s="557"/>
      <c r="BG65" s="557"/>
      <c r="BH65" s="557"/>
      <c r="BI65" s="18"/>
    </row>
    <row r="66" spans="1:61" ht="7.4" customHeight="1" x14ac:dyDescent="0.5">
      <c r="B66" s="553"/>
      <c r="C66" s="553"/>
      <c r="F66" s="554"/>
      <c r="G66" s="554"/>
      <c r="H66" s="554"/>
      <c r="I66" s="554"/>
      <c r="J66" s="554"/>
      <c r="K66" s="554"/>
      <c r="L66" s="554"/>
      <c r="M66" s="554"/>
      <c r="N66" s="554"/>
      <c r="O66" s="554"/>
      <c r="P66" s="554"/>
      <c r="Q66" s="554"/>
      <c r="S66" s="555"/>
      <c r="T66" s="555"/>
      <c r="U66" s="555"/>
      <c r="V66" s="555"/>
      <c r="W66" s="555"/>
      <c r="X66" s="555"/>
      <c r="Y66" s="555"/>
      <c r="Z66" s="555"/>
      <c r="AA66" s="555"/>
      <c r="AB66" s="555"/>
      <c r="AC66" s="555"/>
      <c r="AD66" s="555"/>
      <c r="AE66" s="555"/>
      <c r="AF66" s="555"/>
      <c r="AG66" s="555"/>
      <c r="AH66" s="555"/>
      <c r="AI66" s="555"/>
      <c r="AJ66" s="555"/>
      <c r="AL66" s="556"/>
      <c r="AM66" s="556"/>
      <c r="AN66" s="556"/>
      <c r="AO66" s="556"/>
      <c r="AP66" s="556"/>
      <c r="AR66" s="9"/>
      <c r="AS66" s="557"/>
      <c r="AT66" s="557"/>
      <c r="AU66" s="557"/>
      <c r="AV66" s="557"/>
      <c r="AW66" s="557"/>
      <c r="AX66" s="557"/>
      <c r="AY66" s="557"/>
      <c r="AZ66" s="557"/>
      <c r="BA66" s="557"/>
      <c r="BB66" s="557"/>
      <c r="BC66" s="557"/>
      <c r="BD66" s="557"/>
      <c r="BE66" s="557"/>
      <c r="BF66" s="557"/>
      <c r="BG66" s="557"/>
      <c r="BH66" s="557"/>
      <c r="BI66" s="18"/>
    </row>
    <row r="67" spans="1:61" s="17" customFormat="1" ht="7.4" customHeight="1" x14ac:dyDescent="0.5">
      <c r="A67" s="10"/>
      <c r="B67" s="11"/>
      <c r="C67" s="11"/>
      <c r="D67" s="10"/>
      <c r="E67" s="10"/>
      <c r="F67" s="10"/>
      <c r="G67" s="10"/>
      <c r="H67" s="10"/>
      <c r="I67" s="10"/>
      <c r="J67" s="10"/>
      <c r="K67" s="10"/>
      <c r="L67" s="10"/>
      <c r="M67" s="10"/>
      <c r="N67" s="10"/>
      <c r="O67" s="10"/>
      <c r="P67" s="10"/>
      <c r="Q67" s="10"/>
      <c r="R67" s="10"/>
      <c r="S67" s="13"/>
      <c r="T67" s="10"/>
      <c r="U67" s="10"/>
      <c r="V67" s="10"/>
      <c r="W67" s="10"/>
      <c r="X67" s="10"/>
      <c r="Y67" s="10"/>
      <c r="Z67" s="10"/>
      <c r="AA67" s="10"/>
      <c r="AB67" s="10"/>
      <c r="AC67" s="10"/>
      <c r="AD67" s="10"/>
      <c r="AE67" s="10"/>
      <c r="AF67" s="10"/>
      <c r="AG67" s="10"/>
      <c r="AH67" s="10"/>
      <c r="AI67" s="10"/>
      <c r="AJ67" s="10"/>
      <c r="AK67" s="10"/>
      <c r="AL67" s="14"/>
      <c r="AM67" s="14"/>
      <c r="AN67" s="14"/>
      <c r="AO67" s="14"/>
      <c r="AP67" s="14"/>
      <c r="AQ67" s="10"/>
      <c r="AR67" s="10"/>
      <c r="AS67" s="16"/>
      <c r="AT67" s="16"/>
      <c r="AU67" s="16"/>
      <c r="AV67" s="16"/>
      <c r="AW67" s="16"/>
      <c r="AX67" s="16"/>
      <c r="AY67" s="10"/>
      <c r="AZ67" s="10"/>
      <c r="BA67" s="16"/>
      <c r="BB67" s="16"/>
      <c r="BC67" s="16"/>
      <c r="BD67" s="16"/>
      <c r="BE67" s="16"/>
      <c r="BF67" s="16"/>
      <c r="BG67" s="16"/>
      <c r="BH67" s="16"/>
      <c r="BI67" s="19"/>
    </row>
    <row r="68" spans="1:61" ht="7.4" customHeight="1" x14ac:dyDescent="0.5">
      <c r="S68" s="6"/>
      <c r="AL68" s="7"/>
      <c r="AM68" s="7"/>
      <c r="AN68" s="7"/>
      <c r="AO68" s="7"/>
      <c r="AP68" s="7"/>
      <c r="AS68" s="16"/>
      <c r="AT68" s="16"/>
      <c r="AU68" s="16"/>
      <c r="AV68" s="16"/>
      <c r="AW68" s="16"/>
      <c r="AX68" s="16"/>
      <c r="BA68" s="16"/>
      <c r="BB68" s="16"/>
      <c r="BC68" s="16"/>
      <c r="BD68" s="16"/>
      <c r="BE68" s="16"/>
      <c r="BF68" s="16"/>
      <c r="BG68" s="16"/>
      <c r="BH68" s="16"/>
    </row>
    <row r="69" spans="1:61" ht="7.4" customHeight="1" x14ac:dyDescent="0.5">
      <c r="B69" s="553"/>
      <c r="C69" s="553"/>
      <c r="F69" s="554"/>
      <c r="G69" s="554"/>
      <c r="H69" s="554"/>
      <c r="I69" s="554"/>
      <c r="J69" s="554"/>
      <c r="K69" s="554"/>
      <c r="L69" s="554"/>
      <c r="M69" s="554"/>
      <c r="N69" s="554"/>
      <c r="O69" s="554"/>
      <c r="P69" s="554"/>
      <c r="Q69" s="554"/>
      <c r="S69" s="555"/>
      <c r="T69" s="555"/>
      <c r="U69" s="555"/>
      <c r="V69" s="555"/>
      <c r="W69" s="555"/>
      <c r="X69" s="555"/>
      <c r="Y69" s="555"/>
      <c r="Z69" s="555"/>
      <c r="AA69" s="555"/>
      <c r="AB69" s="555"/>
      <c r="AC69" s="555"/>
      <c r="AD69" s="555"/>
      <c r="AE69" s="555"/>
      <c r="AF69" s="555"/>
      <c r="AG69" s="555"/>
      <c r="AH69" s="555"/>
      <c r="AI69" s="555"/>
      <c r="AJ69" s="555"/>
      <c r="AL69" s="556"/>
      <c r="AM69" s="556"/>
      <c r="AN69" s="556"/>
      <c r="AO69" s="556"/>
      <c r="AP69" s="556"/>
      <c r="AR69" s="9"/>
      <c r="AS69" s="557"/>
      <c r="AT69" s="557"/>
      <c r="AU69" s="557"/>
      <c r="AV69" s="557"/>
      <c r="AW69" s="557"/>
      <c r="AX69" s="557"/>
      <c r="AY69" s="557"/>
      <c r="AZ69" s="557"/>
      <c r="BA69" s="557"/>
      <c r="BB69" s="557"/>
      <c r="BC69" s="557"/>
      <c r="BD69" s="557"/>
      <c r="BE69" s="557"/>
      <c r="BF69" s="557"/>
      <c r="BG69" s="557"/>
      <c r="BH69" s="557"/>
      <c r="BI69" s="18"/>
    </row>
    <row r="70" spans="1:61" ht="7.4" customHeight="1" x14ac:dyDescent="0.5">
      <c r="B70" s="553"/>
      <c r="C70" s="553"/>
      <c r="F70" s="554"/>
      <c r="G70" s="554"/>
      <c r="H70" s="554"/>
      <c r="I70" s="554"/>
      <c r="J70" s="554"/>
      <c r="K70" s="554"/>
      <c r="L70" s="554"/>
      <c r="M70" s="554"/>
      <c r="N70" s="554"/>
      <c r="O70" s="554"/>
      <c r="P70" s="554"/>
      <c r="Q70" s="554"/>
      <c r="S70" s="555"/>
      <c r="T70" s="555"/>
      <c r="U70" s="555"/>
      <c r="V70" s="555"/>
      <c r="W70" s="555"/>
      <c r="X70" s="555"/>
      <c r="Y70" s="555"/>
      <c r="Z70" s="555"/>
      <c r="AA70" s="555"/>
      <c r="AB70" s="555"/>
      <c r="AC70" s="555"/>
      <c r="AD70" s="555"/>
      <c r="AE70" s="555"/>
      <c r="AF70" s="555"/>
      <c r="AG70" s="555"/>
      <c r="AH70" s="555"/>
      <c r="AI70" s="555"/>
      <c r="AJ70" s="555"/>
      <c r="AL70" s="556"/>
      <c r="AM70" s="556"/>
      <c r="AN70" s="556"/>
      <c r="AO70" s="556"/>
      <c r="AP70" s="556"/>
      <c r="AR70" s="9"/>
      <c r="AS70" s="557"/>
      <c r="AT70" s="557"/>
      <c r="AU70" s="557"/>
      <c r="AV70" s="557"/>
      <c r="AW70" s="557"/>
      <c r="AX70" s="557"/>
      <c r="AY70" s="557"/>
      <c r="AZ70" s="557"/>
      <c r="BA70" s="557"/>
      <c r="BB70" s="557"/>
      <c r="BC70" s="557"/>
      <c r="BD70" s="557"/>
      <c r="BE70" s="557"/>
      <c r="BF70" s="557"/>
      <c r="BG70" s="557"/>
      <c r="BH70" s="557"/>
      <c r="BI70" s="18"/>
    </row>
    <row r="71" spans="1:61" s="17" customFormat="1" ht="7.4" customHeight="1" x14ac:dyDescent="0.5">
      <c r="A71" s="10"/>
      <c r="B71" s="11"/>
      <c r="C71" s="11"/>
      <c r="D71" s="10"/>
      <c r="E71" s="10"/>
      <c r="F71" s="10"/>
      <c r="G71" s="10"/>
      <c r="H71" s="10"/>
      <c r="I71" s="10"/>
      <c r="J71" s="10"/>
      <c r="K71" s="10"/>
      <c r="L71" s="10"/>
      <c r="M71" s="10"/>
      <c r="N71" s="10"/>
      <c r="O71" s="10"/>
      <c r="P71" s="10"/>
      <c r="Q71" s="10"/>
      <c r="R71" s="10"/>
      <c r="S71" s="13"/>
      <c r="T71" s="10"/>
      <c r="U71" s="10"/>
      <c r="V71" s="10"/>
      <c r="W71" s="10"/>
      <c r="X71" s="10"/>
      <c r="Y71" s="10"/>
      <c r="Z71" s="10"/>
      <c r="AA71" s="10"/>
      <c r="AB71" s="10"/>
      <c r="AC71" s="10"/>
      <c r="AD71" s="10"/>
      <c r="AE71" s="10"/>
      <c r="AF71" s="10"/>
      <c r="AG71" s="10"/>
      <c r="AH71" s="10"/>
      <c r="AI71" s="10"/>
      <c r="AJ71" s="10"/>
      <c r="AK71" s="10"/>
      <c r="AL71" s="14"/>
      <c r="AM71" s="14"/>
      <c r="AN71" s="14"/>
      <c r="AO71" s="14"/>
      <c r="AP71" s="14"/>
      <c r="AQ71" s="10"/>
      <c r="AR71" s="10"/>
      <c r="AS71" s="16"/>
      <c r="AT71" s="16"/>
      <c r="AU71" s="16"/>
      <c r="AV71" s="16"/>
      <c r="AW71" s="16"/>
      <c r="AX71" s="16"/>
      <c r="AY71" s="10"/>
      <c r="AZ71" s="10"/>
      <c r="BA71" s="16"/>
      <c r="BB71" s="16"/>
      <c r="BC71" s="16"/>
      <c r="BD71" s="16"/>
      <c r="BE71" s="16"/>
      <c r="BF71" s="16"/>
      <c r="BG71" s="16"/>
      <c r="BH71" s="16"/>
      <c r="BI71" s="19"/>
    </row>
    <row r="72" spans="1:61" ht="7.4" customHeight="1" x14ac:dyDescent="0.5">
      <c r="S72" s="6"/>
      <c r="AL72" s="7"/>
      <c r="AM72" s="7"/>
      <c r="AN72" s="7"/>
      <c r="AO72" s="7"/>
      <c r="AP72" s="7"/>
      <c r="AS72" s="16"/>
      <c r="AT72" s="16"/>
      <c r="AU72" s="16"/>
      <c r="AV72" s="16"/>
      <c r="AW72" s="16"/>
      <c r="AX72" s="16"/>
      <c r="BA72" s="16"/>
      <c r="BB72" s="16"/>
      <c r="BC72" s="16"/>
      <c r="BD72" s="16"/>
      <c r="BE72" s="16"/>
      <c r="BF72" s="16"/>
      <c r="BG72" s="16"/>
      <c r="BH72" s="16"/>
    </row>
    <row r="73" spans="1:61" ht="7.4" customHeight="1" x14ac:dyDescent="0.5">
      <c r="B73" s="553"/>
      <c r="C73" s="553"/>
      <c r="F73" s="554"/>
      <c r="G73" s="554"/>
      <c r="H73" s="554"/>
      <c r="I73" s="554"/>
      <c r="J73" s="554"/>
      <c r="K73" s="554"/>
      <c r="L73" s="554"/>
      <c r="M73" s="554"/>
      <c r="N73" s="554"/>
      <c r="O73" s="554"/>
      <c r="P73" s="554"/>
      <c r="Q73" s="554"/>
      <c r="S73" s="555"/>
      <c r="T73" s="555"/>
      <c r="U73" s="555"/>
      <c r="V73" s="555"/>
      <c r="W73" s="555"/>
      <c r="X73" s="555"/>
      <c r="Y73" s="555"/>
      <c r="Z73" s="555"/>
      <c r="AA73" s="555"/>
      <c r="AB73" s="555"/>
      <c r="AC73" s="555"/>
      <c r="AD73" s="555"/>
      <c r="AE73" s="555"/>
      <c r="AF73" s="555"/>
      <c r="AG73" s="555"/>
      <c r="AH73" s="555"/>
      <c r="AI73" s="555"/>
      <c r="AJ73" s="555"/>
      <c r="AL73" s="556"/>
      <c r="AM73" s="556"/>
      <c r="AN73" s="556"/>
      <c r="AO73" s="556"/>
      <c r="AP73" s="556"/>
      <c r="AR73" s="9"/>
      <c r="AS73" s="557"/>
      <c r="AT73" s="557"/>
      <c r="AU73" s="557"/>
      <c r="AV73" s="557"/>
      <c r="AW73" s="557"/>
      <c r="AX73" s="557"/>
      <c r="AY73" s="557"/>
      <c r="AZ73" s="557"/>
      <c r="BA73" s="557"/>
      <c r="BB73" s="557"/>
      <c r="BC73" s="557"/>
      <c r="BD73" s="557"/>
      <c r="BE73" s="557"/>
      <c r="BF73" s="557"/>
      <c r="BG73" s="557"/>
      <c r="BH73" s="557"/>
      <c r="BI73" s="18"/>
    </row>
    <row r="74" spans="1:61" ht="7.4" customHeight="1" x14ac:dyDescent="0.5">
      <c r="B74" s="553"/>
      <c r="C74" s="553"/>
      <c r="F74" s="554"/>
      <c r="G74" s="554"/>
      <c r="H74" s="554"/>
      <c r="I74" s="554"/>
      <c r="J74" s="554"/>
      <c r="K74" s="554"/>
      <c r="L74" s="554"/>
      <c r="M74" s="554"/>
      <c r="N74" s="554"/>
      <c r="O74" s="554"/>
      <c r="P74" s="554"/>
      <c r="Q74" s="554"/>
      <c r="S74" s="555"/>
      <c r="T74" s="555"/>
      <c r="U74" s="555"/>
      <c r="V74" s="555"/>
      <c r="W74" s="555"/>
      <c r="X74" s="555"/>
      <c r="Y74" s="555"/>
      <c r="Z74" s="555"/>
      <c r="AA74" s="555"/>
      <c r="AB74" s="555"/>
      <c r="AC74" s="555"/>
      <c r="AD74" s="555"/>
      <c r="AE74" s="555"/>
      <c r="AF74" s="555"/>
      <c r="AG74" s="555"/>
      <c r="AH74" s="555"/>
      <c r="AI74" s="555"/>
      <c r="AJ74" s="555"/>
      <c r="AL74" s="556"/>
      <c r="AM74" s="556"/>
      <c r="AN74" s="556"/>
      <c r="AO74" s="556"/>
      <c r="AP74" s="556"/>
      <c r="AR74" s="9"/>
      <c r="AS74" s="557"/>
      <c r="AT74" s="557"/>
      <c r="AU74" s="557"/>
      <c r="AV74" s="557"/>
      <c r="AW74" s="557"/>
      <c r="AX74" s="557"/>
      <c r="AY74" s="557"/>
      <c r="AZ74" s="557"/>
      <c r="BA74" s="557"/>
      <c r="BB74" s="557"/>
      <c r="BC74" s="557"/>
      <c r="BD74" s="557"/>
      <c r="BE74" s="557"/>
      <c r="BF74" s="557"/>
      <c r="BG74" s="557"/>
      <c r="BH74" s="557"/>
      <c r="BI74" s="18"/>
    </row>
    <row r="75" spans="1:61" s="17" customFormat="1" ht="7.4" customHeight="1" x14ac:dyDescent="0.5">
      <c r="A75" s="10"/>
      <c r="B75" s="11"/>
      <c r="C75" s="11"/>
      <c r="D75" s="10"/>
      <c r="E75" s="10"/>
      <c r="F75" s="10"/>
      <c r="G75" s="10"/>
      <c r="H75" s="10"/>
      <c r="I75" s="10"/>
      <c r="J75" s="10"/>
      <c r="K75" s="10"/>
      <c r="L75" s="10"/>
      <c r="M75" s="10"/>
      <c r="N75" s="10"/>
      <c r="O75" s="10"/>
      <c r="P75" s="10"/>
      <c r="Q75" s="10"/>
      <c r="R75" s="10"/>
      <c r="S75" s="13"/>
      <c r="T75" s="10"/>
      <c r="U75" s="10"/>
      <c r="V75" s="10"/>
      <c r="W75" s="10"/>
      <c r="X75" s="10"/>
      <c r="Y75" s="10"/>
      <c r="Z75" s="10"/>
      <c r="AA75" s="10"/>
      <c r="AB75" s="10"/>
      <c r="AC75" s="10"/>
      <c r="AD75" s="10"/>
      <c r="AE75" s="10"/>
      <c r="AF75" s="10"/>
      <c r="AG75" s="10"/>
      <c r="AH75" s="10"/>
      <c r="AI75" s="10"/>
      <c r="AJ75" s="10"/>
      <c r="AK75" s="10"/>
      <c r="AL75" s="14"/>
      <c r="AM75" s="14"/>
      <c r="AN75" s="14"/>
      <c r="AO75" s="14"/>
      <c r="AP75" s="14"/>
      <c r="AQ75" s="10"/>
      <c r="AR75" s="9"/>
      <c r="AS75" s="16"/>
      <c r="AT75" s="16"/>
      <c r="AU75" s="16"/>
      <c r="AV75" s="16"/>
      <c r="AW75" s="16"/>
      <c r="AX75" s="16"/>
      <c r="AY75" s="10"/>
      <c r="AZ75" s="10"/>
      <c r="BA75" s="16"/>
      <c r="BB75" s="16"/>
      <c r="BC75" s="16"/>
      <c r="BD75" s="16"/>
      <c r="BE75" s="16"/>
      <c r="BF75" s="16"/>
      <c r="BG75" s="16"/>
      <c r="BH75" s="16"/>
      <c r="BI75" s="19"/>
    </row>
    <row r="76" spans="1:61" ht="7.4" customHeight="1" x14ac:dyDescent="0.5">
      <c r="S76" s="6"/>
      <c r="AL76" s="7"/>
      <c r="AM76" s="7"/>
      <c r="AN76" s="7"/>
      <c r="AO76" s="7"/>
      <c r="AP76" s="7"/>
      <c r="AS76" s="16"/>
      <c r="AT76" s="16"/>
      <c r="AU76" s="16"/>
      <c r="AV76" s="16"/>
      <c r="AW76" s="16"/>
      <c r="AX76" s="16"/>
      <c r="BA76" s="16"/>
      <c r="BB76" s="16"/>
      <c r="BC76" s="16"/>
      <c r="BD76" s="16"/>
      <c r="BE76" s="16"/>
      <c r="BF76" s="16"/>
      <c r="BG76" s="16"/>
      <c r="BH76" s="16"/>
    </row>
    <row r="77" spans="1:61" ht="7.4" customHeight="1" x14ac:dyDescent="0.5">
      <c r="B77" s="553"/>
      <c r="C77" s="553"/>
      <c r="F77" s="554"/>
      <c r="G77" s="554"/>
      <c r="H77" s="554"/>
      <c r="I77" s="554"/>
      <c r="J77" s="554"/>
      <c r="K77" s="554"/>
      <c r="L77" s="554"/>
      <c r="M77" s="554"/>
      <c r="N77" s="554"/>
      <c r="O77" s="554"/>
      <c r="P77" s="554"/>
      <c r="Q77" s="554"/>
      <c r="S77" s="555"/>
      <c r="T77" s="555"/>
      <c r="U77" s="555"/>
      <c r="V77" s="555"/>
      <c r="W77" s="555"/>
      <c r="X77" s="555"/>
      <c r="Y77" s="555"/>
      <c r="Z77" s="555"/>
      <c r="AA77" s="555"/>
      <c r="AB77" s="555"/>
      <c r="AC77" s="555"/>
      <c r="AD77" s="555"/>
      <c r="AE77" s="555"/>
      <c r="AF77" s="555"/>
      <c r="AG77" s="555"/>
      <c r="AH77" s="555"/>
      <c r="AI77" s="555"/>
      <c r="AJ77" s="555"/>
      <c r="AL77" s="556"/>
      <c r="AM77" s="556"/>
      <c r="AN77" s="556"/>
      <c r="AO77" s="556"/>
      <c r="AP77" s="556"/>
      <c r="AR77" s="9"/>
      <c r="AS77" s="557"/>
      <c r="AT77" s="557"/>
      <c r="AU77" s="557"/>
      <c r="AV77" s="557"/>
      <c r="AW77" s="557"/>
      <c r="AX77" s="557"/>
      <c r="AY77" s="557"/>
      <c r="AZ77" s="557"/>
      <c r="BA77" s="557"/>
      <c r="BB77" s="557"/>
      <c r="BC77" s="557"/>
      <c r="BD77" s="557"/>
      <c r="BE77" s="557"/>
      <c r="BF77" s="557"/>
      <c r="BG77" s="557"/>
      <c r="BH77" s="557"/>
      <c r="BI77" s="18"/>
    </row>
    <row r="78" spans="1:61" ht="7.4" customHeight="1" x14ac:dyDescent="0.5">
      <c r="B78" s="553"/>
      <c r="C78" s="553"/>
      <c r="F78" s="554"/>
      <c r="G78" s="554"/>
      <c r="H78" s="554"/>
      <c r="I78" s="554"/>
      <c r="J78" s="554"/>
      <c r="K78" s="554"/>
      <c r="L78" s="554"/>
      <c r="M78" s="554"/>
      <c r="N78" s="554"/>
      <c r="O78" s="554"/>
      <c r="P78" s="554"/>
      <c r="Q78" s="554"/>
      <c r="S78" s="555"/>
      <c r="T78" s="555"/>
      <c r="U78" s="555"/>
      <c r="V78" s="555"/>
      <c r="W78" s="555"/>
      <c r="X78" s="555"/>
      <c r="Y78" s="555"/>
      <c r="Z78" s="555"/>
      <c r="AA78" s="555"/>
      <c r="AB78" s="555"/>
      <c r="AC78" s="555"/>
      <c r="AD78" s="555"/>
      <c r="AE78" s="555"/>
      <c r="AF78" s="555"/>
      <c r="AG78" s="555"/>
      <c r="AH78" s="555"/>
      <c r="AI78" s="555"/>
      <c r="AJ78" s="555"/>
      <c r="AL78" s="556"/>
      <c r="AM78" s="556"/>
      <c r="AN78" s="556"/>
      <c r="AO78" s="556"/>
      <c r="AP78" s="556"/>
      <c r="AR78" s="9"/>
      <c r="AS78" s="557"/>
      <c r="AT78" s="557"/>
      <c r="AU78" s="557"/>
      <c r="AV78" s="557"/>
      <c r="AW78" s="557"/>
      <c r="AX78" s="557"/>
      <c r="AY78" s="557"/>
      <c r="AZ78" s="557"/>
      <c r="BA78" s="557"/>
      <c r="BB78" s="557"/>
      <c r="BC78" s="557"/>
      <c r="BD78" s="557"/>
      <c r="BE78" s="557"/>
      <c r="BF78" s="557"/>
      <c r="BG78" s="557"/>
      <c r="BH78" s="557"/>
      <c r="BI78" s="18"/>
    </row>
    <row r="79" spans="1:61" s="17" customFormat="1" ht="7.4" customHeight="1" x14ac:dyDescent="0.5">
      <c r="A79" s="10"/>
      <c r="B79" s="11"/>
      <c r="C79" s="11"/>
      <c r="D79" s="10"/>
      <c r="E79" s="10"/>
      <c r="F79" s="10"/>
      <c r="G79" s="10"/>
      <c r="H79" s="10"/>
      <c r="I79" s="10"/>
      <c r="J79" s="10"/>
      <c r="K79" s="10"/>
      <c r="L79" s="10"/>
      <c r="M79" s="10"/>
      <c r="N79" s="10"/>
      <c r="O79" s="10"/>
      <c r="P79" s="10"/>
      <c r="Q79" s="10"/>
      <c r="R79" s="10"/>
      <c r="S79" s="13"/>
      <c r="T79" s="10"/>
      <c r="U79" s="10"/>
      <c r="V79" s="10"/>
      <c r="W79" s="10"/>
      <c r="X79" s="10"/>
      <c r="Y79" s="10"/>
      <c r="Z79" s="10"/>
      <c r="AA79" s="10"/>
      <c r="AB79" s="10"/>
      <c r="AC79" s="10"/>
      <c r="AD79" s="10"/>
      <c r="AE79" s="10"/>
      <c r="AF79" s="10"/>
      <c r="AG79" s="10"/>
      <c r="AH79" s="10"/>
      <c r="AI79" s="10"/>
      <c r="AJ79" s="10"/>
      <c r="AK79" s="10"/>
      <c r="AL79" s="14"/>
      <c r="AM79" s="14"/>
      <c r="AN79" s="14"/>
      <c r="AO79" s="14"/>
      <c r="AP79" s="14"/>
      <c r="AQ79" s="10"/>
      <c r="AR79" s="10"/>
      <c r="AS79" s="16"/>
      <c r="AT79" s="16"/>
      <c r="AU79" s="16"/>
      <c r="AV79" s="16"/>
      <c r="AW79" s="16"/>
      <c r="AX79" s="16"/>
      <c r="AY79" s="10"/>
      <c r="AZ79" s="10"/>
      <c r="BA79" s="16"/>
      <c r="BB79" s="16"/>
      <c r="BC79" s="16"/>
      <c r="BD79" s="16"/>
      <c r="BE79" s="16"/>
      <c r="BF79" s="16"/>
      <c r="BG79" s="16"/>
      <c r="BH79" s="16"/>
      <c r="BI79" s="19"/>
    </row>
    <row r="80" spans="1:61" ht="7.4" customHeight="1" x14ac:dyDescent="0.5">
      <c r="S80" s="6"/>
      <c r="AL80" s="7"/>
      <c r="AM80" s="7"/>
      <c r="AN80" s="7"/>
      <c r="AO80" s="7"/>
      <c r="AP80" s="7"/>
      <c r="AS80" s="16"/>
      <c r="AT80" s="16"/>
      <c r="AU80" s="16"/>
      <c r="AV80" s="16"/>
      <c r="AW80" s="16"/>
      <c r="AX80" s="16"/>
      <c r="BA80" s="16"/>
      <c r="BB80" s="16"/>
      <c r="BC80" s="16"/>
      <c r="BD80" s="16"/>
      <c r="BE80" s="16"/>
      <c r="BF80" s="16"/>
      <c r="BG80" s="16"/>
      <c r="BH80" s="16"/>
    </row>
    <row r="81" spans="1:61" ht="7.4" customHeight="1" x14ac:dyDescent="0.5">
      <c r="B81" s="553"/>
      <c r="C81" s="553"/>
      <c r="F81" s="554"/>
      <c r="G81" s="554"/>
      <c r="H81" s="554"/>
      <c r="I81" s="554"/>
      <c r="J81" s="554"/>
      <c r="K81" s="554"/>
      <c r="L81" s="554"/>
      <c r="M81" s="554"/>
      <c r="N81" s="554"/>
      <c r="O81" s="554"/>
      <c r="P81" s="554"/>
      <c r="Q81" s="554"/>
      <c r="S81" s="555"/>
      <c r="T81" s="555"/>
      <c r="U81" s="555"/>
      <c r="V81" s="555"/>
      <c r="W81" s="555"/>
      <c r="X81" s="555"/>
      <c r="Y81" s="555"/>
      <c r="Z81" s="555"/>
      <c r="AA81" s="555"/>
      <c r="AB81" s="555"/>
      <c r="AC81" s="555"/>
      <c r="AD81" s="555"/>
      <c r="AE81" s="555"/>
      <c r="AF81" s="555"/>
      <c r="AG81" s="555"/>
      <c r="AH81" s="555"/>
      <c r="AI81" s="555"/>
      <c r="AJ81" s="555"/>
      <c r="AL81" s="556"/>
      <c r="AM81" s="556"/>
      <c r="AN81" s="556"/>
      <c r="AO81" s="556"/>
      <c r="AP81" s="556"/>
      <c r="AR81" s="9"/>
      <c r="AS81" s="557"/>
      <c r="AT81" s="557"/>
      <c r="AU81" s="557"/>
      <c r="AV81" s="557"/>
      <c r="AW81" s="557"/>
      <c r="AX81" s="557"/>
      <c r="AY81" s="557"/>
      <c r="AZ81" s="557"/>
      <c r="BA81" s="557"/>
      <c r="BB81" s="557"/>
      <c r="BC81" s="557"/>
      <c r="BD81" s="557"/>
      <c r="BE81" s="557"/>
      <c r="BF81" s="557"/>
      <c r="BG81" s="557"/>
      <c r="BH81" s="557"/>
      <c r="BI81" s="18"/>
    </row>
    <row r="82" spans="1:61" ht="7.4" customHeight="1" x14ac:dyDescent="0.5">
      <c r="B82" s="553"/>
      <c r="C82" s="553"/>
      <c r="F82" s="554"/>
      <c r="G82" s="554"/>
      <c r="H82" s="554"/>
      <c r="I82" s="554"/>
      <c r="J82" s="554"/>
      <c r="K82" s="554"/>
      <c r="L82" s="554"/>
      <c r="M82" s="554"/>
      <c r="N82" s="554"/>
      <c r="O82" s="554"/>
      <c r="P82" s="554"/>
      <c r="Q82" s="554"/>
      <c r="S82" s="555"/>
      <c r="T82" s="555"/>
      <c r="U82" s="555"/>
      <c r="V82" s="555"/>
      <c r="W82" s="555"/>
      <c r="X82" s="555"/>
      <c r="Y82" s="555"/>
      <c r="Z82" s="555"/>
      <c r="AA82" s="555"/>
      <c r="AB82" s="555"/>
      <c r="AC82" s="555"/>
      <c r="AD82" s="555"/>
      <c r="AE82" s="555"/>
      <c r="AF82" s="555"/>
      <c r="AG82" s="555"/>
      <c r="AH82" s="555"/>
      <c r="AI82" s="555"/>
      <c r="AJ82" s="555"/>
      <c r="AL82" s="556"/>
      <c r="AM82" s="556"/>
      <c r="AN82" s="556"/>
      <c r="AO82" s="556"/>
      <c r="AP82" s="556"/>
      <c r="AR82" s="9"/>
      <c r="AS82" s="557"/>
      <c r="AT82" s="557"/>
      <c r="AU82" s="557"/>
      <c r="AV82" s="557"/>
      <c r="AW82" s="557"/>
      <c r="AX82" s="557"/>
      <c r="AY82" s="557"/>
      <c r="AZ82" s="557"/>
      <c r="BA82" s="557"/>
      <c r="BB82" s="557"/>
      <c r="BC82" s="557"/>
      <c r="BD82" s="557"/>
      <c r="BE82" s="557"/>
      <c r="BF82" s="557"/>
      <c r="BG82" s="557"/>
      <c r="BH82" s="557"/>
      <c r="BI82" s="18"/>
    </row>
    <row r="83" spans="1:61" s="17" customFormat="1" ht="7.4" customHeight="1" x14ac:dyDescent="0.5">
      <c r="A83" s="10"/>
      <c r="B83" s="11"/>
      <c r="C83" s="11"/>
      <c r="D83" s="10"/>
      <c r="E83" s="10"/>
      <c r="F83" s="10"/>
      <c r="G83" s="10"/>
      <c r="H83" s="10"/>
      <c r="I83" s="10"/>
      <c r="J83" s="10"/>
      <c r="K83" s="10"/>
      <c r="L83" s="10"/>
      <c r="M83" s="10"/>
      <c r="N83" s="10"/>
      <c r="O83" s="10"/>
      <c r="P83" s="10"/>
      <c r="Q83" s="10"/>
      <c r="R83" s="10"/>
      <c r="S83" s="13"/>
      <c r="T83" s="10"/>
      <c r="U83" s="10"/>
      <c r="V83" s="10"/>
      <c r="W83" s="10"/>
      <c r="X83" s="10"/>
      <c r="Y83" s="10"/>
      <c r="Z83" s="10"/>
      <c r="AA83" s="10"/>
      <c r="AB83" s="10"/>
      <c r="AC83" s="10"/>
      <c r="AD83" s="10"/>
      <c r="AE83" s="10"/>
      <c r="AF83" s="10"/>
      <c r="AG83" s="10"/>
      <c r="AH83" s="10"/>
      <c r="AI83" s="10"/>
      <c r="AJ83" s="10"/>
      <c r="AK83" s="10"/>
      <c r="AL83" s="14"/>
      <c r="AM83" s="14"/>
      <c r="AN83" s="14"/>
      <c r="AO83" s="14"/>
      <c r="AP83" s="14"/>
      <c r="AQ83" s="10"/>
      <c r="AR83" s="10"/>
      <c r="AS83" s="16"/>
      <c r="AT83" s="16"/>
      <c r="AU83" s="16"/>
      <c r="AV83" s="16"/>
      <c r="AW83" s="16"/>
      <c r="AX83" s="16"/>
      <c r="AY83" s="10"/>
      <c r="AZ83" s="10"/>
      <c r="BA83" s="16"/>
      <c r="BB83" s="16"/>
      <c r="BC83" s="16"/>
      <c r="BD83" s="16"/>
      <c r="BE83" s="16"/>
      <c r="BF83" s="16"/>
      <c r="BG83" s="16"/>
      <c r="BH83" s="16"/>
      <c r="BI83" s="19"/>
    </row>
    <row r="84" spans="1:61" ht="7.4" customHeight="1" x14ac:dyDescent="0.5">
      <c r="S84" s="6"/>
      <c r="AL84" s="7"/>
      <c r="AM84" s="7"/>
      <c r="AN84" s="7"/>
      <c r="AO84" s="7"/>
      <c r="AP84" s="7"/>
      <c r="AS84" s="16"/>
      <c r="AT84" s="16"/>
      <c r="AU84" s="16"/>
      <c r="AV84" s="16"/>
      <c r="AW84" s="16"/>
      <c r="AX84" s="16"/>
      <c r="BA84" s="16"/>
      <c r="BB84" s="16"/>
      <c r="BC84" s="16"/>
      <c r="BD84" s="16"/>
      <c r="BE84" s="16"/>
      <c r="BF84" s="16"/>
      <c r="BG84" s="16"/>
      <c r="BH84" s="16"/>
    </row>
    <row r="85" spans="1:61" ht="7.4" customHeight="1" x14ac:dyDescent="0.5">
      <c r="B85" s="553"/>
      <c r="C85" s="553"/>
      <c r="F85" s="554"/>
      <c r="G85" s="554"/>
      <c r="H85" s="554"/>
      <c r="I85" s="554"/>
      <c r="J85" s="554"/>
      <c r="K85" s="554"/>
      <c r="L85" s="554"/>
      <c r="M85" s="554"/>
      <c r="N85" s="554"/>
      <c r="O85" s="554"/>
      <c r="P85" s="554"/>
      <c r="Q85" s="554"/>
      <c r="S85" s="555"/>
      <c r="T85" s="555"/>
      <c r="U85" s="555"/>
      <c r="V85" s="555"/>
      <c r="W85" s="555"/>
      <c r="X85" s="555"/>
      <c r="Y85" s="555"/>
      <c r="Z85" s="555"/>
      <c r="AA85" s="555"/>
      <c r="AB85" s="555"/>
      <c r="AC85" s="555"/>
      <c r="AD85" s="555"/>
      <c r="AE85" s="555"/>
      <c r="AF85" s="555"/>
      <c r="AG85" s="555"/>
      <c r="AH85" s="555"/>
      <c r="AI85" s="555"/>
      <c r="AJ85" s="555"/>
      <c r="AL85" s="556"/>
      <c r="AM85" s="556"/>
      <c r="AN85" s="556"/>
      <c r="AO85" s="556"/>
      <c r="AP85" s="556"/>
      <c r="AR85" s="9"/>
      <c r="AS85" s="557"/>
      <c r="AT85" s="557"/>
      <c r="AU85" s="557"/>
      <c r="AV85" s="557"/>
      <c r="AW85" s="557"/>
      <c r="AX85" s="557"/>
      <c r="AY85" s="557"/>
      <c r="AZ85" s="557"/>
      <c r="BA85" s="557"/>
      <c r="BB85" s="557"/>
      <c r="BC85" s="557"/>
      <c r="BD85" s="557"/>
      <c r="BE85" s="557"/>
      <c r="BF85" s="557"/>
      <c r="BG85" s="557"/>
      <c r="BH85" s="557"/>
      <c r="BI85" s="18"/>
    </row>
    <row r="86" spans="1:61" ht="7.4" customHeight="1" x14ac:dyDescent="0.5">
      <c r="B86" s="553"/>
      <c r="C86" s="553"/>
      <c r="F86" s="554"/>
      <c r="G86" s="554"/>
      <c r="H86" s="554"/>
      <c r="I86" s="554"/>
      <c r="J86" s="554"/>
      <c r="K86" s="554"/>
      <c r="L86" s="554"/>
      <c r="M86" s="554"/>
      <c r="N86" s="554"/>
      <c r="O86" s="554"/>
      <c r="P86" s="554"/>
      <c r="Q86" s="554"/>
      <c r="S86" s="555"/>
      <c r="T86" s="555"/>
      <c r="U86" s="555"/>
      <c r="V86" s="555"/>
      <c r="W86" s="555"/>
      <c r="X86" s="555"/>
      <c r="Y86" s="555"/>
      <c r="Z86" s="555"/>
      <c r="AA86" s="555"/>
      <c r="AB86" s="555"/>
      <c r="AC86" s="555"/>
      <c r="AD86" s="555"/>
      <c r="AE86" s="555"/>
      <c r="AF86" s="555"/>
      <c r="AG86" s="555"/>
      <c r="AH86" s="555"/>
      <c r="AI86" s="555"/>
      <c r="AJ86" s="555"/>
      <c r="AL86" s="556"/>
      <c r="AM86" s="556"/>
      <c r="AN86" s="556"/>
      <c r="AO86" s="556"/>
      <c r="AP86" s="556"/>
      <c r="AR86" s="9"/>
      <c r="AS86" s="557"/>
      <c r="AT86" s="557"/>
      <c r="AU86" s="557"/>
      <c r="AV86" s="557"/>
      <c r="AW86" s="557"/>
      <c r="AX86" s="557"/>
      <c r="AY86" s="557"/>
      <c r="AZ86" s="557"/>
      <c r="BA86" s="557"/>
      <c r="BB86" s="557"/>
      <c r="BC86" s="557"/>
      <c r="BD86" s="557"/>
      <c r="BE86" s="557"/>
      <c r="BF86" s="557"/>
      <c r="BG86" s="557"/>
      <c r="BH86" s="557"/>
      <c r="BI86" s="18"/>
    </row>
    <row r="87" spans="1:61" s="17" customFormat="1" ht="7.4" customHeight="1" x14ac:dyDescent="0.5">
      <c r="A87" s="550" t="s">
        <v>196</v>
      </c>
      <c r="B87" s="550"/>
      <c r="C87" s="550"/>
      <c r="D87" s="550"/>
      <c r="E87" s="10"/>
      <c r="F87" s="10"/>
      <c r="G87" s="10"/>
      <c r="H87" s="10"/>
      <c r="I87" s="10"/>
      <c r="J87" s="10"/>
      <c r="K87" s="10"/>
      <c r="L87" s="10"/>
      <c r="M87" s="10"/>
      <c r="N87" s="10"/>
      <c r="O87" s="10"/>
      <c r="P87" s="10"/>
      <c r="Q87" s="10"/>
      <c r="R87" s="10"/>
      <c r="S87" s="13"/>
      <c r="T87" s="10"/>
      <c r="U87" s="10"/>
      <c r="V87" s="10"/>
      <c r="W87" s="10"/>
      <c r="X87" s="10"/>
      <c r="Y87" s="10"/>
      <c r="Z87" s="10"/>
      <c r="AA87" s="10"/>
      <c r="AB87" s="10"/>
      <c r="AC87" s="10"/>
      <c r="AD87" s="10"/>
      <c r="AE87" s="10"/>
      <c r="AF87" s="10"/>
      <c r="AG87" s="10"/>
      <c r="AH87" s="10"/>
      <c r="AI87" s="10"/>
      <c r="AJ87" s="10"/>
      <c r="AK87" s="10"/>
      <c r="AL87" s="14"/>
      <c r="AM87" s="14"/>
      <c r="AN87" s="14"/>
      <c r="AO87" s="14"/>
      <c r="AP87" s="14"/>
      <c r="AQ87" s="10"/>
      <c r="AR87" s="10"/>
      <c r="AS87" s="16"/>
      <c r="AT87" s="16"/>
      <c r="AU87" s="16"/>
      <c r="AV87" s="16"/>
      <c r="AW87" s="16"/>
      <c r="AX87" s="16"/>
      <c r="AY87" s="10"/>
      <c r="AZ87" s="10"/>
      <c r="BA87" s="16"/>
      <c r="BB87" s="16"/>
      <c r="BC87" s="16"/>
      <c r="BD87" s="16"/>
      <c r="BE87" s="16"/>
      <c r="BF87" s="16"/>
      <c r="BG87" s="16"/>
      <c r="BH87" s="16"/>
      <c r="BI87" s="19"/>
    </row>
    <row r="88" spans="1:61" ht="7.4" customHeight="1" x14ac:dyDescent="0.5">
      <c r="A88" s="550"/>
      <c r="B88" s="550"/>
      <c r="C88" s="550"/>
      <c r="D88" s="550"/>
      <c r="S88" s="6"/>
      <c r="AL88" s="7"/>
      <c r="AM88" s="7"/>
      <c r="AN88" s="7"/>
      <c r="AO88" s="7"/>
      <c r="AP88" s="7"/>
      <c r="AS88" s="16"/>
      <c r="AT88" s="16"/>
      <c r="AU88" s="16"/>
      <c r="AV88" s="16"/>
      <c r="AW88" s="16"/>
      <c r="AX88" s="16"/>
      <c r="BA88" s="16"/>
      <c r="BB88" s="16"/>
      <c r="BC88" s="16"/>
      <c r="BD88" s="16"/>
      <c r="BE88" s="16"/>
      <c r="BF88" s="16"/>
      <c r="BG88" s="16"/>
      <c r="BH88" s="16"/>
    </row>
    <row r="89" spans="1:61" ht="7.4" customHeight="1" x14ac:dyDescent="0.5">
      <c r="A89" s="550"/>
      <c r="B89" s="550"/>
      <c r="C89" s="550"/>
      <c r="D89" s="550"/>
      <c r="AL89" s="22"/>
      <c r="AM89" s="22"/>
      <c r="AN89" s="22"/>
      <c r="AO89" s="22"/>
      <c r="AP89" s="22"/>
      <c r="AS89" s="18"/>
      <c r="AT89" s="18"/>
      <c r="AU89" s="18"/>
      <c r="AV89" s="18"/>
      <c r="AW89" s="18"/>
      <c r="AX89" s="18"/>
      <c r="BA89" s="18"/>
      <c r="BB89" s="18"/>
      <c r="BC89" s="18"/>
      <c r="BD89" s="18"/>
      <c r="BE89" s="18"/>
      <c r="BF89" s="18"/>
      <c r="BG89" s="18"/>
      <c r="BH89" s="18"/>
    </row>
    <row r="90" spans="1:61" ht="7.4" customHeight="1" x14ac:dyDescent="0.5">
      <c r="A90" s="20"/>
      <c r="B90" s="20"/>
      <c r="C90" s="20"/>
      <c r="D90" s="20"/>
      <c r="E90" s="20"/>
      <c r="F90" s="20"/>
      <c r="G90" s="20"/>
      <c r="H90" s="20"/>
      <c r="I90" s="20"/>
      <c r="J90" s="20"/>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c r="AS90" s="20"/>
      <c r="AT90" s="20"/>
      <c r="AU90" s="20"/>
      <c r="AV90" s="20"/>
      <c r="AW90" s="20"/>
      <c r="AX90" s="20"/>
      <c r="AY90" s="20"/>
      <c r="AZ90" s="20"/>
      <c r="BA90" s="20"/>
      <c r="BB90" s="20"/>
      <c r="BC90" s="20"/>
      <c r="BD90" s="20"/>
      <c r="BE90" s="20"/>
      <c r="BF90" s="20"/>
      <c r="BG90" s="20"/>
      <c r="BH90" s="20"/>
    </row>
    <row r="91" spans="1:61" ht="7.4" customHeight="1" x14ac:dyDescent="0.5">
      <c r="A91" s="20"/>
      <c r="B91" s="20"/>
      <c r="C91" s="20"/>
      <c r="D91" s="20"/>
      <c r="E91" s="20"/>
      <c r="F91" s="20"/>
      <c r="G91" s="20"/>
      <c r="H91" s="20"/>
      <c r="I91" s="20"/>
      <c r="J91" s="20"/>
      <c r="K91" s="20"/>
      <c r="L91" s="20"/>
      <c r="M91" s="20"/>
      <c r="N91" s="20"/>
      <c r="O91" s="20"/>
      <c r="P91" s="20"/>
      <c r="Q91" s="20"/>
      <c r="R91" s="20"/>
      <c r="S91" s="20"/>
      <c r="T91" s="20"/>
      <c r="U91" s="20"/>
      <c r="V91" s="20"/>
      <c r="W91" s="20"/>
      <c r="X91" s="20"/>
      <c r="Y91" s="20"/>
      <c r="Z91" s="20"/>
      <c r="AA91" s="20"/>
      <c r="AB91" s="20"/>
      <c r="AC91" s="20"/>
      <c r="AD91" s="20"/>
      <c r="AE91" s="20"/>
      <c r="AF91" s="20"/>
      <c r="AG91" s="20"/>
      <c r="AH91" s="20"/>
      <c r="AI91" s="20"/>
      <c r="AJ91" s="20"/>
      <c r="AK91" s="20"/>
      <c r="AL91" s="20"/>
      <c r="AM91" s="20"/>
      <c r="AN91" s="20"/>
      <c r="AO91" s="20"/>
      <c r="AP91" s="20"/>
      <c r="AQ91" s="20"/>
      <c r="AR91" s="20"/>
      <c r="AS91" s="20"/>
      <c r="AT91" s="20"/>
      <c r="AU91" s="20"/>
      <c r="AV91" s="20"/>
      <c r="AW91" s="20"/>
      <c r="AX91" s="20"/>
      <c r="AY91" s="20"/>
      <c r="AZ91" s="20"/>
      <c r="BA91" s="20"/>
      <c r="BB91" s="20"/>
      <c r="BC91" s="20"/>
      <c r="BD91" s="20"/>
      <c r="BE91" s="20"/>
      <c r="BF91" s="20"/>
      <c r="BG91" s="20"/>
      <c r="BH91" s="20"/>
      <c r="BI91" s="18"/>
    </row>
    <row r="92" spans="1:61" ht="7.4" customHeight="1" x14ac:dyDescent="0.5">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c r="AA92" s="20"/>
      <c r="AB92" s="20"/>
      <c r="AC92" s="20"/>
      <c r="AD92" s="20"/>
      <c r="AE92" s="20"/>
      <c r="AF92" s="20"/>
      <c r="AG92" s="20"/>
      <c r="AH92" s="20"/>
      <c r="AI92" s="20"/>
      <c r="AJ92" s="20"/>
      <c r="AK92" s="20"/>
      <c r="AL92" s="20"/>
      <c r="AM92" s="20"/>
      <c r="AN92" s="20"/>
      <c r="AO92" s="20"/>
      <c r="AP92" s="20"/>
      <c r="AQ92" s="20"/>
      <c r="AR92" s="20"/>
      <c r="AS92" s="20"/>
      <c r="AT92" s="20"/>
      <c r="AU92" s="20"/>
      <c r="AV92" s="20"/>
      <c r="AW92" s="20"/>
      <c r="AX92" s="20"/>
      <c r="AY92" s="20"/>
      <c r="AZ92" s="20"/>
      <c r="BA92" s="20"/>
      <c r="BB92" s="20"/>
      <c r="BC92" s="20"/>
      <c r="BD92" s="20"/>
      <c r="BE92" s="20"/>
      <c r="BF92" s="20"/>
      <c r="BG92" s="20"/>
      <c r="BH92" s="20"/>
      <c r="BI92" s="18"/>
    </row>
    <row r="93" spans="1:61" ht="7.4" customHeight="1" x14ac:dyDescent="0.5">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c r="AI93" s="20"/>
      <c r="AJ93" s="20"/>
      <c r="AK93" s="20"/>
      <c r="AL93" s="20"/>
      <c r="AM93" s="20"/>
      <c r="AN93" s="20"/>
      <c r="AO93" s="20"/>
      <c r="AP93" s="20"/>
      <c r="AQ93" s="20"/>
      <c r="AR93" s="20"/>
      <c r="AS93" s="20"/>
      <c r="AT93" s="20"/>
      <c r="AU93" s="20"/>
      <c r="AV93" s="20"/>
      <c r="AW93" s="20"/>
      <c r="AX93" s="20"/>
      <c r="AY93" s="20"/>
      <c r="AZ93" s="20"/>
      <c r="BA93" s="20"/>
      <c r="BB93" s="20"/>
      <c r="BC93" s="20"/>
      <c r="BD93" s="20"/>
      <c r="BE93" s="20"/>
      <c r="BF93" s="20"/>
      <c r="BG93" s="20"/>
      <c r="BH93" s="20"/>
    </row>
    <row r="94" spans="1:61" ht="7.4" customHeight="1" x14ac:dyDescent="0.5">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c r="AA94" s="20"/>
      <c r="AB94" s="20"/>
      <c r="AC94" s="20"/>
      <c r="AD94" s="20"/>
      <c r="AE94" s="20"/>
      <c r="AF94" s="20"/>
      <c r="AG94" s="20"/>
      <c r="AH94" s="20"/>
      <c r="AI94" s="20"/>
      <c r="AJ94" s="20"/>
      <c r="AK94" s="20"/>
      <c r="AL94" s="20"/>
      <c r="AM94" s="20"/>
      <c r="AN94" s="20"/>
      <c r="AO94" s="20"/>
      <c r="AP94" s="20"/>
      <c r="AQ94" s="20"/>
      <c r="AR94" s="20"/>
      <c r="AS94" s="20"/>
      <c r="AT94" s="20"/>
      <c r="AU94" s="20"/>
      <c r="AV94" s="20"/>
      <c r="AW94" s="20"/>
      <c r="AX94" s="20"/>
      <c r="AY94" s="20"/>
      <c r="AZ94" s="20"/>
      <c r="BA94" s="20"/>
      <c r="BB94" s="20"/>
      <c r="BC94" s="20"/>
      <c r="BD94" s="20"/>
      <c r="BE94" s="20"/>
      <c r="BF94" s="20"/>
      <c r="BG94" s="20"/>
      <c r="BH94" s="20"/>
    </row>
    <row r="95" spans="1:61" ht="7.4" customHeight="1" x14ac:dyDescent="0.5">
      <c r="A95" s="20"/>
      <c r="B95" s="20"/>
      <c r="C95" s="20"/>
      <c r="D95" s="20"/>
      <c r="E95" s="20"/>
      <c r="F95" s="20"/>
      <c r="G95" s="20"/>
      <c r="H95" s="20"/>
      <c r="I95" s="20"/>
      <c r="J95" s="20"/>
      <c r="K95" s="20"/>
      <c r="L95" s="20"/>
      <c r="M95" s="20"/>
      <c r="N95" s="20"/>
      <c r="O95" s="20"/>
      <c r="P95" s="20"/>
      <c r="Q95" s="20"/>
      <c r="R95" s="20"/>
      <c r="S95" s="20"/>
      <c r="T95" s="20"/>
      <c r="U95" s="20"/>
      <c r="V95" s="20"/>
      <c r="W95" s="20"/>
      <c r="X95" s="20"/>
      <c r="Y95" s="20"/>
      <c r="Z95" s="20"/>
      <c r="AA95" s="20"/>
      <c r="AB95" s="20"/>
      <c r="AC95" s="20"/>
      <c r="AD95" s="20"/>
      <c r="AE95" s="20"/>
      <c r="AF95" s="20"/>
      <c r="AG95" s="20"/>
      <c r="AH95" s="20"/>
      <c r="AI95" s="20"/>
      <c r="AJ95" s="20"/>
      <c r="AK95" s="20"/>
      <c r="AL95" s="20"/>
      <c r="AM95" s="20"/>
      <c r="AN95" s="20"/>
      <c r="AO95" s="20"/>
      <c r="AP95" s="20"/>
      <c r="AQ95" s="20"/>
      <c r="AR95" s="20"/>
      <c r="AS95" s="20"/>
      <c r="AT95" s="20"/>
      <c r="AU95" s="20"/>
      <c r="AV95" s="20"/>
      <c r="AW95" s="20"/>
      <c r="AX95" s="20"/>
      <c r="AY95" s="20"/>
      <c r="AZ95" s="20"/>
      <c r="BA95" s="20"/>
      <c r="BB95" s="20"/>
      <c r="BC95" s="20"/>
      <c r="BD95" s="20"/>
      <c r="BE95" s="20"/>
      <c r="BF95" s="20"/>
      <c r="BG95" s="20"/>
      <c r="BH95" s="20"/>
      <c r="BI95" s="18"/>
    </row>
    <row r="96" spans="1:61" ht="7.4" customHeight="1" x14ac:dyDescent="0.5">
      <c r="A96" s="20"/>
      <c r="B96" s="20"/>
      <c r="C96" s="20"/>
      <c r="D96" s="20"/>
      <c r="E96" s="20"/>
      <c r="F96" s="20"/>
      <c r="G96" s="20"/>
      <c r="H96" s="20"/>
      <c r="I96" s="20"/>
      <c r="J96" s="20"/>
      <c r="K96" s="20"/>
      <c r="L96" s="20"/>
      <c r="M96" s="20"/>
      <c r="N96" s="20"/>
      <c r="O96" s="20"/>
      <c r="P96" s="20"/>
      <c r="Q96" s="20"/>
      <c r="R96" s="20"/>
      <c r="S96" s="20"/>
      <c r="T96" s="20"/>
      <c r="U96" s="20"/>
      <c r="V96" s="20"/>
      <c r="W96" s="20"/>
      <c r="X96" s="20"/>
      <c r="Y96" s="20"/>
      <c r="Z96" s="20"/>
      <c r="AA96" s="20"/>
      <c r="AB96" s="20"/>
      <c r="AC96" s="20"/>
      <c r="AD96" s="20"/>
      <c r="AE96" s="20"/>
      <c r="AF96" s="20"/>
      <c r="AG96" s="20"/>
      <c r="AH96" s="20"/>
      <c r="AI96" s="20"/>
      <c r="AJ96" s="20"/>
      <c r="AK96" s="20"/>
      <c r="AL96" s="20"/>
      <c r="AM96" s="20"/>
      <c r="AN96" s="20"/>
      <c r="AO96" s="20"/>
      <c r="AP96" s="20"/>
      <c r="AQ96" s="20"/>
      <c r="AR96" s="20"/>
      <c r="AS96" s="20"/>
      <c r="AT96" s="20"/>
      <c r="AU96" s="20"/>
      <c r="AV96" s="20"/>
      <c r="AW96" s="20"/>
      <c r="AX96" s="20"/>
      <c r="AY96" s="20"/>
      <c r="AZ96" s="20"/>
      <c r="BA96" s="20"/>
      <c r="BB96" s="20"/>
      <c r="BC96" s="20"/>
      <c r="BD96" s="20"/>
      <c r="BE96" s="20"/>
      <c r="BF96" s="20"/>
      <c r="BG96" s="20"/>
      <c r="BH96" s="20"/>
      <c r="BI96" s="18"/>
    </row>
    <row r="97" spans="1:61" ht="7.4" customHeight="1" x14ac:dyDescent="0.5">
      <c r="A97" s="20"/>
      <c r="B97" s="20"/>
      <c r="C97" s="20"/>
      <c r="D97" s="20"/>
      <c r="E97" s="20"/>
      <c r="F97" s="20"/>
      <c r="G97" s="20"/>
      <c r="H97" s="20"/>
      <c r="I97" s="20"/>
      <c r="J97" s="20"/>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row>
    <row r="98" spans="1:61" ht="7.4" customHeight="1" x14ac:dyDescent="0.5">
      <c r="A98" s="20"/>
      <c r="B98" s="20"/>
      <c r="C98" s="20"/>
      <c r="D98" s="20"/>
      <c r="E98" s="20"/>
      <c r="F98" s="20"/>
      <c r="G98" s="20"/>
      <c r="H98" s="20"/>
      <c r="I98" s="20"/>
      <c r="J98" s="20"/>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row>
    <row r="99" spans="1:61" ht="7.4" customHeight="1" x14ac:dyDescent="0.5">
      <c r="A99" s="20"/>
      <c r="B99" s="20"/>
      <c r="C99" s="20"/>
      <c r="D99" s="20"/>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18"/>
    </row>
    <row r="100" spans="1:61" ht="7.4" customHeight="1" x14ac:dyDescent="0.5">
      <c r="A100" s="20"/>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c r="AA100" s="20"/>
      <c r="AB100" s="20"/>
      <c r="AC100" s="20"/>
      <c r="AD100" s="20"/>
      <c r="AE100" s="20"/>
      <c r="AF100" s="20"/>
      <c r="AG100" s="20"/>
      <c r="AH100" s="20"/>
      <c r="AI100" s="20"/>
      <c r="AJ100" s="20"/>
      <c r="AK100" s="20"/>
      <c r="AL100" s="20"/>
      <c r="AM100" s="20"/>
      <c r="AN100" s="20"/>
      <c r="AO100" s="20"/>
      <c r="AP100" s="20"/>
      <c r="AQ100" s="20"/>
      <c r="AR100" s="20"/>
      <c r="AS100" s="20"/>
      <c r="AT100" s="20"/>
      <c r="AU100" s="20"/>
      <c r="AV100" s="20"/>
      <c r="AW100" s="20"/>
      <c r="AX100" s="20"/>
      <c r="AY100" s="20"/>
      <c r="AZ100" s="20"/>
      <c r="BA100" s="20"/>
      <c r="BB100" s="20"/>
      <c r="BC100" s="20"/>
      <c r="BD100" s="20"/>
      <c r="BE100" s="20"/>
      <c r="BF100" s="20"/>
      <c r="BG100" s="20"/>
      <c r="BH100" s="20"/>
      <c r="BI100" s="18"/>
    </row>
    <row r="101" spans="1:61" ht="7.4" customHeight="1" x14ac:dyDescent="0.5">
      <c r="A101" s="20"/>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c r="AA101" s="20"/>
      <c r="AB101" s="20"/>
      <c r="AC101" s="20"/>
      <c r="AD101" s="20"/>
      <c r="AE101" s="20"/>
      <c r="AF101" s="20"/>
      <c r="AG101" s="20"/>
      <c r="AH101" s="20"/>
      <c r="AI101" s="20"/>
      <c r="AJ101" s="20"/>
      <c r="AK101" s="20"/>
      <c r="AL101" s="20"/>
      <c r="AM101" s="20"/>
      <c r="AN101" s="20"/>
      <c r="AO101" s="20"/>
      <c r="AP101" s="20"/>
      <c r="AQ101" s="20"/>
      <c r="AR101" s="20"/>
      <c r="AS101" s="20"/>
      <c r="AT101" s="20"/>
      <c r="AU101" s="20"/>
      <c r="AV101" s="20"/>
      <c r="AW101" s="20"/>
      <c r="AX101" s="20"/>
      <c r="AY101" s="20"/>
      <c r="AZ101" s="20"/>
      <c r="BA101" s="20"/>
      <c r="BB101" s="20"/>
      <c r="BC101" s="20"/>
      <c r="BD101" s="20"/>
      <c r="BE101" s="20"/>
      <c r="BF101" s="20"/>
      <c r="BG101" s="20"/>
      <c r="BH101" s="20"/>
    </row>
    <row r="102" spans="1:61" ht="7.4" customHeight="1" x14ac:dyDescent="0.5">
      <c r="B102" s="23"/>
      <c r="C102" s="23"/>
      <c r="D102" s="23"/>
      <c r="E102" s="23"/>
      <c r="F102" s="23"/>
      <c r="G102" s="23"/>
      <c r="H102" s="23"/>
      <c r="I102" s="23"/>
      <c r="J102" s="23"/>
      <c r="K102" s="23"/>
      <c r="L102" s="23"/>
      <c r="M102" s="23"/>
      <c r="N102" s="23"/>
      <c r="O102" s="23"/>
      <c r="P102" s="23"/>
      <c r="Q102" s="23"/>
      <c r="R102" s="23"/>
      <c r="S102" s="23"/>
      <c r="T102" s="23"/>
      <c r="U102" s="23"/>
      <c r="V102" s="23"/>
      <c r="W102" s="23"/>
      <c r="X102" s="23"/>
      <c r="Y102" s="23"/>
      <c r="Z102" s="23"/>
      <c r="AA102" s="23"/>
    </row>
    <row r="103" spans="1:61" ht="7.4" customHeight="1" x14ac:dyDescent="0.5">
      <c r="B103" s="23"/>
      <c r="C103" s="23"/>
      <c r="D103" s="23"/>
      <c r="E103" s="23"/>
      <c r="F103" s="23"/>
      <c r="G103" s="23"/>
      <c r="H103" s="23"/>
      <c r="I103" s="23"/>
      <c r="J103" s="23"/>
      <c r="K103" s="23"/>
      <c r="L103" s="23"/>
      <c r="M103" s="23"/>
      <c r="N103" s="23"/>
      <c r="O103" s="23"/>
      <c r="P103" s="23"/>
      <c r="Q103" s="23"/>
      <c r="R103" s="23"/>
      <c r="S103" s="23"/>
      <c r="T103" s="23"/>
      <c r="U103" s="23"/>
      <c r="V103" s="23"/>
      <c r="W103" s="23"/>
      <c r="X103" s="23"/>
      <c r="Y103" s="23"/>
      <c r="Z103" s="23"/>
      <c r="AA103" s="23"/>
    </row>
    <row r="104" spans="1:61" ht="7.4" customHeight="1" x14ac:dyDescent="0.5">
      <c r="A104" s="552"/>
      <c r="B104" s="552"/>
      <c r="C104" s="552"/>
      <c r="D104" s="552"/>
      <c r="E104" s="552"/>
      <c r="F104" s="552"/>
      <c r="G104" s="552"/>
      <c r="H104" s="552"/>
      <c r="I104" s="552"/>
      <c r="J104" s="552"/>
      <c r="K104" s="552"/>
      <c r="L104" s="552"/>
      <c r="M104" s="552"/>
      <c r="N104" s="552"/>
      <c r="O104" s="552"/>
      <c r="P104" s="552"/>
      <c r="Q104" s="552"/>
      <c r="R104" s="552"/>
      <c r="S104" s="552"/>
      <c r="T104" s="552"/>
      <c r="U104" s="552"/>
      <c r="V104" s="552"/>
      <c r="W104" s="552"/>
      <c r="X104" s="552"/>
      <c r="Y104" s="552"/>
      <c r="Z104" s="552"/>
      <c r="AA104" s="552"/>
      <c r="AB104" s="552"/>
      <c r="AC104" s="552"/>
      <c r="AD104" s="552"/>
      <c r="AE104" s="552"/>
      <c r="AF104" s="552"/>
      <c r="AG104" s="552"/>
      <c r="AH104" s="552"/>
      <c r="AI104" s="552"/>
      <c r="AJ104" s="552"/>
      <c r="AK104" s="552"/>
      <c r="AL104" s="552"/>
      <c r="AM104" s="552"/>
      <c r="AN104" s="552"/>
      <c r="AO104" s="552"/>
      <c r="AP104" s="552"/>
      <c r="AQ104" s="552"/>
      <c r="AR104" s="552"/>
      <c r="AS104" s="552"/>
      <c r="AT104" s="552"/>
      <c r="AU104" s="552"/>
      <c r="AV104" s="552"/>
      <c r="AW104" s="552"/>
      <c r="AX104" s="552"/>
      <c r="AY104" s="552"/>
      <c r="AZ104" s="552"/>
      <c r="BA104" s="552"/>
      <c r="BB104" s="552"/>
      <c r="BC104" s="552"/>
      <c r="BD104" s="552"/>
      <c r="BE104" s="552"/>
      <c r="BF104" s="552"/>
      <c r="BG104" s="552"/>
      <c r="BH104" s="552"/>
      <c r="BI104" s="552"/>
    </row>
    <row r="105" spans="1:61" ht="7.4" customHeight="1" x14ac:dyDescent="0.5">
      <c r="A105" s="552"/>
      <c r="B105" s="552"/>
      <c r="C105" s="552"/>
      <c r="D105" s="552"/>
      <c r="E105" s="552"/>
      <c r="F105" s="552"/>
      <c r="G105" s="552"/>
      <c r="H105" s="552"/>
      <c r="I105" s="552"/>
      <c r="J105" s="552"/>
      <c r="K105" s="552"/>
      <c r="L105" s="552"/>
      <c r="M105" s="552"/>
      <c r="N105" s="552"/>
      <c r="O105" s="552"/>
      <c r="P105" s="552"/>
      <c r="Q105" s="552"/>
      <c r="R105" s="552"/>
      <c r="S105" s="552"/>
      <c r="T105" s="552"/>
      <c r="U105" s="552"/>
      <c r="V105" s="552"/>
      <c r="W105" s="552"/>
      <c r="X105" s="552"/>
      <c r="Y105" s="552"/>
      <c r="Z105" s="552"/>
      <c r="AA105" s="552"/>
      <c r="AB105" s="552"/>
      <c r="AC105" s="552"/>
      <c r="AD105" s="552"/>
      <c r="AE105" s="552"/>
      <c r="AF105" s="552"/>
      <c r="AG105" s="552"/>
      <c r="AH105" s="552"/>
      <c r="AI105" s="552"/>
      <c r="AJ105" s="552"/>
      <c r="AK105" s="552"/>
      <c r="AL105" s="552"/>
      <c r="AM105" s="552"/>
      <c r="AN105" s="552"/>
      <c r="AO105" s="552"/>
      <c r="AP105" s="552"/>
      <c r="AQ105" s="552"/>
      <c r="AR105" s="552"/>
      <c r="AS105" s="552"/>
      <c r="AT105" s="552"/>
      <c r="AU105" s="552"/>
      <c r="AV105" s="552"/>
      <c r="AW105" s="552"/>
      <c r="AX105" s="552"/>
      <c r="AY105" s="552"/>
      <c r="AZ105" s="552"/>
      <c r="BA105" s="552"/>
      <c r="BB105" s="552"/>
      <c r="BC105" s="552"/>
      <c r="BD105" s="552"/>
      <c r="BE105" s="552"/>
      <c r="BF105" s="552"/>
      <c r="BG105" s="552"/>
      <c r="BH105" s="552"/>
      <c r="BI105" s="552"/>
    </row>
    <row r="106" spans="1:61" ht="7.4" customHeight="1" x14ac:dyDescent="0.5">
      <c r="A106" s="552"/>
      <c r="B106" s="552"/>
      <c r="C106" s="552"/>
      <c r="D106" s="552"/>
      <c r="E106" s="552"/>
      <c r="F106" s="552"/>
      <c r="G106" s="552"/>
      <c r="H106" s="552"/>
      <c r="I106" s="552"/>
      <c r="J106" s="552"/>
      <c r="K106" s="552"/>
      <c r="L106" s="552"/>
      <c r="M106" s="552"/>
      <c r="N106" s="552"/>
      <c r="O106" s="552"/>
      <c r="P106" s="552"/>
      <c r="Q106" s="552"/>
      <c r="R106" s="552"/>
      <c r="S106" s="552"/>
      <c r="T106" s="552"/>
      <c r="U106" s="552"/>
      <c r="V106" s="552"/>
      <c r="W106" s="552"/>
      <c r="X106" s="552"/>
      <c r="Y106" s="552"/>
      <c r="Z106" s="552"/>
      <c r="AA106" s="552"/>
      <c r="AB106" s="552"/>
      <c r="AC106" s="552"/>
      <c r="AD106" s="552"/>
      <c r="AE106" s="552"/>
      <c r="AF106" s="552"/>
      <c r="AG106" s="552"/>
      <c r="AH106" s="552"/>
      <c r="AI106" s="552"/>
      <c r="AJ106" s="552"/>
      <c r="AK106" s="552"/>
      <c r="AL106" s="552"/>
      <c r="AM106" s="552"/>
      <c r="AN106" s="552"/>
      <c r="AO106" s="552"/>
      <c r="AP106" s="552"/>
      <c r="AQ106" s="552"/>
      <c r="AR106" s="552"/>
      <c r="AS106" s="552"/>
      <c r="AT106" s="552"/>
      <c r="AU106" s="552"/>
      <c r="AV106" s="552"/>
      <c r="AW106" s="552"/>
      <c r="AX106" s="552"/>
      <c r="AY106" s="552"/>
      <c r="AZ106" s="552"/>
      <c r="BA106" s="552"/>
      <c r="BB106" s="552"/>
      <c r="BC106" s="552"/>
      <c r="BD106" s="552"/>
      <c r="BE106" s="552"/>
      <c r="BF106" s="552"/>
      <c r="BG106" s="552"/>
      <c r="BH106" s="552"/>
      <c r="BI106" s="552"/>
    </row>
    <row r="154" spans="1:4" ht="7.4" customHeight="1" x14ac:dyDescent="0.5">
      <c r="A154" s="550" t="s">
        <v>197</v>
      </c>
      <c r="B154" s="550"/>
      <c r="C154" s="550"/>
      <c r="D154" s="550"/>
    </row>
    <row r="155" spans="1:4" ht="7.4" customHeight="1" x14ac:dyDescent="0.5">
      <c r="A155" s="550"/>
      <c r="B155" s="550"/>
      <c r="C155" s="550"/>
      <c r="D155" s="550"/>
    </row>
    <row r="156" spans="1:4" ht="7.4" customHeight="1" x14ac:dyDescent="0.5">
      <c r="A156" s="550"/>
      <c r="B156" s="550"/>
      <c r="C156" s="550"/>
      <c r="D156" s="550"/>
    </row>
    <row r="201" spans="1:4" ht="7.4" customHeight="1" x14ac:dyDescent="0.5">
      <c r="A201" s="550" t="s">
        <v>198</v>
      </c>
      <c r="B201" s="550"/>
      <c r="C201" s="550"/>
      <c r="D201" s="550"/>
    </row>
    <row r="202" spans="1:4" ht="7.4" customHeight="1" x14ac:dyDescent="0.5">
      <c r="A202" s="550"/>
      <c r="B202" s="550"/>
      <c r="C202" s="550"/>
      <c r="D202" s="550"/>
    </row>
    <row r="203" spans="1:4" ht="7.4" customHeight="1" x14ac:dyDescent="0.5">
      <c r="A203" s="550"/>
      <c r="B203" s="550"/>
      <c r="C203" s="550"/>
      <c r="D203" s="550"/>
    </row>
    <row r="244" spans="1:4" ht="7.4" customHeight="1" x14ac:dyDescent="0.5">
      <c r="A244" s="550" t="s">
        <v>199</v>
      </c>
      <c r="B244" s="550"/>
      <c r="C244" s="550"/>
      <c r="D244" s="550"/>
    </row>
    <row r="245" spans="1:4" ht="7.4" customHeight="1" x14ac:dyDescent="0.5">
      <c r="A245" s="550"/>
      <c r="B245" s="550"/>
      <c r="C245" s="550"/>
      <c r="D245" s="550"/>
    </row>
    <row r="246" spans="1:4" ht="7.4" customHeight="1" x14ac:dyDescent="0.5">
      <c r="A246" s="550"/>
      <c r="B246" s="550"/>
      <c r="C246" s="550"/>
      <c r="D246" s="550"/>
    </row>
    <row r="268" spans="1:4" ht="7.4" customHeight="1" x14ac:dyDescent="0.5">
      <c r="A268" s="550" t="s">
        <v>200</v>
      </c>
      <c r="B268" s="550"/>
      <c r="C268" s="550"/>
      <c r="D268" s="550"/>
    </row>
    <row r="269" spans="1:4" ht="7.4" customHeight="1" x14ac:dyDescent="0.5">
      <c r="A269" s="550"/>
      <c r="B269" s="550"/>
      <c r="C269" s="550"/>
      <c r="D269" s="550"/>
    </row>
    <row r="270" spans="1:4" ht="7.4" customHeight="1" x14ac:dyDescent="0.5">
      <c r="A270" s="550"/>
      <c r="B270" s="550"/>
      <c r="C270" s="550"/>
      <c r="D270" s="550"/>
    </row>
    <row r="275" spans="1:4" ht="7.4" customHeight="1" x14ac:dyDescent="0.5">
      <c r="A275" s="550" t="s">
        <v>201</v>
      </c>
      <c r="B275" s="550"/>
      <c r="C275" s="550"/>
      <c r="D275" s="550"/>
    </row>
    <row r="276" spans="1:4" ht="7.4" customHeight="1" x14ac:dyDescent="0.5">
      <c r="A276" s="550"/>
      <c r="B276" s="550"/>
      <c r="C276" s="550"/>
      <c r="D276" s="550"/>
    </row>
    <row r="277" spans="1:4" ht="7.4" customHeight="1" x14ac:dyDescent="0.5">
      <c r="A277" s="550"/>
      <c r="B277" s="550"/>
      <c r="C277" s="550"/>
      <c r="D277" s="550"/>
    </row>
    <row r="311" spans="1:4" ht="7.4" customHeight="1" x14ac:dyDescent="0.5">
      <c r="A311" s="550" t="s">
        <v>202</v>
      </c>
      <c r="B311" s="550"/>
      <c r="C311" s="550"/>
      <c r="D311" s="550"/>
    </row>
    <row r="312" spans="1:4" ht="7.4" customHeight="1" x14ac:dyDescent="0.5">
      <c r="A312" s="550"/>
      <c r="B312" s="550"/>
      <c r="C312" s="550"/>
      <c r="D312" s="550"/>
    </row>
    <row r="313" spans="1:4" ht="7.4" customHeight="1" x14ac:dyDescent="0.5">
      <c r="A313" s="550"/>
      <c r="B313" s="550"/>
      <c r="C313" s="550"/>
      <c r="D313" s="550"/>
    </row>
    <row r="334" spans="1:4" ht="7.4" customHeight="1" x14ac:dyDescent="0.5">
      <c r="A334" s="550" t="s">
        <v>203</v>
      </c>
      <c r="B334" s="550"/>
      <c r="C334" s="550"/>
      <c r="D334" s="550"/>
    </row>
    <row r="335" spans="1:4" ht="7.4" customHeight="1" x14ac:dyDescent="0.5">
      <c r="A335" s="550"/>
      <c r="B335" s="550"/>
      <c r="C335" s="550"/>
      <c r="D335" s="550"/>
    </row>
    <row r="336" spans="1:4" ht="7.4" customHeight="1" x14ac:dyDescent="0.5">
      <c r="A336" s="550"/>
      <c r="B336" s="550"/>
      <c r="C336" s="550"/>
      <c r="D336" s="550"/>
    </row>
    <row r="368" spans="1:4" ht="7.4" customHeight="1" x14ac:dyDescent="0.5">
      <c r="A368" s="550" t="s">
        <v>204</v>
      </c>
      <c r="B368" s="550"/>
      <c r="C368" s="550"/>
      <c r="D368" s="550"/>
    </row>
    <row r="369" spans="1:4" ht="7.4" customHeight="1" x14ac:dyDescent="0.5">
      <c r="A369" s="550"/>
      <c r="B369" s="550"/>
      <c r="C369" s="550"/>
      <c r="D369" s="550"/>
    </row>
    <row r="370" spans="1:4" ht="7.4" customHeight="1" x14ac:dyDescent="0.5">
      <c r="A370" s="550"/>
      <c r="B370" s="550"/>
      <c r="C370" s="550"/>
      <c r="D370" s="550"/>
    </row>
    <row r="401" spans="1:4" ht="7.4" customHeight="1" x14ac:dyDescent="0.5">
      <c r="A401" s="550" t="s">
        <v>205</v>
      </c>
      <c r="B401" s="550"/>
      <c r="C401" s="550"/>
      <c r="D401" s="550"/>
    </row>
    <row r="402" spans="1:4" ht="7.4" customHeight="1" x14ac:dyDescent="0.5">
      <c r="A402" s="550"/>
      <c r="B402" s="550"/>
      <c r="C402" s="550"/>
      <c r="D402" s="550"/>
    </row>
    <row r="403" spans="1:4" ht="7.4" customHeight="1" x14ac:dyDescent="0.5">
      <c r="A403" s="550"/>
      <c r="B403" s="550"/>
      <c r="C403" s="550"/>
      <c r="D403" s="550"/>
    </row>
    <row r="433" spans="1:4" ht="7.4" customHeight="1" x14ac:dyDescent="0.5">
      <c r="A433" s="551"/>
      <c r="B433" s="551"/>
      <c r="C433" s="551"/>
      <c r="D433" s="551"/>
    </row>
    <row r="434" spans="1:4" ht="7.4" customHeight="1" x14ac:dyDescent="0.5">
      <c r="A434" s="551"/>
      <c r="B434" s="551"/>
      <c r="C434" s="551"/>
      <c r="D434" s="551"/>
    </row>
    <row r="435" spans="1:4" ht="7.4" customHeight="1" x14ac:dyDescent="0.5">
      <c r="A435" s="551"/>
      <c r="B435" s="551"/>
      <c r="C435" s="551"/>
      <c r="D435" s="551"/>
    </row>
    <row r="507" spans="1:4" ht="7.4" customHeight="1" x14ac:dyDescent="0.5">
      <c r="A507" s="550" t="s">
        <v>206</v>
      </c>
      <c r="B507" s="550"/>
      <c r="C507" s="550"/>
      <c r="D507" s="550"/>
    </row>
    <row r="508" spans="1:4" ht="7.4" customHeight="1" x14ac:dyDescent="0.5">
      <c r="A508" s="550"/>
      <c r="B508" s="550"/>
      <c r="C508" s="550"/>
      <c r="D508" s="550"/>
    </row>
    <row r="509" spans="1:4" ht="7.4" customHeight="1" x14ac:dyDescent="0.5">
      <c r="A509" s="550"/>
      <c r="B509" s="550"/>
      <c r="C509" s="550"/>
      <c r="D509" s="550"/>
    </row>
  </sheetData>
  <sheetProtection algorithmName="SHA-512" hashValue="xDLkRTnq602Xj8vpv2iu6ANUIZLIl/QlIOMa53C5vToOB4Vadd8x6ZyQhdmsUSafNCWShAVRNILEVfTF+iSAVA==" saltValue="SfuX/55OgxgbJ6L1kB+BdQ==" spinCount="100000" sheet="1" objects="1" scenarios="1" selectLockedCells="1" selectUnlockedCells="1"/>
  <protectedRanges>
    <protectedRange algorithmName="SHA-512" hashValue="6Smdt1A7F8uiMUZW1jLDbfpJUvbwTEZD/cppkIbHCdMBN2YgU5o/rvztUr0G51esAd37mb42mKF8fi/boPYxRQ==" saltValue="PtT9vICZudOLI9xCeWUXGQ==" spinCount="100000" sqref="G17 AD17 F25 AL25 AE25 F29 AL29 F33 AL33 F37 AL37 F41 AL41 F45 F49 F53 F57 F61 F65 F69 F73 F77 F81 F85 AL45 AL49 AL53 AL57 AL61 AL65 AL69 AL73 AL77 AL81 AL85" name="Range1"/>
  </protectedRanges>
  <mergeCells count="123">
    <mergeCell ref="C17:F18"/>
    <mergeCell ref="G17:X18"/>
    <mergeCell ref="Y17:AC18"/>
    <mergeCell ref="AD17:AS18"/>
    <mergeCell ref="AT17:AW18"/>
    <mergeCell ref="AX17:BH18"/>
    <mergeCell ref="C1:AI9"/>
    <mergeCell ref="AN1:BH2"/>
    <mergeCell ref="AN3:BH4"/>
    <mergeCell ref="AN5:BH6"/>
    <mergeCell ref="AN7:BH8"/>
    <mergeCell ref="A10:AL15"/>
    <mergeCell ref="AN11:AV12"/>
    <mergeCell ref="AX11:BH12"/>
    <mergeCell ref="AN13:AV14"/>
    <mergeCell ref="AX13:BH14"/>
    <mergeCell ref="B20:D23"/>
    <mergeCell ref="F20:Q23"/>
    <mergeCell ref="S20:AJ23"/>
    <mergeCell ref="AL20:AQ23"/>
    <mergeCell ref="AR20:BI23"/>
    <mergeCell ref="B25:C26"/>
    <mergeCell ref="F25:Q26"/>
    <mergeCell ref="S25:AC26"/>
    <mergeCell ref="AD25:AD26"/>
    <mergeCell ref="AE25:AG26"/>
    <mergeCell ref="AH25:AI26"/>
    <mergeCell ref="AJ25:AJ26"/>
    <mergeCell ref="AL25:AP26"/>
    <mergeCell ref="AS25:BH26"/>
    <mergeCell ref="B27:C27"/>
    <mergeCell ref="B29:C30"/>
    <mergeCell ref="F29:Q30"/>
    <mergeCell ref="S29:AJ30"/>
    <mergeCell ref="AL29:AP30"/>
    <mergeCell ref="AS29:BH30"/>
    <mergeCell ref="B33:C34"/>
    <mergeCell ref="F33:Q34"/>
    <mergeCell ref="S33:AJ34"/>
    <mergeCell ref="AL33:AP34"/>
    <mergeCell ref="AS33:BH34"/>
    <mergeCell ref="B37:C38"/>
    <mergeCell ref="F37:Q38"/>
    <mergeCell ref="S37:AJ38"/>
    <mergeCell ref="AL37:AP38"/>
    <mergeCell ref="AS37:BH38"/>
    <mergeCell ref="B41:C42"/>
    <mergeCell ref="F41:Q42"/>
    <mergeCell ref="S41:AJ42"/>
    <mergeCell ref="AL41:AP42"/>
    <mergeCell ref="AS41:BH42"/>
    <mergeCell ref="B45:C46"/>
    <mergeCell ref="F45:Q46"/>
    <mergeCell ref="S45:AJ46"/>
    <mergeCell ref="AL45:AP46"/>
    <mergeCell ref="AS45:BH46"/>
    <mergeCell ref="BO49:BP50"/>
    <mergeCell ref="BQ49:BU50"/>
    <mergeCell ref="BV49:CA50"/>
    <mergeCell ref="B53:C54"/>
    <mergeCell ref="F53:Q54"/>
    <mergeCell ref="S53:AJ54"/>
    <mergeCell ref="AL53:AP54"/>
    <mergeCell ref="AS53:BH54"/>
    <mergeCell ref="B49:C50"/>
    <mergeCell ref="F49:Q50"/>
    <mergeCell ref="S49:AJ50"/>
    <mergeCell ref="AL49:AP50"/>
    <mergeCell ref="AS49:BH50"/>
    <mergeCell ref="BJ49:BN50"/>
    <mergeCell ref="B57:C58"/>
    <mergeCell ref="F57:Q58"/>
    <mergeCell ref="S57:AJ58"/>
    <mergeCell ref="AL57:AP58"/>
    <mergeCell ref="AS57:BH58"/>
    <mergeCell ref="B61:C62"/>
    <mergeCell ref="F61:Q62"/>
    <mergeCell ref="S61:AJ62"/>
    <mergeCell ref="AL61:AP62"/>
    <mergeCell ref="AS61:BH62"/>
    <mergeCell ref="B65:C66"/>
    <mergeCell ref="F65:Q66"/>
    <mergeCell ref="S65:AJ66"/>
    <mergeCell ref="AL65:AP66"/>
    <mergeCell ref="AS65:BH66"/>
    <mergeCell ref="B69:C70"/>
    <mergeCell ref="F69:Q70"/>
    <mergeCell ref="S69:AJ70"/>
    <mergeCell ref="AL69:AP70"/>
    <mergeCell ref="AS69:BH70"/>
    <mergeCell ref="B73:C74"/>
    <mergeCell ref="F73:Q74"/>
    <mergeCell ref="S73:AJ74"/>
    <mergeCell ref="AL73:AP74"/>
    <mergeCell ref="AS73:BH74"/>
    <mergeCell ref="B77:C78"/>
    <mergeCell ref="F77:Q78"/>
    <mergeCell ref="S77:AJ78"/>
    <mergeCell ref="AL77:AP78"/>
    <mergeCell ref="AS77:BH78"/>
    <mergeCell ref="B81:C82"/>
    <mergeCell ref="F81:Q82"/>
    <mergeCell ref="S81:AJ82"/>
    <mergeCell ref="AL81:AP82"/>
    <mergeCell ref="AS81:BH82"/>
    <mergeCell ref="B85:C86"/>
    <mergeCell ref="F85:Q86"/>
    <mergeCell ref="S85:AJ86"/>
    <mergeCell ref="AL85:AP86"/>
    <mergeCell ref="AS85:BH86"/>
    <mergeCell ref="A507:D509"/>
    <mergeCell ref="A275:D277"/>
    <mergeCell ref="A311:D313"/>
    <mergeCell ref="A334:D336"/>
    <mergeCell ref="A368:D370"/>
    <mergeCell ref="A401:D403"/>
    <mergeCell ref="A433:D435"/>
    <mergeCell ref="A87:D89"/>
    <mergeCell ref="A104:BI106"/>
    <mergeCell ref="A154:D156"/>
    <mergeCell ref="A201:D203"/>
    <mergeCell ref="A244:D246"/>
    <mergeCell ref="A268:D270"/>
  </mergeCells>
  <dataValidations disablePrompts="1" count="2">
    <dataValidation type="list" allowBlank="1" showInputMessage="1" showErrorMessage="1" sqref="CI49:CI50" xr:uid="{F48FC427-4234-4866-AD24-679338EA2487}">
      <formula1>"USD,ZAR"</formula1>
    </dataValidation>
    <dataValidation type="list" allowBlank="1" showInputMessage="1" showErrorMessage="1" sqref="AE25:AG26" xr:uid="{42A990DC-D7AB-4EE5-AD20-B6A6BF2AEC46}">
      <formula1>$BL$16:$BL$17</formula1>
    </dataValidation>
  </dataValidations>
  <pageMargins left="0.7" right="0.7" top="0.75" bottom="0.75" header="0.3" footer="0.3"/>
  <pageSetup paperSize="9" scale="85" fitToWidth="0" fitToHeight="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FEA67-3760-4F0E-9CE5-A4FFB692969E}">
  <sheetPr codeName="Sheet2">
    <tabColor theme="2" tint="-0.499984740745262"/>
    <pageSetUpPr fitToPage="1"/>
  </sheetPr>
  <dimension ref="A1:CN396"/>
  <sheetViews>
    <sheetView showGridLines="0" zoomScaleNormal="100" zoomScaleSheetLayoutView="110" workbookViewId="0">
      <pane ySplit="7" topLeftCell="A9" activePane="bottomLeft" state="frozen"/>
      <selection activeCell="ED62" sqref="ED62"/>
      <selection pane="bottomLeft" activeCell="P197" sqref="P197"/>
    </sheetView>
  </sheetViews>
  <sheetFormatPr defaultColWidth="1.54296875" defaultRowHeight="15" customHeight="1" x14ac:dyDescent="0.5"/>
  <cols>
    <col min="1" max="1" width="1.54296875" style="24"/>
    <col min="2" max="2" width="22.453125" style="24" bestFit="1" customWidth="1"/>
    <col min="3" max="6" width="1.54296875" style="24"/>
    <col min="7" max="8" width="1.54296875" style="24" customWidth="1"/>
    <col min="9" max="21" width="1.54296875" style="24"/>
    <col min="22" max="22" width="1.54296875" style="24" customWidth="1"/>
    <col min="23" max="45" width="1.54296875" style="24"/>
    <col min="46" max="46" width="1.54296875" style="24" customWidth="1"/>
    <col min="47" max="52" width="1.54296875" style="24"/>
    <col min="53" max="53" width="0.54296875" style="24" customWidth="1"/>
    <col min="54" max="54" width="11" style="24" bestFit="1" customWidth="1"/>
    <col min="55" max="55" width="1.54296875" style="24"/>
    <col min="56" max="56" width="1.54296875" style="24" customWidth="1"/>
    <col min="57" max="59" width="1.54296875" style="24"/>
    <col min="60" max="60" width="1.54296875" style="24" customWidth="1"/>
    <col min="61" max="65" width="1.54296875" style="24"/>
    <col min="66" max="66" width="5.453125" style="24" bestFit="1" customWidth="1"/>
    <col min="67" max="67" width="2.453125" style="24" bestFit="1" customWidth="1"/>
    <col min="68" max="88" width="1.54296875" style="24"/>
    <col min="89" max="89" width="1.453125" style="24" customWidth="1"/>
    <col min="90" max="90" width="11.453125" style="24" bestFit="1" customWidth="1"/>
    <col min="91" max="91" width="37.453125" style="24" bestFit="1" customWidth="1"/>
    <col min="92" max="92" width="22.453125" style="24" bestFit="1" customWidth="1"/>
    <col min="93" max="93" width="1.453125" style="24" customWidth="1"/>
    <col min="94" max="94" width="6" style="24" bestFit="1" customWidth="1"/>
    <col min="95" max="16384" width="1.54296875" style="24"/>
  </cols>
  <sheetData>
    <row r="1" spans="1:67" ht="15" customHeight="1" x14ac:dyDescent="0.5">
      <c r="B1" s="25"/>
      <c r="C1" s="25"/>
      <c r="D1" s="25"/>
      <c r="E1" s="25"/>
      <c r="F1" s="25"/>
      <c r="G1" s="25"/>
      <c r="H1" s="25"/>
      <c r="I1" s="25"/>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c r="AK1" s="25"/>
      <c r="AL1" s="25"/>
      <c r="AM1" s="25"/>
      <c r="AN1" s="25"/>
      <c r="AO1" s="25"/>
      <c r="AV1" s="25"/>
      <c r="AW1" s="25"/>
      <c r="AX1" s="25"/>
      <c r="AY1" s="25"/>
      <c r="AZ1" s="25"/>
      <c r="BB1" s="25"/>
      <c r="BC1" s="25"/>
      <c r="BD1" s="25"/>
    </row>
    <row r="2" spans="1:67" ht="15" customHeight="1" x14ac:dyDescent="0.35">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7"/>
      <c r="AQ2" s="27"/>
      <c r="AR2" s="27"/>
      <c r="AV2" s="25"/>
      <c r="AW2" s="25"/>
      <c r="AX2" s="25"/>
      <c r="AY2" s="25"/>
      <c r="AZ2" s="26"/>
      <c r="BB2" s="26"/>
      <c r="BC2" s="26"/>
      <c r="BD2" s="26"/>
    </row>
    <row r="3" spans="1:67" ht="15" customHeight="1" x14ac:dyDescent="0.5">
      <c r="B3" s="28"/>
      <c r="C3" s="28"/>
      <c r="D3" s="28"/>
      <c r="E3" s="28"/>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V3" s="28"/>
      <c r="AW3" s="28"/>
      <c r="AX3" s="28"/>
      <c r="AY3" s="28"/>
      <c r="AZ3" s="28"/>
      <c r="BB3" s="28"/>
      <c r="BC3" s="28"/>
      <c r="BD3" s="28"/>
    </row>
    <row r="5" spans="1:67" ht="15" customHeight="1" x14ac:dyDescent="0.5">
      <c r="A5" s="29"/>
      <c r="B5" s="30"/>
      <c r="C5" s="30"/>
      <c r="D5" s="30"/>
      <c r="E5" s="30"/>
      <c r="F5" s="30"/>
      <c r="G5" s="30"/>
      <c r="H5" s="30"/>
      <c r="I5" s="30"/>
      <c r="J5" s="30"/>
      <c r="K5" s="30"/>
      <c r="L5" s="30"/>
      <c r="M5" s="31"/>
      <c r="N5" s="29"/>
      <c r="O5" s="30"/>
      <c r="P5" s="30"/>
      <c r="Q5" s="30"/>
      <c r="R5" s="30"/>
      <c r="S5" s="30"/>
      <c r="T5" s="30"/>
      <c r="U5" s="30"/>
      <c r="V5" s="30"/>
      <c r="W5" s="30"/>
      <c r="X5" s="30"/>
      <c r="Y5" s="30"/>
      <c r="Z5" s="30"/>
      <c r="AA5" s="30"/>
      <c r="AB5" s="30"/>
      <c r="AC5" s="30"/>
      <c r="AD5" s="30"/>
      <c r="AE5" s="30"/>
      <c r="AF5" s="31"/>
      <c r="AG5" s="29"/>
      <c r="AH5" s="30"/>
      <c r="AI5" s="30"/>
      <c r="AJ5" s="30"/>
      <c r="AK5" s="30"/>
      <c r="AL5" s="30"/>
      <c r="AM5" s="30"/>
      <c r="AN5" s="30"/>
      <c r="AO5" s="30"/>
      <c r="AP5" s="30"/>
      <c r="AQ5" s="30"/>
      <c r="AR5" s="30"/>
      <c r="AS5" s="30"/>
      <c r="AT5" s="30"/>
      <c r="AU5" s="30"/>
      <c r="AV5" s="30"/>
      <c r="AW5" s="30"/>
      <c r="AX5" s="30"/>
      <c r="AY5" s="31"/>
      <c r="AZ5" s="29"/>
      <c r="BA5" s="30"/>
      <c r="BB5" s="30"/>
      <c r="BC5" s="30"/>
      <c r="BD5" s="30"/>
      <c r="BE5" s="30"/>
      <c r="BF5" s="30"/>
      <c r="BG5" s="30"/>
      <c r="BH5" s="31"/>
    </row>
    <row r="6" spans="1:67" ht="15" customHeight="1" x14ac:dyDescent="0.5">
      <c r="A6" s="32"/>
      <c r="B6" s="33" t="s">
        <v>50</v>
      </c>
      <c r="C6" s="33"/>
      <c r="D6" s="33"/>
      <c r="E6" s="33"/>
      <c r="F6" s="33"/>
      <c r="G6" s="33"/>
      <c r="H6" s="33"/>
      <c r="I6" s="33"/>
      <c r="J6" s="33"/>
      <c r="K6" s="33"/>
      <c r="L6" s="33"/>
      <c r="M6" s="34"/>
      <c r="N6" s="32"/>
      <c r="O6" s="33" t="s">
        <v>207</v>
      </c>
      <c r="P6" s="33"/>
      <c r="Q6" s="33"/>
      <c r="R6" s="33"/>
      <c r="S6" s="33"/>
      <c r="T6" s="33"/>
      <c r="U6" s="33"/>
      <c r="V6" s="33"/>
      <c r="W6" s="33"/>
      <c r="X6" s="33"/>
      <c r="Y6" s="33"/>
      <c r="Z6" s="33"/>
      <c r="AA6" s="33"/>
      <c r="AB6" s="33"/>
      <c r="AC6" s="33"/>
      <c r="AD6" s="33"/>
      <c r="AE6" s="33"/>
      <c r="AF6" s="34"/>
      <c r="AG6" s="32"/>
      <c r="AH6" s="33" t="s">
        <v>208</v>
      </c>
      <c r="AI6" s="33"/>
      <c r="AJ6" s="33"/>
      <c r="AK6" s="33"/>
      <c r="AL6" s="33"/>
      <c r="AM6" s="33"/>
      <c r="AN6" s="33"/>
      <c r="AO6" s="33"/>
      <c r="AP6" s="33"/>
      <c r="AQ6" s="33"/>
      <c r="AR6" s="33"/>
      <c r="AS6" s="33"/>
      <c r="AT6" s="33"/>
      <c r="AU6" s="33"/>
      <c r="AV6" s="33"/>
      <c r="AW6" s="33"/>
      <c r="AX6" s="33"/>
      <c r="AY6" s="34"/>
      <c r="AZ6" s="32"/>
      <c r="BA6" s="33" t="s">
        <v>53</v>
      </c>
      <c r="BB6" s="33"/>
      <c r="BC6" s="33"/>
      <c r="BD6" s="33"/>
      <c r="BE6" s="33"/>
      <c r="BF6" s="33"/>
      <c r="BG6" s="33"/>
      <c r="BH6" s="34"/>
    </row>
    <row r="7" spans="1:67" ht="15" customHeight="1" x14ac:dyDescent="0.5">
      <c r="A7" s="35"/>
      <c r="B7" s="36"/>
      <c r="C7" s="36"/>
      <c r="D7" s="36"/>
      <c r="E7" s="36"/>
      <c r="F7" s="36"/>
      <c r="G7" s="36"/>
      <c r="H7" s="36"/>
      <c r="I7" s="36"/>
      <c r="J7" s="36"/>
      <c r="K7" s="36"/>
      <c r="L7" s="36"/>
      <c r="M7" s="37"/>
      <c r="N7" s="35"/>
      <c r="O7" s="36"/>
      <c r="P7" s="36"/>
      <c r="Q7" s="36"/>
      <c r="R7" s="36"/>
      <c r="S7" s="36"/>
      <c r="T7" s="36"/>
      <c r="U7" s="36"/>
      <c r="V7" s="36"/>
      <c r="W7" s="36"/>
      <c r="X7" s="36"/>
      <c r="Y7" s="36"/>
      <c r="Z7" s="36"/>
      <c r="AA7" s="36"/>
      <c r="AB7" s="36"/>
      <c r="AC7" s="36"/>
      <c r="AD7" s="36"/>
      <c r="AE7" s="36"/>
      <c r="AF7" s="37"/>
      <c r="AG7" s="35"/>
      <c r="AH7" s="36"/>
      <c r="AI7" s="36"/>
      <c r="AJ7" s="36"/>
      <c r="AK7" s="36"/>
      <c r="AL7" s="36"/>
      <c r="AM7" s="36"/>
      <c r="AN7" s="36"/>
      <c r="AO7" s="36"/>
      <c r="AP7" s="36"/>
      <c r="AQ7" s="36"/>
      <c r="AR7" s="36"/>
      <c r="AS7" s="36"/>
      <c r="AT7" s="36"/>
      <c r="AU7" s="36"/>
      <c r="AV7" s="36"/>
      <c r="AW7" s="36"/>
      <c r="AX7" s="36"/>
      <c r="AY7" s="37"/>
      <c r="AZ7" s="35"/>
      <c r="BA7" s="33"/>
      <c r="BB7" s="36"/>
      <c r="BC7" s="36"/>
      <c r="BD7" s="36"/>
      <c r="BE7" s="36"/>
      <c r="BF7" s="36"/>
      <c r="BG7" s="36"/>
      <c r="BH7" s="37"/>
    </row>
    <row r="8" spans="1:67" ht="15" customHeight="1" x14ac:dyDescent="0.5">
      <c r="A8" s="38"/>
      <c r="B8" s="39"/>
      <c r="C8" s="39"/>
      <c r="D8" s="39"/>
      <c r="E8" s="39"/>
      <c r="F8" s="39"/>
      <c r="G8" s="39"/>
      <c r="H8" s="39"/>
      <c r="I8" s="39"/>
      <c r="J8" s="39"/>
      <c r="K8" s="39"/>
      <c r="L8" s="39"/>
      <c r="M8" s="40"/>
      <c r="N8" s="38"/>
      <c r="O8" s="39"/>
      <c r="P8" s="39"/>
      <c r="Q8" s="39"/>
      <c r="R8" s="39"/>
      <c r="S8" s="39"/>
      <c r="T8" s="39"/>
      <c r="U8" s="39"/>
      <c r="V8" s="39"/>
      <c r="W8" s="39"/>
      <c r="X8" s="39"/>
      <c r="Y8" s="39"/>
      <c r="Z8" s="39"/>
      <c r="AA8" s="39"/>
      <c r="AB8" s="39"/>
      <c r="AC8" s="39"/>
      <c r="AD8" s="39"/>
      <c r="AE8" s="39"/>
      <c r="AF8" s="40"/>
      <c r="AG8" s="39"/>
      <c r="AH8" s="39"/>
      <c r="AI8" s="39"/>
      <c r="AJ8" s="39"/>
      <c r="AK8" s="39"/>
      <c r="AL8" s="39"/>
      <c r="AM8" s="39"/>
      <c r="AN8" s="39"/>
      <c r="AO8" s="39"/>
      <c r="AP8" s="39"/>
      <c r="AQ8" s="39"/>
      <c r="AR8" s="39"/>
      <c r="AS8" s="39"/>
      <c r="AT8" s="39"/>
      <c r="AU8" s="39"/>
      <c r="AV8" s="39"/>
      <c r="AW8" s="39"/>
      <c r="AX8" s="39"/>
      <c r="AY8" s="40"/>
      <c r="AZ8" s="38"/>
      <c r="BB8" s="39"/>
      <c r="BC8" s="39"/>
      <c r="BD8" s="39"/>
      <c r="BH8" s="41"/>
    </row>
    <row r="9" spans="1:67" ht="15" customHeight="1" x14ac:dyDescent="0.5">
      <c r="A9" s="42"/>
      <c r="B9" s="24" t="s">
        <v>192</v>
      </c>
      <c r="M9" s="41"/>
      <c r="N9" s="42"/>
      <c r="O9" s="24" t="s">
        <v>55</v>
      </c>
      <c r="AF9" s="41"/>
      <c r="AH9" s="24" t="s">
        <v>209</v>
      </c>
      <c r="AY9" s="41"/>
      <c r="AZ9" s="42"/>
      <c r="BH9" s="41"/>
      <c r="BN9" s="43"/>
    </row>
    <row r="10" spans="1:67" ht="15" customHeight="1" x14ac:dyDescent="0.5">
      <c r="A10" s="42"/>
      <c r="B10" s="24" t="s">
        <v>210</v>
      </c>
      <c r="M10" s="41"/>
      <c r="N10" s="42"/>
      <c r="O10" s="24" t="s">
        <v>211</v>
      </c>
      <c r="AF10" s="41"/>
      <c r="AG10" s="42"/>
      <c r="AH10" s="24" t="s">
        <v>212</v>
      </c>
      <c r="AY10" s="44"/>
      <c r="AZ10" s="42"/>
      <c r="BA10" s="45" t="str">
        <f t="shared" ref="BA10:BA41" si="0">_xlfn.XLOOKUP(B10,$CN:$CN,$CL:$CL,"")</f>
        <v>SOL-59504</v>
      </c>
      <c r="BB10" s="45" t="str">
        <f t="shared" ref="BB10:BB41" si="1">_xlfn.XLOOKUP(B10,$CN:$CN,$CL:$CL,"")</f>
        <v>SOL-59504</v>
      </c>
      <c r="BH10" s="41"/>
      <c r="BN10" s="43">
        <v>1</v>
      </c>
      <c r="BO10" s="43" t="s">
        <v>20</v>
      </c>
    </row>
    <row r="11" spans="1:67" ht="15" customHeight="1" x14ac:dyDescent="0.5">
      <c r="A11" s="42"/>
      <c r="B11" s="24" t="s">
        <v>191</v>
      </c>
      <c r="M11" s="41"/>
      <c r="N11" s="42"/>
      <c r="O11" s="24" t="s">
        <v>213</v>
      </c>
      <c r="AF11" s="41"/>
      <c r="AG11" s="42"/>
      <c r="AH11" s="24" t="s">
        <v>214</v>
      </c>
      <c r="AY11" s="44"/>
      <c r="AZ11" s="42"/>
      <c r="BA11" s="45" t="str">
        <f t="shared" si="0"/>
        <v>SOL-6073</v>
      </c>
      <c r="BB11" s="45" t="str">
        <f t="shared" si="1"/>
        <v>SOL-6073</v>
      </c>
      <c r="BH11" s="41"/>
      <c r="BN11" s="43">
        <f>BN10+1</f>
        <v>2</v>
      </c>
      <c r="BO11" s="43" t="s">
        <v>20</v>
      </c>
    </row>
    <row r="12" spans="1:67" ht="15" customHeight="1" x14ac:dyDescent="0.5">
      <c r="A12" s="42"/>
      <c r="B12" s="24" t="s">
        <v>215</v>
      </c>
      <c r="M12" s="41"/>
      <c r="N12" s="42"/>
      <c r="O12" s="24" t="s">
        <v>213</v>
      </c>
      <c r="AF12" s="41"/>
      <c r="AG12" s="42"/>
      <c r="AH12" s="24" t="s">
        <v>216</v>
      </c>
      <c r="AY12" s="44"/>
      <c r="AZ12" s="42"/>
      <c r="BA12" s="45" t="str">
        <f t="shared" si="0"/>
        <v>SOL-6074</v>
      </c>
      <c r="BB12" s="45" t="str">
        <f t="shared" si="1"/>
        <v>SOL-6074</v>
      </c>
      <c r="BH12" s="41"/>
      <c r="BN12" s="43">
        <f t="shared" ref="BN12:BN75" si="2">BN11+1</f>
        <v>3</v>
      </c>
      <c r="BO12" s="43" t="s">
        <v>20</v>
      </c>
    </row>
    <row r="13" spans="1:67" ht="15" customHeight="1" x14ac:dyDescent="0.5">
      <c r="A13" s="42"/>
      <c r="B13" s="24" t="s">
        <v>217</v>
      </c>
      <c r="M13" s="41"/>
      <c r="N13" s="42"/>
      <c r="O13" s="24" t="s">
        <v>213</v>
      </c>
      <c r="AF13" s="41"/>
      <c r="AG13" s="42"/>
      <c r="AH13" s="24" t="s">
        <v>218</v>
      </c>
      <c r="AY13" s="44"/>
      <c r="AZ13" s="42"/>
      <c r="BA13" s="45" t="str">
        <f t="shared" si="0"/>
        <v>SOL-6075</v>
      </c>
      <c r="BB13" s="45" t="str">
        <f t="shared" si="1"/>
        <v>SOL-6075</v>
      </c>
      <c r="BH13" s="41"/>
      <c r="BN13" s="43">
        <f t="shared" si="2"/>
        <v>4</v>
      </c>
      <c r="BO13" s="43" t="s">
        <v>20</v>
      </c>
    </row>
    <row r="14" spans="1:67" ht="15" customHeight="1" x14ac:dyDescent="0.5">
      <c r="A14" s="42"/>
      <c r="B14" s="24" t="s">
        <v>219</v>
      </c>
      <c r="M14" s="41"/>
      <c r="N14" s="42"/>
      <c r="O14" s="24" t="s">
        <v>220</v>
      </c>
      <c r="AF14" s="41"/>
      <c r="AG14" s="42"/>
      <c r="AH14" s="24" t="s">
        <v>214</v>
      </c>
      <c r="AY14" s="44"/>
      <c r="AZ14" s="42"/>
      <c r="BA14" s="45" t="str">
        <f t="shared" si="0"/>
        <v>SOL-59040</v>
      </c>
      <c r="BB14" s="45" t="str">
        <f t="shared" si="1"/>
        <v>SOL-59040</v>
      </c>
      <c r="BH14" s="41"/>
      <c r="BN14" s="43">
        <f t="shared" si="2"/>
        <v>5</v>
      </c>
      <c r="BO14" s="43" t="s">
        <v>20</v>
      </c>
    </row>
    <row r="15" spans="1:67" ht="15" customHeight="1" x14ac:dyDescent="0.5">
      <c r="A15" s="42"/>
      <c r="B15" s="24" t="s">
        <v>221</v>
      </c>
      <c r="M15" s="41"/>
      <c r="N15" s="42"/>
      <c r="O15" s="24" t="s">
        <v>220</v>
      </c>
      <c r="AF15" s="41"/>
      <c r="AG15" s="42"/>
      <c r="AH15" s="24" t="s">
        <v>216</v>
      </c>
      <c r="AY15" s="44"/>
      <c r="AZ15" s="42"/>
      <c r="BA15" s="45" t="str">
        <f t="shared" si="0"/>
        <v>SOL-5903</v>
      </c>
      <c r="BB15" s="45" t="str">
        <f t="shared" si="1"/>
        <v>SOL-5903</v>
      </c>
      <c r="BH15" s="41"/>
      <c r="BN15" s="43">
        <f t="shared" si="2"/>
        <v>6</v>
      </c>
      <c r="BO15" s="43" t="s">
        <v>20</v>
      </c>
    </row>
    <row r="16" spans="1:67" ht="15" customHeight="1" x14ac:dyDescent="0.5">
      <c r="A16" s="42"/>
      <c r="B16" s="24" t="s">
        <v>222</v>
      </c>
      <c r="M16" s="41"/>
      <c r="N16" s="42"/>
      <c r="O16" s="24" t="s">
        <v>220</v>
      </c>
      <c r="AF16" s="41"/>
      <c r="AG16" s="42"/>
      <c r="AH16" s="24" t="s">
        <v>223</v>
      </c>
      <c r="AY16" s="44"/>
      <c r="AZ16" s="42"/>
      <c r="BA16" s="45" t="str">
        <f t="shared" si="0"/>
        <v>SOL-59031</v>
      </c>
      <c r="BB16" s="45" t="str">
        <f t="shared" si="1"/>
        <v>SOL-59031</v>
      </c>
      <c r="BH16" s="41"/>
      <c r="BN16" s="43">
        <f>BN15+1</f>
        <v>7</v>
      </c>
      <c r="BO16" s="43" t="s">
        <v>20</v>
      </c>
    </row>
    <row r="17" spans="1:67" ht="15" customHeight="1" x14ac:dyDescent="0.5">
      <c r="A17" s="42"/>
      <c r="B17" s="24" t="s">
        <v>224</v>
      </c>
      <c r="M17" s="41"/>
      <c r="N17" s="42"/>
      <c r="O17" s="24" t="s">
        <v>220</v>
      </c>
      <c r="AF17" s="41"/>
      <c r="AG17" s="42"/>
      <c r="AH17" s="24" t="s">
        <v>218</v>
      </c>
      <c r="AY17" s="44"/>
      <c r="AZ17" s="42"/>
      <c r="BA17" s="45" t="str">
        <f t="shared" si="0"/>
        <v>SOL-5904</v>
      </c>
      <c r="BB17" s="45" t="str">
        <f t="shared" si="1"/>
        <v>SOL-5904</v>
      </c>
      <c r="BH17" s="41"/>
      <c r="BN17" s="43">
        <f t="shared" si="2"/>
        <v>8</v>
      </c>
      <c r="BO17" s="43" t="s">
        <v>20</v>
      </c>
    </row>
    <row r="18" spans="1:67" ht="15" customHeight="1" x14ac:dyDescent="0.5">
      <c r="A18" s="42"/>
      <c r="B18" s="24" t="s">
        <v>225</v>
      </c>
      <c r="M18" s="41"/>
      <c r="N18" s="42"/>
      <c r="O18" s="24" t="s">
        <v>226</v>
      </c>
      <c r="AF18" s="41"/>
      <c r="AG18" s="42"/>
      <c r="AH18" s="24" t="s">
        <v>214</v>
      </c>
      <c r="AY18" s="44"/>
      <c r="AZ18" s="42"/>
      <c r="BA18" s="45" t="str">
        <f t="shared" si="0"/>
        <v>SOL-59070</v>
      </c>
      <c r="BB18" s="45" t="str">
        <f t="shared" si="1"/>
        <v>SOL-59070</v>
      </c>
      <c r="BH18" s="41"/>
      <c r="BN18" s="43">
        <f t="shared" si="2"/>
        <v>9</v>
      </c>
      <c r="BO18" s="43" t="s">
        <v>20</v>
      </c>
    </row>
    <row r="19" spans="1:67" ht="15" customHeight="1" x14ac:dyDescent="0.5">
      <c r="A19" s="42"/>
      <c r="B19" s="24" t="s">
        <v>227</v>
      </c>
      <c r="M19" s="41"/>
      <c r="N19" s="42"/>
      <c r="O19" s="24" t="s">
        <v>226</v>
      </c>
      <c r="AF19" s="41"/>
      <c r="AG19" s="42"/>
      <c r="AH19" s="24" t="s">
        <v>216</v>
      </c>
      <c r="AY19" s="44"/>
      <c r="AZ19" s="42"/>
      <c r="BA19" s="45" t="str">
        <f t="shared" si="0"/>
        <v>SOL-5905</v>
      </c>
      <c r="BB19" s="45" t="str">
        <f t="shared" si="1"/>
        <v>SOL-5905</v>
      </c>
      <c r="BH19" s="41"/>
      <c r="BN19" s="43">
        <f t="shared" si="2"/>
        <v>10</v>
      </c>
      <c r="BO19" s="43" t="s">
        <v>20</v>
      </c>
    </row>
    <row r="20" spans="1:67" ht="15" customHeight="1" x14ac:dyDescent="0.5">
      <c r="A20" s="42"/>
      <c r="B20" s="24" t="s">
        <v>228</v>
      </c>
      <c r="M20" s="41"/>
      <c r="N20" s="42"/>
      <c r="O20" s="24" t="s">
        <v>226</v>
      </c>
      <c r="AF20" s="41"/>
      <c r="AG20" s="42"/>
      <c r="AH20" s="24" t="s">
        <v>223</v>
      </c>
      <c r="AY20" s="44"/>
      <c r="AZ20" s="42"/>
      <c r="BA20" s="45" t="str">
        <f t="shared" si="0"/>
        <v>SOL-5906</v>
      </c>
      <c r="BB20" s="45" t="str">
        <f t="shared" si="1"/>
        <v>SOL-5906</v>
      </c>
      <c r="BH20" s="41"/>
      <c r="BN20" s="43">
        <f t="shared" si="2"/>
        <v>11</v>
      </c>
      <c r="BO20" s="43" t="s">
        <v>20</v>
      </c>
    </row>
    <row r="21" spans="1:67" ht="15" customHeight="1" x14ac:dyDescent="0.5">
      <c r="A21" s="42"/>
      <c r="B21" s="24" t="s">
        <v>229</v>
      </c>
      <c r="M21" s="41"/>
      <c r="N21" s="42"/>
      <c r="O21" s="24" t="s">
        <v>226</v>
      </c>
      <c r="AF21" s="41"/>
      <c r="AG21" s="42"/>
      <c r="AH21" s="24" t="s">
        <v>218</v>
      </c>
      <c r="AY21" s="44"/>
      <c r="AZ21" s="42"/>
      <c r="BA21" s="45" t="str">
        <f t="shared" si="0"/>
        <v>SOL-5907</v>
      </c>
      <c r="BB21" s="45" t="str">
        <f t="shared" si="1"/>
        <v>SOL-5907</v>
      </c>
      <c r="BH21" s="41"/>
      <c r="BN21" s="43">
        <f t="shared" si="2"/>
        <v>12</v>
      </c>
      <c r="BO21" s="43" t="s">
        <v>20</v>
      </c>
    </row>
    <row r="22" spans="1:67" ht="15" customHeight="1" x14ac:dyDescent="0.5">
      <c r="A22" s="42"/>
      <c r="B22" s="24" t="s">
        <v>230</v>
      </c>
      <c r="M22" s="41"/>
      <c r="N22" s="42"/>
      <c r="O22" s="24" t="s">
        <v>231</v>
      </c>
      <c r="AF22" s="41"/>
      <c r="AG22" s="42"/>
      <c r="AH22" s="24" t="s">
        <v>232</v>
      </c>
      <c r="AY22" s="44"/>
      <c r="AZ22" s="42"/>
      <c r="BA22" s="45">
        <f t="shared" si="0"/>
        <v>0</v>
      </c>
      <c r="BB22" s="45">
        <f t="shared" si="1"/>
        <v>0</v>
      </c>
      <c r="BH22" s="41"/>
      <c r="BN22" s="43">
        <f>BN21+1</f>
        <v>13</v>
      </c>
      <c r="BO22" s="43" t="s">
        <v>20</v>
      </c>
    </row>
    <row r="23" spans="1:67" ht="15" customHeight="1" x14ac:dyDescent="0.5">
      <c r="A23" s="42"/>
      <c r="B23" s="24" t="s">
        <v>233</v>
      </c>
      <c r="M23" s="41"/>
      <c r="N23" s="42"/>
      <c r="O23" s="24" t="s">
        <v>231</v>
      </c>
      <c r="AF23" s="41"/>
      <c r="AG23" s="42"/>
      <c r="AH23" s="24" t="s">
        <v>234</v>
      </c>
      <c r="AY23" s="44"/>
      <c r="AZ23" s="42"/>
      <c r="BA23" s="45" t="str">
        <f t="shared" si="0"/>
        <v>SOL-6066</v>
      </c>
      <c r="BB23" s="45" t="str">
        <f t="shared" si="1"/>
        <v>SOL-6066</v>
      </c>
      <c r="BH23" s="41"/>
      <c r="BN23" s="43">
        <f t="shared" si="2"/>
        <v>14</v>
      </c>
      <c r="BO23" s="43" t="s">
        <v>20</v>
      </c>
    </row>
    <row r="24" spans="1:67" ht="15" customHeight="1" x14ac:dyDescent="0.5">
      <c r="A24" s="42"/>
      <c r="B24" s="24" t="s">
        <v>235</v>
      </c>
      <c r="M24" s="41"/>
      <c r="N24" s="42"/>
      <c r="O24" s="24" t="s">
        <v>231</v>
      </c>
      <c r="AF24" s="41"/>
      <c r="AG24" s="42"/>
      <c r="AH24" s="24" t="s">
        <v>236</v>
      </c>
      <c r="AY24" s="44"/>
      <c r="AZ24" s="42"/>
      <c r="BA24" s="45">
        <f t="shared" si="0"/>
        <v>0</v>
      </c>
      <c r="BB24" s="45">
        <f t="shared" si="1"/>
        <v>0</v>
      </c>
      <c r="BH24" s="41"/>
      <c r="BN24" s="43">
        <f t="shared" si="2"/>
        <v>15</v>
      </c>
      <c r="BO24" s="43" t="s">
        <v>20</v>
      </c>
    </row>
    <row r="25" spans="1:67" ht="15" customHeight="1" x14ac:dyDescent="0.5">
      <c r="A25" s="42"/>
      <c r="B25" s="24" t="s">
        <v>237</v>
      </c>
      <c r="M25" s="41"/>
      <c r="N25" s="42"/>
      <c r="O25" s="24" t="s">
        <v>231</v>
      </c>
      <c r="AF25" s="41"/>
      <c r="AG25" s="42"/>
      <c r="AH25" s="24" t="s">
        <v>238</v>
      </c>
      <c r="AY25" s="44"/>
      <c r="AZ25" s="42"/>
      <c r="BA25" s="45" t="str">
        <f t="shared" si="0"/>
        <v>SOL-59080</v>
      </c>
      <c r="BB25" s="45" t="str">
        <f t="shared" si="1"/>
        <v>SOL-59080</v>
      </c>
      <c r="BH25" s="41"/>
      <c r="BN25" s="43">
        <f t="shared" si="2"/>
        <v>16</v>
      </c>
      <c r="BO25" s="43" t="s">
        <v>20</v>
      </c>
    </row>
    <row r="26" spans="1:67" ht="15" customHeight="1" x14ac:dyDescent="0.5">
      <c r="A26" s="42"/>
      <c r="B26" s="24" t="s">
        <v>239</v>
      </c>
      <c r="M26" s="41"/>
      <c r="N26" s="42"/>
      <c r="O26" s="24" t="s">
        <v>240</v>
      </c>
      <c r="AF26" s="41"/>
      <c r="AG26" s="42"/>
      <c r="AH26" s="24" t="s">
        <v>241</v>
      </c>
      <c r="AY26" s="44"/>
      <c r="AZ26" s="42"/>
      <c r="BA26" s="45">
        <f t="shared" si="0"/>
        <v>0</v>
      </c>
      <c r="BB26" s="45">
        <f t="shared" si="1"/>
        <v>0</v>
      </c>
      <c r="BH26" s="41"/>
      <c r="BN26" s="43">
        <f t="shared" si="2"/>
        <v>17</v>
      </c>
      <c r="BO26" s="43" t="s">
        <v>20</v>
      </c>
    </row>
    <row r="27" spans="1:67" ht="15" customHeight="1" x14ac:dyDescent="0.5">
      <c r="A27" s="42"/>
      <c r="B27" s="24" t="s">
        <v>242</v>
      </c>
      <c r="M27" s="41"/>
      <c r="N27" s="42"/>
      <c r="O27" s="24" t="s">
        <v>240</v>
      </c>
      <c r="AF27" s="41"/>
      <c r="AG27" s="42"/>
      <c r="AH27" s="24" t="s">
        <v>243</v>
      </c>
      <c r="AY27" s="44"/>
      <c r="AZ27" s="42"/>
      <c r="BA27" s="45" t="str">
        <f t="shared" si="0"/>
        <v>SOL-5908</v>
      </c>
      <c r="BB27" s="45" t="str">
        <f t="shared" si="1"/>
        <v>SOL-5908</v>
      </c>
      <c r="BF27" s="46"/>
      <c r="BG27" s="46"/>
      <c r="BH27" s="47"/>
      <c r="BI27" s="46"/>
      <c r="BJ27" s="46"/>
      <c r="BK27" s="46"/>
      <c r="BN27" s="43">
        <f t="shared" si="2"/>
        <v>18</v>
      </c>
      <c r="BO27" s="43" t="s">
        <v>20</v>
      </c>
    </row>
    <row r="28" spans="1:67" ht="15" customHeight="1" x14ac:dyDescent="0.5">
      <c r="A28" s="42"/>
      <c r="B28" s="24" t="s">
        <v>244</v>
      </c>
      <c r="M28" s="41"/>
      <c r="N28" s="42"/>
      <c r="O28" s="24" t="s">
        <v>245</v>
      </c>
      <c r="AF28" s="41"/>
      <c r="AG28" s="42"/>
      <c r="AH28" s="24" t="s">
        <v>214</v>
      </c>
      <c r="AY28" s="41"/>
      <c r="AZ28" s="42"/>
      <c r="BA28" s="45" t="str">
        <f t="shared" si="0"/>
        <v>SOL-59020</v>
      </c>
      <c r="BB28" s="45" t="str">
        <f t="shared" si="1"/>
        <v>SOL-59020</v>
      </c>
      <c r="BH28" s="41"/>
      <c r="BN28" s="43">
        <f>BN27+1</f>
        <v>19</v>
      </c>
      <c r="BO28" s="43" t="s">
        <v>20</v>
      </c>
    </row>
    <row r="29" spans="1:67" ht="15" customHeight="1" x14ac:dyDescent="0.5">
      <c r="A29" s="42"/>
      <c r="B29" s="24" t="s">
        <v>246</v>
      </c>
      <c r="M29" s="41"/>
      <c r="N29" s="42"/>
      <c r="O29" s="24" t="s">
        <v>245</v>
      </c>
      <c r="AF29" s="41"/>
      <c r="AG29" s="42"/>
      <c r="AH29" s="24" t="s">
        <v>216</v>
      </c>
      <c r="AY29" s="41"/>
      <c r="AZ29" s="42"/>
      <c r="BA29" s="45" t="str">
        <f t="shared" si="0"/>
        <v>SOL-5901</v>
      </c>
      <c r="BB29" s="45" t="str">
        <f t="shared" si="1"/>
        <v>SOL-5901</v>
      </c>
      <c r="BH29" s="41"/>
      <c r="BN29" s="43">
        <f t="shared" si="2"/>
        <v>20</v>
      </c>
      <c r="BO29" s="43" t="s">
        <v>20</v>
      </c>
    </row>
    <row r="30" spans="1:67" ht="15" customHeight="1" x14ac:dyDescent="0.5">
      <c r="A30" s="42"/>
      <c r="B30" s="24" t="s">
        <v>247</v>
      </c>
      <c r="M30" s="41"/>
      <c r="N30" s="42"/>
      <c r="O30" s="24" t="s">
        <v>248</v>
      </c>
      <c r="AF30" s="41"/>
      <c r="AG30" s="42"/>
      <c r="AH30" s="24" t="s">
        <v>223</v>
      </c>
      <c r="AY30" s="41"/>
      <c r="AZ30" s="42"/>
      <c r="BA30" s="45" t="str">
        <f t="shared" si="0"/>
        <v>SOL-5900</v>
      </c>
      <c r="BB30" s="45" t="str">
        <f t="shared" si="1"/>
        <v>SOL-5900</v>
      </c>
      <c r="BH30" s="41"/>
      <c r="BN30" s="43">
        <f t="shared" si="2"/>
        <v>21</v>
      </c>
      <c r="BO30" s="43" t="s">
        <v>20</v>
      </c>
    </row>
    <row r="31" spans="1:67" ht="15" customHeight="1" x14ac:dyDescent="0.5">
      <c r="A31" s="42"/>
      <c r="B31" s="24" t="s">
        <v>249</v>
      </c>
      <c r="M31" s="41"/>
      <c r="N31" s="42"/>
      <c r="O31" s="24" t="s">
        <v>245</v>
      </c>
      <c r="AF31" s="41"/>
      <c r="AG31" s="42"/>
      <c r="AH31" s="24" t="s">
        <v>218</v>
      </c>
      <c r="AY31" s="41"/>
      <c r="AZ31" s="42"/>
      <c r="BA31" s="45" t="str">
        <f t="shared" si="0"/>
        <v>SOL-5902</v>
      </c>
      <c r="BB31" s="45" t="str">
        <f t="shared" si="1"/>
        <v>SOL-5902</v>
      </c>
      <c r="BH31" s="41"/>
      <c r="BN31" s="43">
        <f t="shared" si="2"/>
        <v>22</v>
      </c>
      <c r="BO31" s="43" t="s">
        <v>20</v>
      </c>
    </row>
    <row r="32" spans="1:67" ht="15" customHeight="1" x14ac:dyDescent="0.5">
      <c r="A32" s="42"/>
      <c r="B32" s="24" t="s">
        <v>250</v>
      </c>
      <c r="M32" s="41"/>
      <c r="N32" s="42"/>
      <c r="O32" s="24" t="s">
        <v>251</v>
      </c>
      <c r="AF32" s="44"/>
      <c r="AG32" s="42"/>
      <c r="AH32" s="24" t="s">
        <v>252</v>
      </c>
      <c r="AY32" s="41"/>
      <c r="AZ32" s="42"/>
      <c r="BA32" s="45" t="str">
        <f t="shared" si="0"/>
        <v>SOL-58080</v>
      </c>
      <c r="BB32" s="45" t="str">
        <f t="shared" si="1"/>
        <v>SOL-58080</v>
      </c>
      <c r="BH32" s="41"/>
      <c r="BN32" s="43">
        <f t="shared" si="2"/>
        <v>23</v>
      </c>
      <c r="BO32" s="43" t="s">
        <v>20</v>
      </c>
    </row>
    <row r="33" spans="1:67" ht="15" customHeight="1" x14ac:dyDescent="0.5">
      <c r="A33" s="42"/>
      <c r="B33" s="24" t="s">
        <v>253</v>
      </c>
      <c r="M33" s="41"/>
      <c r="N33" s="42"/>
      <c r="O33" s="24" t="s">
        <v>251</v>
      </c>
      <c r="AF33" s="44"/>
      <c r="AG33" s="42"/>
      <c r="AH33" s="24" t="s">
        <v>254</v>
      </c>
      <c r="AY33" s="41"/>
      <c r="AZ33" s="42"/>
      <c r="BA33" s="45" t="str">
        <f t="shared" si="0"/>
        <v>SOL-58081</v>
      </c>
      <c r="BB33" s="45" t="str">
        <f t="shared" si="1"/>
        <v>SOL-58081</v>
      </c>
      <c r="BH33" s="41"/>
      <c r="BN33" s="43">
        <f t="shared" si="2"/>
        <v>24</v>
      </c>
      <c r="BO33" s="43" t="s">
        <v>20</v>
      </c>
    </row>
    <row r="34" spans="1:67" ht="15" customHeight="1" x14ac:dyDescent="0.5">
      <c r="A34" s="42"/>
      <c r="B34" s="24" t="s">
        <v>255</v>
      </c>
      <c r="M34" s="41"/>
      <c r="N34" s="42"/>
      <c r="O34" s="24" t="s">
        <v>251</v>
      </c>
      <c r="AF34" s="44"/>
      <c r="AG34" s="42"/>
      <c r="AH34" s="24" t="s">
        <v>256</v>
      </c>
      <c r="AY34" s="41"/>
      <c r="AZ34" s="42"/>
      <c r="BA34" s="45" t="str">
        <f t="shared" si="0"/>
        <v>SOL-5808</v>
      </c>
      <c r="BB34" s="45" t="str">
        <f t="shared" si="1"/>
        <v>SOL-5808</v>
      </c>
      <c r="BH34" s="41"/>
      <c r="BN34" s="43">
        <f>BN33+1</f>
        <v>25</v>
      </c>
      <c r="BO34" s="43" t="s">
        <v>20</v>
      </c>
    </row>
    <row r="35" spans="1:67" ht="15" customHeight="1" x14ac:dyDescent="0.5">
      <c r="A35" s="42"/>
      <c r="B35" s="24" t="s">
        <v>257</v>
      </c>
      <c r="M35" s="41"/>
      <c r="N35" s="42"/>
      <c r="O35" s="24" t="s">
        <v>258</v>
      </c>
      <c r="AF35" s="41"/>
      <c r="AG35" s="42"/>
      <c r="AH35" s="24" t="s">
        <v>214</v>
      </c>
      <c r="AY35" s="41"/>
      <c r="AZ35" s="42"/>
      <c r="BA35" s="45" t="str">
        <f t="shared" si="0"/>
        <v>SOL-5807</v>
      </c>
      <c r="BB35" s="45" t="str">
        <f t="shared" si="1"/>
        <v>SOL-5807</v>
      </c>
      <c r="BH35" s="41"/>
      <c r="BN35" s="43">
        <f t="shared" si="2"/>
        <v>26</v>
      </c>
      <c r="BO35" s="43" t="s">
        <v>20</v>
      </c>
    </row>
    <row r="36" spans="1:67" ht="15" customHeight="1" x14ac:dyDescent="0.5">
      <c r="A36" s="42"/>
      <c r="B36" s="24" t="s">
        <v>259</v>
      </c>
      <c r="M36" s="41"/>
      <c r="N36" s="42"/>
      <c r="O36" s="24" t="s">
        <v>258</v>
      </c>
      <c r="AF36" s="41"/>
      <c r="AG36" s="42"/>
      <c r="AH36" s="24" t="s">
        <v>216</v>
      </c>
      <c r="AY36" s="41"/>
      <c r="AZ36" s="42"/>
      <c r="BA36" s="45" t="str">
        <f t="shared" si="0"/>
        <v>SOL-5909</v>
      </c>
      <c r="BB36" s="45" t="str">
        <f t="shared" si="1"/>
        <v>SOL-5909</v>
      </c>
      <c r="BH36" s="41"/>
      <c r="BN36" s="43">
        <f t="shared" si="2"/>
        <v>27</v>
      </c>
      <c r="BO36" s="43" t="s">
        <v>20</v>
      </c>
    </row>
    <row r="37" spans="1:67" ht="15" customHeight="1" x14ac:dyDescent="0.5">
      <c r="A37" s="42"/>
      <c r="B37" s="24" t="s">
        <v>260</v>
      </c>
      <c r="M37" s="41"/>
      <c r="N37" s="42"/>
      <c r="O37" s="24" t="s">
        <v>258</v>
      </c>
      <c r="AF37" s="41"/>
      <c r="AG37" s="42"/>
      <c r="AH37" s="24" t="s">
        <v>223</v>
      </c>
      <c r="AY37" s="41"/>
      <c r="AZ37" s="42"/>
      <c r="BA37" s="45" t="str">
        <f t="shared" si="0"/>
        <v>SOL-5910</v>
      </c>
      <c r="BB37" s="45" t="str">
        <f t="shared" si="1"/>
        <v>SOL-5910</v>
      </c>
      <c r="BH37" s="41"/>
      <c r="BN37" s="43">
        <f t="shared" si="2"/>
        <v>28</v>
      </c>
      <c r="BO37" s="43" t="s">
        <v>20</v>
      </c>
    </row>
    <row r="38" spans="1:67" ht="15" customHeight="1" x14ac:dyDescent="0.5">
      <c r="A38" s="42"/>
      <c r="B38" s="24" t="s">
        <v>261</v>
      </c>
      <c r="M38" s="41"/>
      <c r="N38" s="42"/>
      <c r="O38" s="24" t="s">
        <v>258</v>
      </c>
      <c r="AF38" s="41"/>
      <c r="AG38" s="42"/>
      <c r="AH38" s="24" t="s">
        <v>218</v>
      </c>
      <c r="AY38" s="41"/>
      <c r="AZ38" s="42"/>
      <c r="BA38" s="45" t="str">
        <f t="shared" si="0"/>
        <v>SOL-5911</v>
      </c>
      <c r="BB38" s="45" t="str">
        <f t="shared" si="1"/>
        <v>SOL-5911</v>
      </c>
      <c r="BH38" s="41"/>
      <c r="BN38" s="43">
        <f t="shared" si="2"/>
        <v>29</v>
      </c>
      <c r="BO38" s="43" t="s">
        <v>20</v>
      </c>
    </row>
    <row r="39" spans="1:67" ht="15" customHeight="1" x14ac:dyDescent="0.5">
      <c r="A39" s="42"/>
      <c r="B39" s="48" t="s">
        <v>262</v>
      </c>
      <c r="M39" s="41"/>
      <c r="N39" s="42"/>
      <c r="O39" s="24" t="s">
        <v>263</v>
      </c>
      <c r="AF39" s="41"/>
      <c r="AG39" s="42"/>
      <c r="AH39" s="24" t="s">
        <v>214</v>
      </c>
      <c r="AY39" s="41"/>
      <c r="AZ39" s="42"/>
      <c r="BA39" s="45" t="str">
        <f t="shared" si="0"/>
        <v>SOL-6069</v>
      </c>
      <c r="BB39" s="45" t="str">
        <f t="shared" si="1"/>
        <v>SOL-6069</v>
      </c>
      <c r="BH39" s="41"/>
      <c r="BN39" s="43">
        <f t="shared" si="2"/>
        <v>30</v>
      </c>
      <c r="BO39" s="43" t="s">
        <v>20</v>
      </c>
    </row>
    <row r="40" spans="1:67" ht="15" customHeight="1" x14ac:dyDescent="0.5">
      <c r="A40" s="42"/>
      <c r="B40" s="48" t="s">
        <v>264</v>
      </c>
      <c r="M40" s="41"/>
      <c r="N40" s="42"/>
      <c r="O40" s="24" t="s">
        <v>263</v>
      </c>
      <c r="AF40" s="41"/>
      <c r="AG40" s="42"/>
      <c r="AH40" s="24" t="s">
        <v>216</v>
      </c>
      <c r="AY40" s="41"/>
      <c r="AZ40" s="42"/>
      <c r="BA40" s="45" t="str">
        <f t="shared" si="0"/>
        <v>SOL-6067</v>
      </c>
      <c r="BB40" s="45" t="str">
        <f t="shared" si="1"/>
        <v>SOL-6067</v>
      </c>
      <c r="BH40" s="41"/>
      <c r="BN40" s="43">
        <f t="shared" si="2"/>
        <v>31</v>
      </c>
      <c r="BO40" s="43" t="s">
        <v>20</v>
      </c>
    </row>
    <row r="41" spans="1:67" ht="15" customHeight="1" x14ac:dyDescent="0.5">
      <c r="A41" s="42"/>
      <c r="B41" s="48" t="s">
        <v>265</v>
      </c>
      <c r="M41" s="41"/>
      <c r="N41" s="42"/>
      <c r="O41" s="24" t="s">
        <v>263</v>
      </c>
      <c r="AF41" s="41"/>
      <c r="AG41" s="42"/>
      <c r="AH41" s="24" t="s">
        <v>223</v>
      </c>
      <c r="AY41" s="41"/>
      <c r="AZ41" s="42"/>
      <c r="BA41" s="45" t="str">
        <f t="shared" si="0"/>
        <v/>
      </c>
      <c r="BB41" s="45" t="str">
        <f t="shared" si="1"/>
        <v/>
      </c>
      <c r="BH41" s="41"/>
      <c r="BN41" s="43">
        <f t="shared" si="2"/>
        <v>32</v>
      </c>
      <c r="BO41" s="43" t="s">
        <v>20</v>
      </c>
    </row>
    <row r="42" spans="1:67" ht="15" customHeight="1" x14ac:dyDescent="0.5">
      <c r="A42" s="42"/>
      <c r="B42" s="48" t="s">
        <v>266</v>
      </c>
      <c r="M42" s="41"/>
      <c r="N42" s="42"/>
      <c r="O42" s="24" t="s">
        <v>263</v>
      </c>
      <c r="AF42" s="41"/>
      <c r="AG42" s="42"/>
      <c r="AH42" s="24" t="s">
        <v>218</v>
      </c>
      <c r="AY42" s="41"/>
      <c r="AZ42" s="42"/>
      <c r="BA42" s="45" t="str">
        <f t="shared" ref="BA42:BA73" si="3">_xlfn.XLOOKUP(B42,$CN:$CN,$CL:$CL,"")</f>
        <v>SOL-6068</v>
      </c>
      <c r="BB42" s="45" t="str">
        <f t="shared" ref="BB42:BB73" si="4">_xlfn.XLOOKUP(B42,$CN:$CN,$CL:$CL,"")</f>
        <v>SOL-6068</v>
      </c>
      <c r="BH42" s="41"/>
      <c r="BN42" s="43">
        <f t="shared" si="2"/>
        <v>33</v>
      </c>
      <c r="BO42" s="43" t="s">
        <v>20</v>
      </c>
    </row>
    <row r="43" spans="1:67" ht="15" customHeight="1" x14ac:dyDescent="0.5">
      <c r="A43" s="42"/>
      <c r="B43" s="24" t="s">
        <v>267</v>
      </c>
      <c r="M43" s="41"/>
      <c r="N43" s="42"/>
      <c r="O43" s="24" t="s">
        <v>268</v>
      </c>
      <c r="AF43" s="41"/>
      <c r="AG43" s="42"/>
      <c r="AH43" s="24" t="s">
        <v>214</v>
      </c>
      <c r="AY43" s="41"/>
      <c r="AZ43" s="42"/>
      <c r="BA43" s="45" t="str">
        <f t="shared" si="3"/>
        <v>SOL-6070</v>
      </c>
      <c r="BB43" s="45" t="str">
        <f t="shared" si="4"/>
        <v>SOL-6070</v>
      </c>
      <c r="BH43" s="41"/>
      <c r="BN43" s="43">
        <f t="shared" si="2"/>
        <v>34</v>
      </c>
      <c r="BO43" s="43" t="s">
        <v>20</v>
      </c>
    </row>
    <row r="44" spans="1:67" ht="15" customHeight="1" x14ac:dyDescent="0.5">
      <c r="A44" s="42"/>
      <c r="B44" s="24" t="s">
        <v>269</v>
      </c>
      <c r="M44" s="41"/>
      <c r="N44" s="42"/>
      <c r="O44" s="24" t="s">
        <v>268</v>
      </c>
      <c r="AF44" s="41"/>
      <c r="AG44" s="42"/>
      <c r="AH44" s="24" t="s">
        <v>216</v>
      </c>
      <c r="AY44" s="41"/>
      <c r="AZ44" s="42"/>
      <c r="BA44" s="45" t="str">
        <f t="shared" si="3"/>
        <v>SOL-58073</v>
      </c>
      <c r="BB44" s="45" t="str">
        <f t="shared" si="4"/>
        <v>SOL-58073</v>
      </c>
      <c r="BH44" s="41"/>
      <c r="BN44" s="43">
        <f t="shared" si="2"/>
        <v>35</v>
      </c>
      <c r="BO44" s="43" t="s">
        <v>20</v>
      </c>
    </row>
    <row r="45" spans="1:67" ht="15" customHeight="1" x14ac:dyDescent="0.5">
      <c r="A45" s="42"/>
      <c r="B45" s="24" t="s">
        <v>270</v>
      </c>
      <c r="M45" s="41"/>
      <c r="N45" s="42"/>
      <c r="O45" s="24" t="s">
        <v>268</v>
      </c>
      <c r="AF45" s="41"/>
      <c r="AG45" s="42"/>
      <c r="AH45" s="24" t="s">
        <v>218</v>
      </c>
      <c r="AY45" s="44"/>
      <c r="AZ45" s="42"/>
      <c r="BA45" s="45" t="str">
        <f t="shared" si="3"/>
        <v>SOL-58072</v>
      </c>
      <c r="BB45" s="45" t="str">
        <f t="shared" si="4"/>
        <v>SOL-58072</v>
      </c>
      <c r="BH45" s="41"/>
      <c r="BN45" s="43">
        <f t="shared" si="2"/>
        <v>36</v>
      </c>
      <c r="BO45" s="43" t="s">
        <v>20</v>
      </c>
    </row>
    <row r="46" spans="1:67" ht="15" customHeight="1" x14ac:dyDescent="0.5">
      <c r="A46" s="42"/>
      <c r="B46" s="24" t="s">
        <v>271</v>
      </c>
      <c r="M46" s="41"/>
      <c r="N46" s="42"/>
      <c r="O46" s="24" t="s">
        <v>272</v>
      </c>
      <c r="AF46" s="41"/>
      <c r="AG46" s="42"/>
      <c r="AH46" s="24" t="s">
        <v>214</v>
      </c>
      <c r="AY46" s="44"/>
      <c r="AZ46" s="42"/>
      <c r="BA46" s="45" t="str">
        <f t="shared" si="3"/>
        <v>SOL-580712</v>
      </c>
      <c r="BB46" s="45" t="str">
        <f t="shared" si="4"/>
        <v>SOL-580712</v>
      </c>
      <c r="BH46" s="41"/>
      <c r="BN46" s="43">
        <f t="shared" si="2"/>
        <v>37</v>
      </c>
      <c r="BO46" s="43" t="s">
        <v>20</v>
      </c>
    </row>
    <row r="47" spans="1:67" ht="15" customHeight="1" x14ac:dyDescent="0.5">
      <c r="A47" s="42"/>
      <c r="B47" s="24" t="s">
        <v>273</v>
      </c>
      <c r="M47" s="41"/>
      <c r="N47" s="42"/>
      <c r="O47" s="24" t="s">
        <v>272</v>
      </c>
      <c r="AF47" s="41"/>
      <c r="AG47" s="42"/>
      <c r="AH47" s="24" t="s">
        <v>216</v>
      </c>
      <c r="AY47" s="41"/>
      <c r="AZ47" s="42"/>
      <c r="BA47" s="45" t="str">
        <f t="shared" si="3"/>
        <v>SOL-580700</v>
      </c>
      <c r="BB47" s="45" t="str">
        <f t="shared" si="4"/>
        <v>SOL-580700</v>
      </c>
      <c r="BH47" s="41"/>
      <c r="BN47" s="43">
        <f t="shared" si="2"/>
        <v>38</v>
      </c>
      <c r="BO47" s="43" t="s">
        <v>20</v>
      </c>
    </row>
    <row r="48" spans="1:67" ht="15" customHeight="1" x14ac:dyDescent="0.5">
      <c r="A48" s="42"/>
      <c r="B48" s="24" t="s">
        <v>274</v>
      </c>
      <c r="M48" s="41"/>
      <c r="N48" s="42"/>
      <c r="O48" s="24" t="s">
        <v>272</v>
      </c>
      <c r="AF48" s="41"/>
      <c r="AG48" s="42"/>
      <c r="AH48" s="24" t="s">
        <v>223</v>
      </c>
      <c r="AY48" s="44"/>
      <c r="AZ48" s="42"/>
      <c r="BA48" s="45" t="str">
        <f t="shared" si="3"/>
        <v>SOL-580701</v>
      </c>
      <c r="BB48" s="45" t="str">
        <f t="shared" si="4"/>
        <v>SOL-580701</v>
      </c>
      <c r="BH48" s="41"/>
      <c r="BN48" s="43">
        <f t="shared" si="2"/>
        <v>39</v>
      </c>
      <c r="BO48" s="43" t="s">
        <v>20</v>
      </c>
    </row>
    <row r="49" spans="1:67" ht="15" customHeight="1" x14ac:dyDescent="0.5">
      <c r="A49" s="42"/>
      <c r="B49" s="24" t="s">
        <v>275</v>
      </c>
      <c r="M49" s="41"/>
      <c r="N49" s="42"/>
      <c r="O49" s="24" t="s">
        <v>272</v>
      </c>
      <c r="AF49" s="41"/>
      <c r="AG49" s="42"/>
      <c r="AH49" s="24" t="s">
        <v>218</v>
      </c>
      <c r="AY49" s="41"/>
      <c r="AZ49" s="42"/>
      <c r="BA49" s="45" t="str">
        <f t="shared" si="3"/>
        <v>SOL-580711</v>
      </c>
      <c r="BB49" s="45" t="str">
        <f t="shared" si="4"/>
        <v>SOL-580711</v>
      </c>
      <c r="BH49" s="41"/>
      <c r="BN49" s="43">
        <f t="shared" si="2"/>
        <v>40</v>
      </c>
      <c r="BO49" s="43" t="s">
        <v>20</v>
      </c>
    </row>
    <row r="50" spans="1:67" ht="15" customHeight="1" x14ac:dyDescent="0.5">
      <c r="A50" s="42"/>
      <c r="B50" s="24" t="s">
        <v>276</v>
      </c>
      <c r="M50" s="41"/>
      <c r="N50" s="42"/>
      <c r="O50" s="24" t="s">
        <v>277</v>
      </c>
      <c r="AF50" s="41"/>
      <c r="AG50" s="42"/>
      <c r="AH50" s="24" t="s">
        <v>214</v>
      </c>
      <c r="AY50" s="41"/>
      <c r="AZ50" s="42"/>
      <c r="BA50" s="45" t="str">
        <f t="shared" si="3"/>
        <v>SOL-6071</v>
      </c>
      <c r="BB50" s="45" t="str">
        <f t="shared" si="4"/>
        <v>SOL-6071</v>
      </c>
      <c r="BH50" s="41"/>
      <c r="BN50" s="43">
        <f t="shared" si="2"/>
        <v>41</v>
      </c>
      <c r="BO50" s="43" t="s">
        <v>20</v>
      </c>
    </row>
    <row r="51" spans="1:67" ht="15" customHeight="1" x14ac:dyDescent="0.5">
      <c r="A51" s="42"/>
      <c r="B51" s="24" t="s">
        <v>278</v>
      </c>
      <c r="M51" s="41"/>
      <c r="N51" s="42"/>
      <c r="O51" s="24" t="s">
        <v>277</v>
      </c>
      <c r="AF51" s="41"/>
      <c r="AG51" s="42"/>
      <c r="AH51" s="24" t="s">
        <v>216</v>
      </c>
      <c r="AY51" s="41"/>
      <c r="AZ51" s="42"/>
      <c r="BA51" s="45" t="str">
        <f t="shared" si="3"/>
        <v>SOL-5940</v>
      </c>
      <c r="BB51" s="45" t="str">
        <f t="shared" si="4"/>
        <v>SOL-5940</v>
      </c>
      <c r="BH51" s="41"/>
      <c r="BN51" s="43">
        <f t="shared" si="2"/>
        <v>42</v>
      </c>
      <c r="BO51" s="43" t="s">
        <v>20</v>
      </c>
    </row>
    <row r="52" spans="1:67" ht="15" customHeight="1" x14ac:dyDescent="0.5">
      <c r="A52" s="42"/>
      <c r="B52" s="24" t="s">
        <v>279</v>
      </c>
      <c r="M52" s="41"/>
      <c r="N52" s="42"/>
      <c r="O52" s="24" t="s">
        <v>277</v>
      </c>
      <c r="AF52" s="41"/>
      <c r="AG52" s="42"/>
      <c r="AH52" s="24" t="s">
        <v>223</v>
      </c>
      <c r="AY52" s="41"/>
      <c r="AZ52" s="42"/>
      <c r="BA52" s="45" t="str">
        <f t="shared" si="3"/>
        <v>SOL-59402</v>
      </c>
      <c r="BB52" s="45" t="str">
        <f t="shared" si="4"/>
        <v>SOL-59402</v>
      </c>
      <c r="BH52" s="41"/>
      <c r="BN52" s="43">
        <f t="shared" si="2"/>
        <v>43</v>
      </c>
      <c r="BO52" s="43" t="s">
        <v>20</v>
      </c>
    </row>
    <row r="53" spans="1:67" ht="15" customHeight="1" x14ac:dyDescent="0.5">
      <c r="A53" s="42"/>
      <c r="B53" s="24" t="s">
        <v>280</v>
      </c>
      <c r="M53" s="41"/>
      <c r="N53" s="42"/>
      <c r="O53" s="24" t="s">
        <v>277</v>
      </c>
      <c r="AF53" s="41"/>
      <c r="AG53" s="42"/>
      <c r="AH53" s="24" t="s">
        <v>218</v>
      </c>
      <c r="AY53" s="41"/>
      <c r="AZ53" s="42"/>
      <c r="BA53" s="45" t="str">
        <f t="shared" si="3"/>
        <v>SOL-59401</v>
      </c>
      <c r="BB53" s="45" t="str">
        <f t="shared" si="4"/>
        <v>SOL-59401</v>
      </c>
      <c r="BH53" s="41"/>
      <c r="BN53" s="43">
        <f t="shared" si="2"/>
        <v>44</v>
      </c>
      <c r="BO53" s="43" t="s">
        <v>20</v>
      </c>
    </row>
    <row r="54" spans="1:67" ht="15" customHeight="1" x14ac:dyDescent="0.5">
      <c r="A54" s="42"/>
      <c r="B54" s="24" t="s">
        <v>281</v>
      </c>
      <c r="M54" s="41"/>
      <c r="N54" s="42"/>
      <c r="O54" s="24" t="s">
        <v>282</v>
      </c>
      <c r="AF54" s="41"/>
      <c r="AG54" s="42"/>
      <c r="AH54" s="24" t="s">
        <v>214</v>
      </c>
      <c r="AY54" s="41"/>
      <c r="AZ54" s="42"/>
      <c r="BA54" s="45" t="str">
        <f t="shared" si="3"/>
        <v>SOL-58071</v>
      </c>
      <c r="BB54" s="45" t="str">
        <f t="shared" si="4"/>
        <v>SOL-58071</v>
      </c>
      <c r="BH54" s="41"/>
      <c r="BN54" s="43">
        <f t="shared" si="2"/>
        <v>45</v>
      </c>
      <c r="BO54" s="43" t="s">
        <v>20</v>
      </c>
    </row>
    <row r="55" spans="1:67" ht="15" customHeight="1" x14ac:dyDescent="0.5">
      <c r="A55" s="42"/>
      <c r="B55" s="24" t="s">
        <v>283</v>
      </c>
      <c r="M55" s="41"/>
      <c r="N55" s="42"/>
      <c r="O55" s="24" t="s">
        <v>282</v>
      </c>
      <c r="AF55" s="41"/>
      <c r="AG55" s="42"/>
      <c r="AH55" s="24" t="s">
        <v>216</v>
      </c>
      <c r="AY55" s="41"/>
      <c r="AZ55" s="42"/>
      <c r="BA55" s="45" t="str">
        <f t="shared" si="3"/>
        <v>SOL-6072</v>
      </c>
      <c r="BB55" s="45" t="str">
        <f t="shared" si="4"/>
        <v>SOL-6072</v>
      </c>
      <c r="BH55" s="41"/>
      <c r="BN55" s="43">
        <f t="shared" si="2"/>
        <v>46</v>
      </c>
      <c r="BO55" s="43" t="s">
        <v>20</v>
      </c>
    </row>
    <row r="56" spans="1:67" ht="15" customHeight="1" x14ac:dyDescent="0.5">
      <c r="A56" s="42"/>
      <c r="B56" s="24" t="s">
        <v>284</v>
      </c>
      <c r="M56" s="41"/>
      <c r="N56" s="42"/>
      <c r="O56" s="24" t="s">
        <v>282</v>
      </c>
      <c r="AF56" s="41"/>
      <c r="AG56" s="42"/>
      <c r="AH56" s="24" t="s">
        <v>218</v>
      </c>
      <c r="AY56" s="44"/>
      <c r="AZ56" s="42"/>
      <c r="BA56" s="45">
        <f t="shared" si="3"/>
        <v>0</v>
      </c>
      <c r="BB56" s="45">
        <f t="shared" si="4"/>
        <v>0</v>
      </c>
      <c r="BH56" s="41"/>
      <c r="BN56" s="43">
        <f t="shared" si="2"/>
        <v>47</v>
      </c>
      <c r="BO56" s="43" t="s">
        <v>20</v>
      </c>
    </row>
    <row r="57" spans="1:67" ht="15" customHeight="1" x14ac:dyDescent="0.5">
      <c r="A57" s="42"/>
      <c r="B57" s="24" t="s">
        <v>285</v>
      </c>
      <c r="M57" s="41"/>
      <c r="N57" s="42"/>
      <c r="O57" s="24" t="s">
        <v>286</v>
      </c>
      <c r="AF57" s="41"/>
      <c r="AG57" s="42"/>
      <c r="AH57" s="24" t="s">
        <v>216</v>
      </c>
      <c r="AY57" s="44"/>
      <c r="AZ57" s="42"/>
      <c r="BA57" s="45">
        <f t="shared" si="3"/>
        <v>0</v>
      </c>
      <c r="BB57" s="45">
        <f t="shared" si="4"/>
        <v>0</v>
      </c>
      <c r="BH57" s="41"/>
      <c r="BN57" s="43">
        <f t="shared" si="2"/>
        <v>48</v>
      </c>
      <c r="BO57" s="43" t="s">
        <v>20</v>
      </c>
    </row>
    <row r="58" spans="1:67" ht="15" customHeight="1" x14ac:dyDescent="0.5">
      <c r="A58" s="42"/>
      <c r="B58" s="24" t="s">
        <v>287</v>
      </c>
      <c r="M58" s="41"/>
      <c r="N58" s="42"/>
      <c r="O58" s="24" t="s">
        <v>286</v>
      </c>
      <c r="AF58" s="41"/>
      <c r="AG58" s="42"/>
      <c r="AH58" s="24" t="s">
        <v>223</v>
      </c>
      <c r="AY58" s="41"/>
      <c r="AZ58" s="42"/>
      <c r="BA58" s="45" t="str">
        <f t="shared" si="3"/>
        <v>SOL-580703</v>
      </c>
      <c r="BB58" s="45" t="str">
        <f t="shared" si="4"/>
        <v>SOL-580703</v>
      </c>
      <c r="BH58" s="41"/>
      <c r="BN58" s="43">
        <f t="shared" si="2"/>
        <v>49</v>
      </c>
      <c r="BO58" s="43" t="s">
        <v>20</v>
      </c>
    </row>
    <row r="59" spans="1:67" ht="15" customHeight="1" x14ac:dyDescent="0.5">
      <c r="A59" s="42"/>
      <c r="B59" s="24" t="s">
        <v>288</v>
      </c>
      <c r="M59" s="41"/>
      <c r="N59" s="42"/>
      <c r="O59" s="24" t="s">
        <v>289</v>
      </c>
      <c r="AF59" s="41"/>
      <c r="AG59" s="42"/>
      <c r="AH59" s="24" t="s">
        <v>214</v>
      </c>
      <c r="AY59" s="44"/>
      <c r="AZ59" s="42"/>
      <c r="BA59" s="45" t="str">
        <f t="shared" si="3"/>
        <v/>
      </c>
      <c r="BB59" s="45" t="str">
        <f t="shared" si="4"/>
        <v/>
      </c>
      <c r="BH59" s="41"/>
      <c r="BN59" s="43">
        <f t="shared" si="2"/>
        <v>50</v>
      </c>
      <c r="BO59" s="43" t="s">
        <v>20</v>
      </c>
    </row>
    <row r="60" spans="1:67" ht="15" customHeight="1" x14ac:dyDescent="0.5">
      <c r="A60" s="42"/>
      <c r="B60" s="24" t="s">
        <v>290</v>
      </c>
      <c r="M60" s="41"/>
      <c r="N60" s="42"/>
      <c r="O60" s="24" t="s">
        <v>289</v>
      </c>
      <c r="AF60" s="41"/>
      <c r="AG60" s="42"/>
      <c r="AH60" s="24" t="s">
        <v>291</v>
      </c>
      <c r="AY60" s="41"/>
      <c r="AZ60" s="42"/>
      <c r="BA60" s="45" t="str">
        <f t="shared" si="3"/>
        <v/>
      </c>
      <c r="BB60" s="45" t="str">
        <f t="shared" si="4"/>
        <v/>
      </c>
      <c r="BH60" s="41"/>
      <c r="BN60" s="43">
        <f t="shared" si="2"/>
        <v>51</v>
      </c>
      <c r="BO60" s="43" t="s">
        <v>20</v>
      </c>
    </row>
    <row r="61" spans="1:67" ht="15" customHeight="1" x14ac:dyDescent="0.5">
      <c r="A61" s="42"/>
      <c r="B61" s="24" t="s">
        <v>292</v>
      </c>
      <c r="M61" s="41"/>
      <c r="N61" s="42"/>
      <c r="O61" s="24" t="s">
        <v>289</v>
      </c>
      <c r="AF61" s="41"/>
      <c r="AG61" s="42"/>
      <c r="AH61" s="24" t="s">
        <v>293</v>
      </c>
      <c r="AY61" s="41"/>
      <c r="AZ61" s="42"/>
      <c r="BA61" s="45" t="str">
        <f t="shared" si="3"/>
        <v>SOL-580391</v>
      </c>
      <c r="BB61" s="45" t="str">
        <f t="shared" si="4"/>
        <v>SOL-580391</v>
      </c>
      <c r="BH61" s="41"/>
      <c r="BN61" s="43">
        <f t="shared" si="2"/>
        <v>52</v>
      </c>
      <c r="BO61" s="43" t="s">
        <v>20</v>
      </c>
    </row>
    <row r="62" spans="1:67" ht="15" customHeight="1" x14ac:dyDescent="0.5">
      <c r="A62" s="42"/>
      <c r="B62" s="24" t="s">
        <v>294</v>
      </c>
      <c r="M62" s="41"/>
      <c r="N62" s="42"/>
      <c r="O62" s="24" t="s">
        <v>289</v>
      </c>
      <c r="AF62" s="41"/>
      <c r="AG62" s="42"/>
      <c r="AH62" s="24" t="s">
        <v>216</v>
      </c>
      <c r="AY62" s="41"/>
      <c r="AZ62" s="42"/>
      <c r="BA62" s="45" t="str">
        <f t="shared" si="3"/>
        <v/>
      </c>
      <c r="BB62" s="45" t="str">
        <f t="shared" si="4"/>
        <v/>
      </c>
      <c r="BH62" s="41"/>
      <c r="BN62" s="43">
        <f t="shared" si="2"/>
        <v>53</v>
      </c>
      <c r="BO62" s="43" t="s">
        <v>20</v>
      </c>
    </row>
    <row r="63" spans="1:67" ht="15" customHeight="1" x14ac:dyDescent="0.5">
      <c r="A63" s="42"/>
      <c r="B63" s="24" t="s">
        <v>295</v>
      </c>
      <c r="M63" s="41"/>
      <c r="N63" s="42"/>
      <c r="O63" s="24" t="s">
        <v>289</v>
      </c>
      <c r="AF63" s="41"/>
      <c r="AG63" s="42"/>
      <c r="AH63" s="24" t="s">
        <v>296</v>
      </c>
      <c r="AY63" s="41"/>
      <c r="AZ63" s="42"/>
      <c r="BA63" s="45" t="str">
        <f t="shared" si="3"/>
        <v/>
      </c>
      <c r="BB63" s="45" t="str">
        <f t="shared" si="4"/>
        <v/>
      </c>
      <c r="BH63" s="41"/>
      <c r="BN63" s="43">
        <f t="shared" si="2"/>
        <v>54</v>
      </c>
      <c r="BO63" s="43" t="s">
        <v>20</v>
      </c>
    </row>
    <row r="64" spans="1:67" ht="15" customHeight="1" x14ac:dyDescent="0.5">
      <c r="A64" s="42"/>
      <c r="B64" s="24" t="s">
        <v>297</v>
      </c>
      <c r="M64" s="41"/>
      <c r="N64" s="42"/>
      <c r="O64" s="24" t="s">
        <v>289</v>
      </c>
      <c r="AF64" s="41"/>
      <c r="AG64" s="42"/>
      <c r="AH64" s="24" t="s">
        <v>298</v>
      </c>
      <c r="AY64" s="41"/>
      <c r="AZ64" s="42"/>
      <c r="BA64" s="45" t="str">
        <f t="shared" si="3"/>
        <v/>
      </c>
      <c r="BB64" s="45" t="str">
        <f t="shared" si="4"/>
        <v/>
      </c>
      <c r="BH64" s="41"/>
      <c r="BN64" s="43">
        <f t="shared" si="2"/>
        <v>55</v>
      </c>
      <c r="BO64" s="43" t="s">
        <v>20</v>
      </c>
    </row>
    <row r="65" spans="1:67" ht="15" customHeight="1" x14ac:dyDescent="0.5">
      <c r="A65" s="42"/>
      <c r="B65" s="24" t="s">
        <v>299</v>
      </c>
      <c r="M65" s="41"/>
      <c r="N65" s="42"/>
      <c r="O65" s="24" t="s">
        <v>289</v>
      </c>
      <c r="AF65" s="41"/>
      <c r="AG65" s="42"/>
      <c r="AH65" s="24" t="s">
        <v>218</v>
      </c>
      <c r="AY65" s="41"/>
      <c r="AZ65" s="42"/>
      <c r="BA65" s="45" t="str">
        <f t="shared" si="3"/>
        <v/>
      </c>
      <c r="BB65" s="45" t="str">
        <f t="shared" si="4"/>
        <v/>
      </c>
      <c r="BH65" s="41"/>
      <c r="BN65" s="43">
        <f t="shared" si="2"/>
        <v>56</v>
      </c>
      <c r="BO65" s="43" t="s">
        <v>20</v>
      </c>
    </row>
    <row r="66" spans="1:67" ht="15" customHeight="1" x14ac:dyDescent="0.5">
      <c r="A66" s="42"/>
      <c r="B66" s="24" t="s">
        <v>300</v>
      </c>
      <c r="M66" s="41"/>
      <c r="N66" s="42"/>
      <c r="O66" s="24" t="s">
        <v>289</v>
      </c>
      <c r="AF66" s="41"/>
      <c r="AG66" s="42"/>
      <c r="AH66" s="24" t="s">
        <v>301</v>
      </c>
      <c r="AY66" s="41"/>
      <c r="AZ66" s="42"/>
      <c r="BA66" s="45" t="str">
        <f t="shared" si="3"/>
        <v/>
      </c>
      <c r="BB66" s="45" t="str">
        <f t="shared" si="4"/>
        <v/>
      </c>
      <c r="BH66" s="41"/>
      <c r="BN66" s="43">
        <f t="shared" si="2"/>
        <v>57</v>
      </c>
      <c r="BO66" s="43" t="s">
        <v>20</v>
      </c>
    </row>
    <row r="67" spans="1:67" ht="15" customHeight="1" x14ac:dyDescent="0.5">
      <c r="A67" s="42"/>
      <c r="B67" s="24" t="s">
        <v>302</v>
      </c>
      <c r="M67" s="41"/>
      <c r="N67" s="42"/>
      <c r="O67" s="24" t="s">
        <v>289</v>
      </c>
      <c r="AF67" s="44"/>
      <c r="AG67" s="42"/>
      <c r="AH67" s="24" t="s">
        <v>303</v>
      </c>
      <c r="AY67" s="41"/>
      <c r="AZ67" s="42"/>
      <c r="BA67" s="45" t="str">
        <f t="shared" si="3"/>
        <v/>
      </c>
      <c r="BB67" s="45" t="str">
        <f t="shared" si="4"/>
        <v/>
      </c>
      <c r="BH67" s="41"/>
      <c r="BN67" s="43">
        <f t="shared" si="2"/>
        <v>58</v>
      </c>
      <c r="BO67" s="43" t="s">
        <v>20</v>
      </c>
    </row>
    <row r="68" spans="1:67" ht="15" customHeight="1" x14ac:dyDescent="0.5">
      <c r="A68" s="42"/>
      <c r="B68" s="24" t="s">
        <v>304</v>
      </c>
      <c r="M68" s="41"/>
      <c r="N68" s="42"/>
      <c r="O68" s="24" t="s">
        <v>289</v>
      </c>
      <c r="AF68" s="44"/>
      <c r="AG68" s="42"/>
      <c r="AH68" s="24" t="s">
        <v>305</v>
      </c>
      <c r="AY68" s="44"/>
      <c r="AZ68" s="42"/>
      <c r="BA68" s="45" t="str">
        <f t="shared" si="3"/>
        <v/>
      </c>
      <c r="BB68" s="45" t="str">
        <f t="shared" si="4"/>
        <v/>
      </c>
      <c r="BH68" s="41"/>
      <c r="BN68" s="43">
        <f t="shared" si="2"/>
        <v>59</v>
      </c>
      <c r="BO68" s="43" t="s">
        <v>20</v>
      </c>
    </row>
    <row r="69" spans="1:67" ht="15" customHeight="1" x14ac:dyDescent="0.5">
      <c r="A69" s="42"/>
      <c r="B69" s="24" t="s">
        <v>306</v>
      </c>
      <c r="M69" s="41"/>
      <c r="N69" s="42"/>
      <c r="O69" s="24" t="s">
        <v>289</v>
      </c>
      <c r="AF69" s="44"/>
      <c r="AG69" s="42"/>
      <c r="AH69" s="24" t="s">
        <v>307</v>
      </c>
      <c r="AY69" s="44"/>
      <c r="AZ69" s="42"/>
      <c r="BA69" s="45" t="str">
        <f t="shared" si="3"/>
        <v>SOL-58042</v>
      </c>
      <c r="BB69" s="45" t="str">
        <f t="shared" si="4"/>
        <v>SOL-58042</v>
      </c>
      <c r="BH69" s="41"/>
      <c r="BN69" s="43">
        <f t="shared" si="2"/>
        <v>60</v>
      </c>
      <c r="BO69" s="43" t="s">
        <v>20</v>
      </c>
    </row>
    <row r="70" spans="1:67" ht="15" customHeight="1" x14ac:dyDescent="0.5">
      <c r="A70" s="42"/>
      <c r="B70" s="24" t="s">
        <v>308</v>
      </c>
      <c r="M70" s="41"/>
      <c r="N70" s="42"/>
      <c r="O70" s="24" t="s">
        <v>309</v>
      </c>
      <c r="AF70" s="44"/>
      <c r="AG70" s="42"/>
      <c r="AH70" s="24" t="s">
        <v>223</v>
      </c>
      <c r="AY70" s="44"/>
      <c r="AZ70" s="42"/>
      <c r="BA70" s="45" t="str">
        <f t="shared" si="3"/>
        <v/>
      </c>
      <c r="BB70" s="45" t="str">
        <f t="shared" si="4"/>
        <v/>
      </c>
      <c r="BH70" s="41"/>
      <c r="BN70" s="43">
        <f t="shared" si="2"/>
        <v>61</v>
      </c>
      <c r="BO70" s="43" t="s">
        <v>20</v>
      </c>
    </row>
    <row r="71" spans="1:67" ht="15" customHeight="1" x14ac:dyDescent="0.5">
      <c r="A71" s="42"/>
      <c r="B71" s="24" t="s">
        <v>310</v>
      </c>
      <c r="M71" s="41"/>
      <c r="N71" s="42"/>
      <c r="O71" s="24" t="s">
        <v>311</v>
      </c>
      <c r="AF71" s="41"/>
      <c r="AG71" s="42"/>
      <c r="AH71" s="24" t="s">
        <v>312</v>
      </c>
      <c r="AY71" s="44"/>
      <c r="AZ71" s="42"/>
      <c r="BA71" s="45" t="str">
        <f t="shared" si="3"/>
        <v>SOL-5800</v>
      </c>
      <c r="BB71" s="45" t="str">
        <f t="shared" si="4"/>
        <v>SOL-5800</v>
      </c>
      <c r="BH71" s="41"/>
      <c r="BN71" s="43">
        <f t="shared" si="2"/>
        <v>62</v>
      </c>
      <c r="BO71" s="43" t="s">
        <v>20</v>
      </c>
    </row>
    <row r="72" spans="1:67" ht="15" customHeight="1" x14ac:dyDescent="0.5">
      <c r="A72" s="42"/>
      <c r="B72" s="24" t="s">
        <v>313</v>
      </c>
      <c r="M72" s="41"/>
      <c r="N72" s="42"/>
      <c r="O72" s="24" t="s">
        <v>314</v>
      </c>
      <c r="AF72" s="41"/>
      <c r="AG72" s="42"/>
      <c r="AH72" s="24" t="s">
        <v>315</v>
      </c>
      <c r="AY72" s="44"/>
      <c r="AZ72" s="42"/>
      <c r="BA72" s="45" t="str">
        <f t="shared" si="3"/>
        <v>SOL-58011</v>
      </c>
      <c r="BB72" s="45" t="str">
        <f t="shared" si="4"/>
        <v>SOL-58011</v>
      </c>
      <c r="BH72" s="41"/>
      <c r="BN72" s="43">
        <f t="shared" si="2"/>
        <v>63</v>
      </c>
      <c r="BO72" s="43" t="s">
        <v>20</v>
      </c>
    </row>
    <row r="73" spans="1:67" ht="15" customHeight="1" x14ac:dyDescent="0.5">
      <c r="A73" s="42"/>
      <c r="B73" s="24" t="s">
        <v>316</v>
      </c>
      <c r="M73" s="41"/>
      <c r="N73" s="42"/>
      <c r="O73" s="24" t="s">
        <v>314</v>
      </c>
      <c r="AF73" s="41"/>
      <c r="AG73" s="42"/>
      <c r="AH73" s="24" t="s">
        <v>317</v>
      </c>
      <c r="AY73" s="44"/>
      <c r="AZ73" s="42"/>
      <c r="BA73" s="45" t="str">
        <f t="shared" si="3"/>
        <v>SOL-5802</v>
      </c>
      <c r="BB73" s="45" t="str">
        <f t="shared" si="4"/>
        <v>SOL-5802</v>
      </c>
      <c r="BH73" s="41"/>
      <c r="BN73" s="43">
        <f t="shared" si="2"/>
        <v>64</v>
      </c>
      <c r="BO73" s="43" t="s">
        <v>20</v>
      </c>
    </row>
    <row r="74" spans="1:67" ht="15" customHeight="1" x14ac:dyDescent="0.5">
      <c r="A74" s="42"/>
      <c r="B74" s="24" t="s">
        <v>318</v>
      </c>
      <c r="M74" s="41"/>
      <c r="N74" s="42"/>
      <c r="O74" s="24" t="s">
        <v>314</v>
      </c>
      <c r="AF74" s="44"/>
      <c r="AG74" s="42"/>
      <c r="AH74" s="24" t="s">
        <v>319</v>
      </c>
      <c r="AY74" s="44"/>
      <c r="AZ74" s="42"/>
      <c r="BA74" s="45" t="str">
        <f t="shared" ref="BA74:BA105" si="5">_xlfn.XLOOKUP(B74,$CN:$CN,$CL:$CL,"")</f>
        <v>SOL-5803</v>
      </c>
      <c r="BB74" s="45" t="str">
        <f t="shared" ref="BB74:BB105" si="6">_xlfn.XLOOKUP(B74,$CN:$CN,$CL:$CL,"")</f>
        <v>SOL-5803</v>
      </c>
      <c r="BH74" s="41"/>
      <c r="BN74" s="43">
        <f t="shared" si="2"/>
        <v>65</v>
      </c>
      <c r="BO74" s="43" t="s">
        <v>20</v>
      </c>
    </row>
    <row r="75" spans="1:67" ht="15" customHeight="1" x14ac:dyDescent="0.5">
      <c r="A75" s="42"/>
      <c r="B75" s="24" t="s">
        <v>320</v>
      </c>
      <c r="M75" s="41"/>
      <c r="N75" s="42"/>
      <c r="O75" s="24" t="s">
        <v>314</v>
      </c>
      <c r="AF75" s="44"/>
      <c r="AG75" s="42"/>
      <c r="AH75" s="24" t="s">
        <v>321</v>
      </c>
      <c r="AY75" s="44"/>
      <c r="AZ75" s="42"/>
      <c r="BA75" s="45" t="str">
        <f t="shared" si="5"/>
        <v>SOL-580301</v>
      </c>
      <c r="BB75" s="45" t="str">
        <f t="shared" si="6"/>
        <v>SOL-580301</v>
      </c>
      <c r="BH75" s="41"/>
      <c r="BN75" s="43">
        <f t="shared" si="2"/>
        <v>66</v>
      </c>
      <c r="BO75" s="43" t="s">
        <v>20</v>
      </c>
    </row>
    <row r="76" spans="1:67" ht="15" customHeight="1" x14ac:dyDescent="0.5">
      <c r="A76" s="42"/>
      <c r="B76" s="24" t="s">
        <v>322</v>
      </c>
      <c r="M76" s="41"/>
      <c r="N76" s="42"/>
      <c r="O76" s="24" t="s">
        <v>314</v>
      </c>
      <c r="AF76" s="44"/>
      <c r="AG76" s="42"/>
      <c r="AH76" s="24" t="s">
        <v>323</v>
      </c>
      <c r="AY76" s="44"/>
      <c r="AZ76" s="42"/>
      <c r="BA76" s="45" t="str">
        <f t="shared" si="5"/>
        <v>SOL-58030</v>
      </c>
      <c r="BB76" s="45" t="str">
        <f t="shared" si="6"/>
        <v>SOL-58030</v>
      </c>
      <c r="BH76" s="41"/>
      <c r="BN76" s="43">
        <f t="shared" ref="BN76:BN139" si="7">BN75+1</f>
        <v>67</v>
      </c>
      <c r="BO76" s="43" t="s">
        <v>20</v>
      </c>
    </row>
    <row r="77" spans="1:67" ht="15" customHeight="1" x14ac:dyDescent="0.5">
      <c r="A77" s="42"/>
      <c r="B77" s="24" t="s">
        <v>324</v>
      </c>
      <c r="M77" s="41"/>
      <c r="N77" s="42"/>
      <c r="O77" s="24" t="s">
        <v>314</v>
      </c>
      <c r="AF77" s="44"/>
      <c r="AG77" s="42"/>
      <c r="AH77" s="24" t="s">
        <v>325</v>
      </c>
      <c r="AY77" s="44"/>
      <c r="AZ77" s="42"/>
      <c r="BA77" s="45" t="str">
        <f t="shared" si="5"/>
        <v/>
      </c>
      <c r="BB77" s="45" t="str">
        <f t="shared" si="6"/>
        <v/>
      </c>
      <c r="BH77" s="41"/>
      <c r="BN77" s="43">
        <f t="shared" si="7"/>
        <v>68</v>
      </c>
      <c r="BO77" s="43" t="s">
        <v>20</v>
      </c>
    </row>
    <row r="78" spans="1:67" ht="15" customHeight="1" x14ac:dyDescent="0.5">
      <c r="A78" s="42"/>
      <c r="B78" s="24" t="s">
        <v>326</v>
      </c>
      <c r="M78" s="41"/>
      <c r="N78" s="42"/>
      <c r="O78" s="24" t="s">
        <v>314</v>
      </c>
      <c r="AF78" s="44"/>
      <c r="AG78" s="42"/>
      <c r="AH78" s="24" t="s">
        <v>327</v>
      </c>
      <c r="AY78" s="41"/>
      <c r="AZ78" s="42"/>
      <c r="BA78" s="45" t="str">
        <f t="shared" si="5"/>
        <v/>
      </c>
      <c r="BB78" s="45" t="str">
        <f t="shared" si="6"/>
        <v/>
      </c>
      <c r="BH78" s="41"/>
      <c r="BN78" s="43">
        <f t="shared" si="7"/>
        <v>69</v>
      </c>
      <c r="BO78" s="43" t="s">
        <v>20</v>
      </c>
    </row>
    <row r="79" spans="1:67" ht="15" customHeight="1" x14ac:dyDescent="0.5">
      <c r="A79" s="42"/>
      <c r="B79" s="24" t="s">
        <v>328</v>
      </c>
      <c r="M79" s="41"/>
      <c r="N79" s="42"/>
      <c r="O79" s="24" t="s">
        <v>329</v>
      </c>
      <c r="AF79" s="44"/>
      <c r="AG79" s="42"/>
      <c r="AH79" s="24" t="s">
        <v>330</v>
      </c>
      <c r="AY79" s="41"/>
      <c r="AZ79" s="42"/>
      <c r="BA79" s="45" t="str">
        <f t="shared" si="5"/>
        <v>SOL-5801</v>
      </c>
      <c r="BB79" s="45" t="str">
        <f t="shared" si="6"/>
        <v>SOL-5801</v>
      </c>
      <c r="BH79" s="41"/>
      <c r="BN79" s="43">
        <f t="shared" si="7"/>
        <v>70</v>
      </c>
      <c r="BO79" s="43" t="s">
        <v>20</v>
      </c>
    </row>
    <row r="80" spans="1:67" ht="15" customHeight="1" x14ac:dyDescent="0.5">
      <c r="A80" s="42"/>
      <c r="B80" s="24" t="s">
        <v>331</v>
      </c>
      <c r="M80" s="41"/>
      <c r="N80" s="42"/>
      <c r="O80" s="24" t="s">
        <v>329</v>
      </c>
      <c r="AF80" s="44"/>
      <c r="AG80" s="42"/>
      <c r="AH80" s="24" t="s">
        <v>321</v>
      </c>
      <c r="AY80" s="41"/>
      <c r="AZ80" s="42"/>
      <c r="BA80" s="45" t="str">
        <f t="shared" si="5"/>
        <v>SOL-580101</v>
      </c>
      <c r="BB80" s="45" t="str">
        <f t="shared" si="6"/>
        <v>SOL-580101</v>
      </c>
      <c r="BH80" s="41"/>
      <c r="BN80" s="43">
        <f t="shared" si="7"/>
        <v>71</v>
      </c>
      <c r="BO80" s="43" t="s">
        <v>20</v>
      </c>
    </row>
    <row r="81" spans="1:67" ht="15" customHeight="1" x14ac:dyDescent="0.5">
      <c r="A81" s="42"/>
      <c r="B81" s="24" t="s">
        <v>332</v>
      </c>
      <c r="M81" s="41"/>
      <c r="N81" s="42"/>
      <c r="O81" s="24" t="s">
        <v>329</v>
      </c>
      <c r="AF81" s="44"/>
      <c r="AG81" s="42"/>
      <c r="AH81" s="24" t="s">
        <v>323</v>
      </c>
      <c r="AY81" s="41"/>
      <c r="AZ81" s="42"/>
      <c r="BA81" s="45" t="str">
        <f t="shared" si="5"/>
        <v>SOL-58010</v>
      </c>
      <c r="BB81" s="45" t="str">
        <f t="shared" si="6"/>
        <v>SOL-58010</v>
      </c>
      <c r="BH81" s="41"/>
      <c r="BN81" s="43">
        <f t="shared" si="7"/>
        <v>72</v>
      </c>
      <c r="BO81" s="43" t="s">
        <v>20</v>
      </c>
    </row>
    <row r="82" spans="1:67" ht="15" customHeight="1" x14ac:dyDescent="0.5">
      <c r="A82" s="42"/>
      <c r="B82" s="24" t="s">
        <v>333</v>
      </c>
      <c r="M82" s="41"/>
      <c r="N82" s="42"/>
      <c r="O82" s="24" t="s">
        <v>329</v>
      </c>
      <c r="AF82" s="44"/>
      <c r="AG82" s="42"/>
      <c r="AH82" s="24" t="s">
        <v>325</v>
      </c>
      <c r="AY82" s="41"/>
      <c r="AZ82" s="42"/>
      <c r="BA82" s="45" t="str">
        <f t="shared" si="5"/>
        <v/>
      </c>
      <c r="BB82" s="45" t="str">
        <f t="shared" si="6"/>
        <v/>
      </c>
      <c r="BH82" s="41"/>
      <c r="BN82" s="43">
        <f t="shared" si="7"/>
        <v>73</v>
      </c>
      <c r="BO82" s="43" t="s">
        <v>20</v>
      </c>
    </row>
    <row r="83" spans="1:67" ht="15" customHeight="1" x14ac:dyDescent="0.5">
      <c r="A83" s="42"/>
      <c r="B83" s="24" t="s">
        <v>334</v>
      </c>
      <c r="M83" s="41"/>
      <c r="N83" s="42"/>
      <c r="O83" s="24" t="s">
        <v>329</v>
      </c>
      <c r="AF83" s="44"/>
      <c r="AG83" s="42"/>
      <c r="AH83" s="24" t="s">
        <v>327</v>
      </c>
      <c r="AY83" s="41"/>
      <c r="AZ83" s="42"/>
      <c r="BA83" s="45" t="str">
        <f t="shared" si="5"/>
        <v/>
      </c>
      <c r="BB83" s="45" t="str">
        <f t="shared" si="6"/>
        <v/>
      </c>
      <c r="BH83" s="41"/>
      <c r="BN83" s="43">
        <f t="shared" si="7"/>
        <v>74</v>
      </c>
      <c r="BO83" s="43" t="s">
        <v>20</v>
      </c>
    </row>
    <row r="84" spans="1:67" ht="15" customHeight="1" x14ac:dyDescent="0.5">
      <c r="A84" s="42"/>
      <c r="B84" s="24" t="s">
        <v>335</v>
      </c>
      <c r="M84" s="41"/>
      <c r="N84" s="42"/>
      <c r="O84" s="24" t="s">
        <v>168</v>
      </c>
      <c r="AF84" s="44"/>
      <c r="AG84" s="42"/>
      <c r="AH84" s="24" t="s">
        <v>336</v>
      </c>
      <c r="AY84" s="41"/>
      <c r="AZ84" s="42"/>
      <c r="BA84" s="45" t="str">
        <f t="shared" si="5"/>
        <v>SOL-5809</v>
      </c>
      <c r="BB84" s="45" t="str">
        <f t="shared" si="6"/>
        <v>SOL-5809</v>
      </c>
      <c r="BH84" s="41"/>
      <c r="BN84" s="43">
        <f t="shared" si="7"/>
        <v>75</v>
      </c>
      <c r="BO84" s="43" t="s">
        <v>20</v>
      </c>
    </row>
    <row r="85" spans="1:67" ht="15" customHeight="1" x14ac:dyDescent="0.5">
      <c r="A85" s="42"/>
      <c r="B85" s="24" t="s">
        <v>337</v>
      </c>
      <c r="M85" s="41"/>
      <c r="N85" s="42"/>
      <c r="O85" s="24" t="s">
        <v>338</v>
      </c>
      <c r="AF85" s="44"/>
      <c r="AG85" s="42"/>
      <c r="AH85" s="24" t="s">
        <v>339</v>
      </c>
      <c r="AY85" s="41"/>
      <c r="AZ85" s="42"/>
      <c r="BA85" s="45" t="str">
        <f t="shared" si="5"/>
        <v>SOL-59502</v>
      </c>
      <c r="BB85" s="45" t="str">
        <f t="shared" si="6"/>
        <v>SOL-59502</v>
      </c>
      <c r="BH85" s="41"/>
      <c r="BN85" s="43">
        <f t="shared" si="7"/>
        <v>76</v>
      </c>
      <c r="BO85" s="43" t="s">
        <v>20</v>
      </c>
    </row>
    <row r="86" spans="1:67" ht="15" customHeight="1" x14ac:dyDescent="0.5">
      <c r="A86" s="42"/>
      <c r="B86" s="24" t="s">
        <v>340</v>
      </c>
      <c r="M86" s="41"/>
      <c r="N86" s="42"/>
      <c r="O86" s="24" t="s">
        <v>338</v>
      </c>
      <c r="AF86" s="44"/>
      <c r="AG86" s="42"/>
      <c r="AH86" s="24" t="s">
        <v>341</v>
      </c>
      <c r="AY86" s="41"/>
      <c r="AZ86" s="42"/>
      <c r="BA86" s="45" t="str">
        <f t="shared" si="5"/>
        <v>SOL-59506</v>
      </c>
      <c r="BB86" s="45" t="str">
        <f t="shared" si="6"/>
        <v>SOL-59506</v>
      </c>
      <c r="BH86" s="41"/>
      <c r="BN86" s="43">
        <f t="shared" si="7"/>
        <v>77</v>
      </c>
      <c r="BO86" s="43" t="s">
        <v>20</v>
      </c>
    </row>
    <row r="87" spans="1:67" ht="15" customHeight="1" x14ac:dyDescent="0.5">
      <c r="A87" s="42"/>
      <c r="B87" s="24" t="s">
        <v>342</v>
      </c>
      <c r="M87" s="41"/>
      <c r="N87" s="42"/>
      <c r="O87" s="24" t="s">
        <v>338</v>
      </c>
      <c r="AF87" s="44"/>
      <c r="AG87" s="42"/>
      <c r="AH87" s="24" t="s">
        <v>212</v>
      </c>
      <c r="AY87" s="41"/>
      <c r="AZ87" s="42"/>
      <c r="BA87" s="45" t="str">
        <f t="shared" si="5"/>
        <v>SOL-59501</v>
      </c>
      <c r="BB87" s="45" t="str">
        <f t="shared" si="6"/>
        <v>SOL-59501</v>
      </c>
      <c r="BH87" s="41"/>
      <c r="BN87" s="43">
        <f t="shared" si="7"/>
        <v>78</v>
      </c>
      <c r="BO87" s="43" t="s">
        <v>20</v>
      </c>
    </row>
    <row r="88" spans="1:67" ht="15" customHeight="1" x14ac:dyDescent="0.5">
      <c r="A88" s="42"/>
      <c r="B88" s="24" t="s">
        <v>343</v>
      </c>
      <c r="M88" s="41"/>
      <c r="N88" s="42"/>
      <c r="O88" s="24" t="s">
        <v>338</v>
      </c>
      <c r="AF88" s="44"/>
      <c r="AG88" s="42"/>
      <c r="AH88" s="24" t="s">
        <v>344</v>
      </c>
      <c r="AY88" s="41"/>
      <c r="AZ88" s="42"/>
      <c r="BA88" s="45" t="str">
        <f t="shared" si="5"/>
        <v>SOL-5950</v>
      </c>
      <c r="BB88" s="45" t="str">
        <f t="shared" si="6"/>
        <v>SOL-5950</v>
      </c>
      <c r="BG88" s="49"/>
      <c r="BH88" s="41"/>
      <c r="BN88" s="43">
        <f t="shared" si="7"/>
        <v>79</v>
      </c>
      <c r="BO88" s="43" t="s">
        <v>20</v>
      </c>
    </row>
    <row r="89" spans="1:67" ht="15" customHeight="1" x14ac:dyDescent="0.5">
      <c r="A89" s="42"/>
      <c r="B89" s="24" t="s">
        <v>345</v>
      </c>
      <c r="M89" s="41"/>
      <c r="N89" s="42"/>
      <c r="O89" s="24" t="s">
        <v>338</v>
      </c>
      <c r="AF89" s="44"/>
      <c r="AG89" s="42"/>
      <c r="AH89" s="24" t="s">
        <v>346</v>
      </c>
      <c r="AY89" s="41"/>
      <c r="AZ89" s="42"/>
      <c r="BA89" s="45" t="str">
        <f t="shared" si="5"/>
        <v>SOL-59505</v>
      </c>
      <c r="BB89" s="45" t="str">
        <f t="shared" si="6"/>
        <v>SOL-59505</v>
      </c>
      <c r="BG89" s="49"/>
      <c r="BH89" s="41"/>
      <c r="BN89" s="43">
        <f t="shared" si="7"/>
        <v>80</v>
      </c>
      <c r="BO89" s="43" t="s">
        <v>20</v>
      </c>
    </row>
    <row r="90" spans="1:67" ht="15" customHeight="1" x14ac:dyDescent="0.5">
      <c r="A90" s="42"/>
      <c r="B90" s="24" t="s">
        <v>347</v>
      </c>
      <c r="M90" s="41"/>
      <c r="N90" s="42"/>
      <c r="O90" s="24" t="s">
        <v>348</v>
      </c>
      <c r="AF90" s="44"/>
      <c r="AG90" s="42"/>
      <c r="AH90" s="24" t="s">
        <v>349</v>
      </c>
      <c r="AY90" s="41"/>
      <c r="AZ90" s="42"/>
      <c r="BA90" s="45" t="str">
        <f t="shared" si="5"/>
        <v>SOL-6079</v>
      </c>
      <c r="BB90" s="45" t="str">
        <f t="shared" si="6"/>
        <v>SOL-6079</v>
      </c>
      <c r="BG90" s="49"/>
      <c r="BH90" s="41"/>
      <c r="BN90" s="43">
        <f t="shared" si="7"/>
        <v>81</v>
      </c>
      <c r="BO90" s="43" t="s">
        <v>20</v>
      </c>
    </row>
    <row r="91" spans="1:67" ht="15" customHeight="1" x14ac:dyDescent="0.5">
      <c r="A91" s="42"/>
      <c r="B91" s="24" t="s">
        <v>350</v>
      </c>
      <c r="M91" s="41"/>
      <c r="N91" s="42"/>
      <c r="O91" s="24" t="s">
        <v>348</v>
      </c>
      <c r="AF91" s="44"/>
      <c r="AG91" s="42"/>
      <c r="AH91" s="24" t="s">
        <v>351</v>
      </c>
      <c r="AY91" s="41"/>
      <c r="AZ91" s="42"/>
      <c r="BA91" s="45" t="str">
        <f t="shared" si="5"/>
        <v>SOL-6080</v>
      </c>
      <c r="BB91" s="45" t="str">
        <f t="shared" si="6"/>
        <v>SOL-6080</v>
      </c>
      <c r="BG91" s="49"/>
      <c r="BH91" s="41"/>
      <c r="BN91" s="43">
        <f t="shared" si="7"/>
        <v>82</v>
      </c>
      <c r="BO91" s="43" t="s">
        <v>20</v>
      </c>
    </row>
    <row r="92" spans="1:67" ht="15" customHeight="1" x14ac:dyDescent="0.5">
      <c r="A92" s="42"/>
      <c r="B92" s="24" t="s">
        <v>352</v>
      </c>
      <c r="M92" s="41"/>
      <c r="N92" s="42"/>
      <c r="O92" s="24" t="s">
        <v>348</v>
      </c>
      <c r="AF92" s="44"/>
      <c r="AG92" s="42"/>
      <c r="AH92" s="24" t="s">
        <v>353</v>
      </c>
      <c r="AY92" s="41"/>
      <c r="AZ92" s="42"/>
      <c r="BA92" s="45" t="str">
        <f t="shared" si="5"/>
        <v>SOL-6081</v>
      </c>
      <c r="BB92" s="45" t="str">
        <f t="shared" si="6"/>
        <v>SOL-6081</v>
      </c>
      <c r="BG92" s="49"/>
      <c r="BH92" s="41"/>
      <c r="BN92" s="43">
        <f t="shared" si="7"/>
        <v>83</v>
      </c>
      <c r="BO92" s="43" t="s">
        <v>20</v>
      </c>
    </row>
    <row r="93" spans="1:67" ht="15" customHeight="1" x14ac:dyDescent="0.5">
      <c r="A93" s="42"/>
      <c r="B93" s="24" t="s">
        <v>354</v>
      </c>
      <c r="M93" s="41"/>
      <c r="N93" s="42"/>
      <c r="O93" s="24" t="s">
        <v>348</v>
      </c>
      <c r="AF93" s="44"/>
      <c r="AG93" s="42"/>
      <c r="AH93" s="24" t="s">
        <v>355</v>
      </c>
      <c r="AY93" s="41"/>
      <c r="AZ93" s="42"/>
      <c r="BA93" s="45" t="str">
        <f t="shared" si="5"/>
        <v>SOL-6082</v>
      </c>
      <c r="BB93" s="45" t="str">
        <f t="shared" si="6"/>
        <v>SOL-6082</v>
      </c>
      <c r="BG93" s="49"/>
      <c r="BH93" s="41"/>
      <c r="BN93" s="43">
        <f t="shared" si="7"/>
        <v>84</v>
      </c>
      <c r="BO93" s="43" t="s">
        <v>20</v>
      </c>
    </row>
    <row r="94" spans="1:67" ht="15" customHeight="1" x14ac:dyDescent="0.5">
      <c r="A94" s="42"/>
      <c r="B94" s="24" t="s">
        <v>356</v>
      </c>
      <c r="M94" s="41"/>
      <c r="N94" s="42"/>
      <c r="O94" s="24" t="s">
        <v>348</v>
      </c>
      <c r="AF94" s="44"/>
      <c r="AG94" s="42"/>
      <c r="AH94" s="24" t="s">
        <v>357</v>
      </c>
      <c r="AY94" s="41"/>
      <c r="AZ94" s="42"/>
      <c r="BA94" s="45" t="str">
        <f t="shared" si="5"/>
        <v>SOL-6044</v>
      </c>
      <c r="BB94" s="45" t="str">
        <f t="shared" si="6"/>
        <v>SOL-6044</v>
      </c>
      <c r="BG94" s="49"/>
      <c r="BH94" s="41"/>
      <c r="BN94" s="43">
        <f t="shared" si="7"/>
        <v>85</v>
      </c>
      <c r="BO94" s="43" t="s">
        <v>20</v>
      </c>
    </row>
    <row r="95" spans="1:67" ht="15" customHeight="1" x14ac:dyDescent="0.5">
      <c r="A95" s="42"/>
      <c r="B95" s="24" t="s">
        <v>358</v>
      </c>
      <c r="M95" s="41"/>
      <c r="N95" s="42"/>
      <c r="O95" s="24" t="s">
        <v>348</v>
      </c>
      <c r="AF95" s="44"/>
      <c r="AG95" s="42"/>
      <c r="AH95" s="24" t="s">
        <v>359</v>
      </c>
      <c r="AY95" s="41"/>
      <c r="AZ95" s="42"/>
      <c r="BA95" s="45" t="str">
        <f t="shared" si="5"/>
        <v>SOL-6083</v>
      </c>
      <c r="BB95" s="45" t="str">
        <f t="shared" si="6"/>
        <v>SOL-6083</v>
      </c>
      <c r="BG95" s="49"/>
      <c r="BH95" s="41"/>
      <c r="BN95" s="43">
        <f t="shared" si="7"/>
        <v>86</v>
      </c>
      <c r="BO95" s="43" t="s">
        <v>20</v>
      </c>
    </row>
    <row r="96" spans="1:67" ht="15" customHeight="1" x14ac:dyDescent="0.5">
      <c r="A96" s="42"/>
      <c r="B96" s="24" t="s">
        <v>360</v>
      </c>
      <c r="M96" s="41"/>
      <c r="N96" s="42"/>
      <c r="O96" s="24" t="s">
        <v>348</v>
      </c>
      <c r="AF96" s="44"/>
      <c r="AG96" s="42"/>
      <c r="AH96" s="24" t="s">
        <v>361</v>
      </c>
      <c r="AY96" s="44"/>
      <c r="AZ96" s="42"/>
      <c r="BA96" s="45" t="str">
        <f t="shared" si="5"/>
        <v>SOL-6084</v>
      </c>
      <c r="BB96" s="45" t="str">
        <f t="shared" si="6"/>
        <v>SOL-6084</v>
      </c>
      <c r="BG96" s="49"/>
      <c r="BH96" s="41"/>
      <c r="BN96" s="43">
        <f t="shared" si="7"/>
        <v>87</v>
      </c>
      <c r="BO96" s="43" t="s">
        <v>20</v>
      </c>
    </row>
    <row r="97" spans="1:67" ht="15" customHeight="1" x14ac:dyDescent="0.5">
      <c r="A97" s="42"/>
      <c r="B97" s="24" t="s">
        <v>362</v>
      </c>
      <c r="M97" s="41"/>
      <c r="N97" s="42"/>
      <c r="O97" s="24" t="s">
        <v>348</v>
      </c>
      <c r="AF97" s="44"/>
      <c r="AG97" s="42"/>
      <c r="AH97" s="24" t="s">
        <v>363</v>
      </c>
      <c r="AY97" s="44"/>
      <c r="AZ97" s="42"/>
      <c r="BA97" s="45" t="str">
        <f t="shared" si="5"/>
        <v>SOL-6085</v>
      </c>
      <c r="BB97" s="45" t="str">
        <f t="shared" si="6"/>
        <v>SOL-6085</v>
      </c>
      <c r="BG97" s="49"/>
      <c r="BH97" s="41"/>
      <c r="BN97" s="43">
        <f t="shared" si="7"/>
        <v>88</v>
      </c>
      <c r="BO97" s="43" t="s">
        <v>20</v>
      </c>
    </row>
    <row r="98" spans="1:67" ht="15" customHeight="1" x14ac:dyDescent="0.5">
      <c r="A98" s="42"/>
      <c r="B98" s="24" t="s">
        <v>364</v>
      </c>
      <c r="M98" s="41"/>
      <c r="N98" s="42"/>
      <c r="O98" s="24" t="s">
        <v>348</v>
      </c>
      <c r="AF98" s="44"/>
      <c r="AG98" s="42"/>
      <c r="AH98" s="24" t="s">
        <v>365</v>
      </c>
      <c r="AY98" s="44"/>
      <c r="AZ98" s="42"/>
      <c r="BA98" s="45" t="str">
        <f t="shared" si="5"/>
        <v>SOL-6086</v>
      </c>
      <c r="BB98" s="45" t="str">
        <f t="shared" si="6"/>
        <v>SOL-6086</v>
      </c>
      <c r="BG98" s="49"/>
      <c r="BH98" s="41"/>
      <c r="BN98" s="43">
        <f t="shared" si="7"/>
        <v>89</v>
      </c>
      <c r="BO98" s="43" t="s">
        <v>20</v>
      </c>
    </row>
    <row r="99" spans="1:67" ht="15" customHeight="1" x14ac:dyDescent="0.5">
      <c r="A99" s="42"/>
      <c r="B99" s="24" t="s">
        <v>366</v>
      </c>
      <c r="M99" s="41"/>
      <c r="N99" s="42"/>
      <c r="O99" s="24" t="s">
        <v>348</v>
      </c>
      <c r="AF99" s="44"/>
      <c r="AG99" s="42"/>
      <c r="AH99" s="24" t="s">
        <v>367</v>
      </c>
      <c r="AY99" s="44"/>
      <c r="AZ99" s="42"/>
      <c r="BA99" s="45" t="str">
        <f t="shared" si="5"/>
        <v>SOL-6087</v>
      </c>
      <c r="BB99" s="45" t="str">
        <f t="shared" si="6"/>
        <v>SOL-6087</v>
      </c>
      <c r="BG99" s="49"/>
      <c r="BH99" s="41"/>
      <c r="BN99" s="43">
        <f t="shared" si="7"/>
        <v>90</v>
      </c>
      <c r="BO99" s="43" t="s">
        <v>20</v>
      </c>
    </row>
    <row r="100" spans="1:67" ht="15" customHeight="1" x14ac:dyDescent="0.5">
      <c r="A100" s="42"/>
      <c r="B100" s="24" t="s">
        <v>368</v>
      </c>
      <c r="M100" s="41"/>
      <c r="N100" s="42"/>
      <c r="O100" s="24" t="s">
        <v>348</v>
      </c>
      <c r="AF100" s="44"/>
      <c r="AG100" s="42"/>
      <c r="AH100" s="24" t="s">
        <v>369</v>
      </c>
      <c r="AY100" s="44"/>
      <c r="AZ100" s="42"/>
      <c r="BA100" s="45">
        <f t="shared" si="5"/>
        <v>0</v>
      </c>
      <c r="BB100" s="45">
        <f t="shared" si="6"/>
        <v>0</v>
      </c>
      <c r="BG100" s="49"/>
      <c r="BH100" s="41"/>
      <c r="BN100" s="43">
        <f t="shared" si="7"/>
        <v>91</v>
      </c>
      <c r="BO100" s="43" t="s">
        <v>20</v>
      </c>
    </row>
    <row r="101" spans="1:67" ht="15" customHeight="1" x14ac:dyDescent="0.5">
      <c r="A101" s="42"/>
      <c r="B101" s="24" t="s">
        <v>370</v>
      </c>
      <c r="M101" s="41"/>
      <c r="N101" s="42"/>
      <c r="O101" s="24" t="s">
        <v>348</v>
      </c>
      <c r="AF101" s="44"/>
      <c r="AG101" s="42"/>
      <c r="AH101" s="24" t="s">
        <v>371</v>
      </c>
      <c r="AY101" s="44"/>
      <c r="AZ101" s="42"/>
      <c r="BA101" s="45">
        <f t="shared" si="5"/>
        <v>0</v>
      </c>
      <c r="BB101" s="45">
        <f t="shared" si="6"/>
        <v>0</v>
      </c>
      <c r="BG101" s="49"/>
      <c r="BH101" s="41"/>
      <c r="BN101" s="43">
        <f t="shared" si="7"/>
        <v>92</v>
      </c>
      <c r="BO101" s="43" t="s">
        <v>20</v>
      </c>
    </row>
    <row r="102" spans="1:67" ht="15" customHeight="1" x14ac:dyDescent="0.5">
      <c r="A102" s="42"/>
      <c r="B102" s="24" t="s">
        <v>372</v>
      </c>
      <c r="M102" s="41"/>
      <c r="N102" s="42"/>
      <c r="O102" s="24" t="s">
        <v>348</v>
      </c>
      <c r="AF102" s="44"/>
      <c r="AG102" s="42"/>
      <c r="AH102" s="24" t="s">
        <v>373</v>
      </c>
      <c r="AY102" s="44"/>
      <c r="AZ102" s="42"/>
      <c r="BA102" s="45">
        <f t="shared" si="5"/>
        <v>0</v>
      </c>
      <c r="BB102" s="45">
        <f t="shared" si="6"/>
        <v>0</v>
      </c>
      <c r="BG102" s="49"/>
      <c r="BH102" s="41"/>
      <c r="BN102" s="43">
        <f t="shared" si="7"/>
        <v>93</v>
      </c>
      <c r="BO102" s="43" t="s">
        <v>20</v>
      </c>
    </row>
    <row r="103" spans="1:67" ht="15" customHeight="1" x14ac:dyDescent="0.5">
      <c r="A103" s="42"/>
      <c r="B103" s="24" t="s">
        <v>374</v>
      </c>
      <c r="M103" s="41"/>
      <c r="N103" s="42"/>
      <c r="O103" s="24" t="s">
        <v>348</v>
      </c>
      <c r="AF103" s="44"/>
      <c r="AG103" s="42"/>
      <c r="AH103" s="24" t="s">
        <v>375</v>
      </c>
      <c r="AY103" s="41"/>
      <c r="AZ103" s="42"/>
      <c r="BA103" s="45">
        <f t="shared" si="5"/>
        <v>0</v>
      </c>
      <c r="BB103" s="45">
        <f t="shared" si="6"/>
        <v>0</v>
      </c>
      <c r="BG103" s="49"/>
      <c r="BH103" s="41"/>
      <c r="BN103" s="43">
        <f t="shared" si="7"/>
        <v>94</v>
      </c>
      <c r="BO103" s="43" t="s">
        <v>20</v>
      </c>
    </row>
    <row r="104" spans="1:67" ht="15" customHeight="1" x14ac:dyDescent="0.5">
      <c r="A104" s="42"/>
      <c r="B104" s="24" t="s">
        <v>376</v>
      </c>
      <c r="M104" s="41"/>
      <c r="N104" s="42"/>
      <c r="O104" s="24" t="s">
        <v>348</v>
      </c>
      <c r="AF104" s="44"/>
      <c r="AG104" s="42"/>
      <c r="AH104" s="24" t="s">
        <v>377</v>
      </c>
      <c r="AY104" s="44"/>
      <c r="AZ104" s="42"/>
      <c r="BA104" s="45">
        <f t="shared" si="5"/>
        <v>0</v>
      </c>
      <c r="BB104" s="45">
        <f t="shared" si="6"/>
        <v>0</v>
      </c>
      <c r="BG104" s="49"/>
      <c r="BH104" s="41"/>
      <c r="BN104" s="43">
        <f t="shared" si="7"/>
        <v>95</v>
      </c>
      <c r="BO104" s="43" t="s">
        <v>20</v>
      </c>
    </row>
    <row r="105" spans="1:67" ht="15" customHeight="1" x14ac:dyDescent="0.5">
      <c r="A105" s="42"/>
      <c r="B105" s="24" t="s">
        <v>378</v>
      </c>
      <c r="M105" s="41"/>
      <c r="N105" s="42"/>
      <c r="O105" s="24" t="s">
        <v>348</v>
      </c>
      <c r="AF105" s="44"/>
      <c r="AG105" s="42"/>
      <c r="AH105" s="24" t="s">
        <v>379</v>
      </c>
      <c r="AY105" s="41"/>
      <c r="AZ105" s="42"/>
      <c r="BA105" s="45">
        <f t="shared" si="5"/>
        <v>0</v>
      </c>
      <c r="BB105" s="45">
        <f t="shared" si="6"/>
        <v>0</v>
      </c>
      <c r="BG105" s="49"/>
      <c r="BH105" s="41"/>
      <c r="BN105" s="43">
        <f t="shared" si="7"/>
        <v>96</v>
      </c>
      <c r="BO105" s="43" t="s">
        <v>20</v>
      </c>
    </row>
    <row r="106" spans="1:67" ht="15" customHeight="1" x14ac:dyDescent="0.5">
      <c r="A106" s="42"/>
      <c r="B106" s="24" t="s">
        <v>380</v>
      </c>
      <c r="M106" s="41"/>
      <c r="N106" s="42"/>
      <c r="O106" s="24" t="s">
        <v>348</v>
      </c>
      <c r="AF106" s="44"/>
      <c r="AG106" s="42"/>
      <c r="AH106" s="24" t="s">
        <v>381</v>
      </c>
      <c r="AY106" s="41"/>
      <c r="AZ106" s="42"/>
      <c r="BA106" s="45">
        <f t="shared" ref="BA106:BA137" si="8">_xlfn.XLOOKUP(B106,$CN:$CN,$CL:$CL,"")</f>
        <v>0</v>
      </c>
      <c r="BB106" s="45">
        <f t="shared" ref="BB106:BB137" si="9">_xlfn.XLOOKUP(B106,$CN:$CN,$CL:$CL,"")</f>
        <v>0</v>
      </c>
      <c r="BG106" s="49"/>
      <c r="BH106" s="41"/>
      <c r="BN106" s="43">
        <f t="shared" si="7"/>
        <v>97</v>
      </c>
      <c r="BO106" s="43" t="s">
        <v>20</v>
      </c>
    </row>
    <row r="107" spans="1:67" ht="15" customHeight="1" x14ac:dyDescent="0.5">
      <c r="A107" s="42"/>
      <c r="B107" s="24" t="s">
        <v>382</v>
      </c>
      <c r="M107" s="41"/>
      <c r="N107" s="42"/>
      <c r="O107" s="24" t="s">
        <v>348</v>
      </c>
      <c r="AF107" s="44"/>
      <c r="AG107" s="42"/>
      <c r="AH107" s="24" t="s">
        <v>383</v>
      </c>
      <c r="AY107" s="41"/>
      <c r="AZ107" s="42"/>
      <c r="BA107" s="45">
        <f t="shared" si="8"/>
        <v>0</v>
      </c>
      <c r="BB107" s="45">
        <f t="shared" si="9"/>
        <v>0</v>
      </c>
      <c r="BH107" s="41"/>
      <c r="BN107" s="43">
        <f t="shared" si="7"/>
        <v>98</v>
      </c>
      <c r="BO107" s="43" t="s">
        <v>20</v>
      </c>
    </row>
    <row r="108" spans="1:67" ht="15" customHeight="1" x14ac:dyDescent="0.5">
      <c r="A108" s="42"/>
      <c r="B108" s="24" t="s">
        <v>384</v>
      </c>
      <c r="M108" s="41"/>
      <c r="N108" s="42"/>
      <c r="O108" s="24" t="s">
        <v>348</v>
      </c>
      <c r="AF108" s="44"/>
      <c r="AG108" s="42"/>
      <c r="AH108" s="24" t="s">
        <v>385</v>
      </c>
      <c r="AY108" s="41"/>
      <c r="AZ108" s="42"/>
      <c r="BA108" s="45">
        <f t="shared" si="8"/>
        <v>0</v>
      </c>
      <c r="BB108" s="45">
        <f t="shared" si="9"/>
        <v>0</v>
      </c>
      <c r="BH108" s="41"/>
      <c r="BN108" s="43">
        <f t="shared" si="7"/>
        <v>99</v>
      </c>
      <c r="BO108" s="43" t="s">
        <v>20</v>
      </c>
    </row>
    <row r="109" spans="1:67" ht="15" customHeight="1" x14ac:dyDescent="0.5">
      <c r="A109" s="42"/>
      <c r="B109" s="24" t="s">
        <v>386</v>
      </c>
      <c r="M109" s="41"/>
      <c r="N109" s="42"/>
      <c r="O109" s="24" t="s">
        <v>348</v>
      </c>
      <c r="AF109" s="44"/>
      <c r="AG109" s="42"/>
      <c r="AH109" s="24" t="s">
        <v>387</v>
      </c>
      <c r="AY109" s="41"/>
      <c r="AZ109" s="42"/>
      <c r="BA109" s="45">
        <f t="shared" si="8"/>
        <v>0</v>
      </c>
      <c r="BB109" s="45">
        <f t="shared" si="9"/>
        <v>0</v>
      </c>
      <c r="BH109" s="41"/>
      <c r="BN109" s="43">
        <f t="shared" si="7"/>
        <v>100</v>
      </c>
      <c r="BO109" s="43" t="s">
        <v>20</v>
      </c>
    </row>
    <row r="110" spans="1:67" ht="15" customHeight="1" x14ac:dyDescent="0.5">
      <c r="A110" s="42"/>
      <c r="B110" s="24" t="s">
        <v>388</v>
      </c>
      <c r="M110" s="41"/>
      <c r="N110" s="42"/>
      <c r="O110" s="24" t="s">
        <v>389</v>
      </c>
      <c r="AF110" s="44"/>
      <c r="AG110" s="42"/>
      <c r="AH110" s="24" t="s">
        <v>390</v>
      </c>
      <c r="AY110" s="41"/>
      <c r="AZ110" s="42"/>
      <c r="BA110" s="45" t="str">
        <f t="shared" si="8"/>
        <v>SOL-58031</v>
      </c>
      <c r="BB110" s="45" t="str">
        <f t="shared" si="9"/>
        <v>SOL-58031</v>
      </c>
      <c r="BH110" s="41"/>
      <c r="BN110" s="43">
        <f t="shared" si="7"/>
        <v>101</v>
      </c>
      <c r="BO110" s="43" t="s">
        <v>20</v>
      </c>
    </row>
    <row r="111" spans="1:67" ht="15" customHeight="1" x14ac:dyDescent="0.5">
      <c r="A111" s="42"/>
      <c r="B111" s="24" t="s">
        <v>391</v>
      </c>
      <c r="M111" s="41"/>
      <c r="N111" s="42"/>
      <c r="O111" s="24" t="s">
        <v>392</v>
      </c>
      <c r="AF111" s="44"/>
      <c r="AG111" s="42"/>
      <c r="AH111" s="24" t="s">
        <v>393</v>
      </c>
      <c r="AY111" s="41"/>
      <c r="AZ111" s="42"/>
      <c r="BA111" s="45" t="str">
        <f t="shared" si="8"/>
        <v>SOL-5810</v>
      </c>
      <c r="BB111" s="45" t="str">
        <f t="shared" si="9"/>
        <v>SOL-5810</v>
      </c>
      <c r="BH111" s="41"/>
      <c r="BN111" s="43">
        <f t="shared" si="7"/>
        <v>102</v>
      </c>
      <c r="BO111" s="43" t="s">
        <v>20</v>
      </c>
    </row>
    <row r="112" spans="1:67" ht="15" customHeight="1" x14ac:dyDescent="0.5">
      <c r="A112" s="42"/>
      <c r="B112" s="24" t="s">
        <v>394</v>
      </c>
      <c r="M112" s="41"/>
      <c r="N112" s="42"/>
      <c r="O112" s="24" t="s">
        <v>395</v>
      </c>
      <c r="AF112" s="44"/>
      <c r="AG112" s="42"/>
      <c r="AH112" s="24" t="s">
        <v>396</v>
      </c>
      <c r="AY112" s="41"/>
      <c r="AZ112" s="42"/>
      <c r="BA112" s="45" t="str">
        <f t="shared" si="8"/>
        <v>SOL-5811</v>
      </c>
      <c r="BB112" s="45" t="str">
        <f t="shared" si="9"/>
        <v>SOL-5811</v>
      </c>
      <c r="BH112" s="41"/>
      <c r="BN112" s="43">
        <f t="shared" si="7"/>
        <v>103</v>
      </c>
      <c r="BO112" s="43" t="s">
        <v>20</v>
      </c>
    </row>
    <row r="113" spans="1:67" ht="15" customHeight="1" x14ac:dyDescent="0.5">
      <c r="A113" s="42"/>
      <c r="B113" s="24" t="s">
        <v>397</v>
      </c>
      <c r="M113" s="41"/>
      <c r="N113" s="42"/>
      <c r="O113" s="24" t="s">
        <v>398</v>
      </c>
      <c r="AF113" s="44"/>
      <c r="AG113" s="42"/>
      <c r="AH113" s="24" t="s">
        <v>399</v>
      </c>
      <c r="AY113" s="41"/>
      <c r="AZ113" s="42"/>
      <c r="BA113" s="45" t="str">
        <f t="shared" si="8"/>
        <v>SOL-6042</v>
      </c>
      <c r="BB113" s="45" t="str">
        <f t="shared" si="9"/>
        <v>SOL-6042</v>
      </c>
      <c r="BG113" s="49"/>
      <c r="BH113" s="41"/>
      <c r="BN113" s="43">
        <f t="shared" si="7"/>
        <v>104</v>
      </c>
      <c r="BO113" s="43" t="s">
        <v>20</v>
      </c>
    </row>
    <row r="114" spans="1:67" ht="15" customHeight="1" x14ac:dyDescent="0.5">
      <c r="A114" s="42"/>
      <c r="B114" s="24" t="s">
        <v>400</v>
      </c>
      <c r="M114" s="41"/>
      <c r="N114" s="42"/>
      <c r="O114" s="24" t="s">
        <v>398</v>
      </c>
      <c r="AF114" s="44"/>
      <c r="AG114" s="42"/>
      <c r="AH114" s="24" t="s">
        <v>390</v>
      </c>
      <c r="AY114" s="41"/>
      <c r="AZ114" s="42"/>
      <c r="BA114" s="45" t="str">
        <f t="shared" si="8"/>
        <v>SOL-5805</v>
      </c>
      <c r="BB114" s="45" t="str">
        <f t="shared" si="9"/>
        <v>SOL-5805</v>
      </c>
      <c r="BG114" s="49"/>
      <c r="BH114" s="41"/>
      <c r="BN114" s="43">
        <f t="shared" si="7"/>
        <v>105</v>
      </c>
      <c r="BO114" s="43" t="s">
        <v>20</v>
      </c>
    </row>
    <row r="115" spans="1:67" ht="15" customHeight="1" x14ac:dyDescent="0.5">
      <c r="A115" s="42"/>
      <c r="B115" s="24" t="s">
        <v>401</v>
      </c>
      <c r="M115" s="41"/>
      <c r="N115" s="42"/>
      <c r="O115" s="24" t="s">
        <v>398</v>
      </c>
      <c r="AF115" s="44"/>
      <c r="AG115" s="42"/>
      <c r="AH115" s="24" t="s">
        <v>402</v>
      </c>
      <c r="AY115" s="41"/>
      <c r="AZ115" s="42"/>
      <c r="BA115" s="45" t="str">
        <f t="shared" si="8"/>
        <v>SOL-5956</v>
      </c>
      <c r="BB115" s="45" t="str">
        <f t="shared" si="9"/>
        <v>SOL-5956</v>
      </c>
      <c r="BG115" s="49"/>
      <c r="BH115" s="41"/>
      <c r="BN115" s="43">
        <f t="shared" si="7"/>
        <v>106</v>
      </c>
      <c r="BO115" s="43" t="s">
        <v>20</v>
      </c>
    </row>
    <row r="116" spans="1:67" ht="15" customHeight="1" x14ac:dyDescent="0.5">
      <c r="A116" s="42"/>
      <c r="B116" s="24" t="s">
        <v>403</v>
      </c>
      <c r="M116" s="41"/>
      <c r="N116" s="42"/>
      <c r="O116" s="24" t="s">
        <v>404</v>
      </c>
      <c r="AF116" s="44"/>
      <c r="AG116" s="42"/>
      <c r="AH116" s="24" t="s">
        <v>405</v>
      </c>
      <c r="AY116" s="41"/>
      <c r="AZ116" s="42"/>
      <c r="BA116" s="45" t="str">
        <f t="shared" si="8"/>
        <v>SOL-6052</v>
      </c>
      <c r="BB116" s="45" t="str">
        <f t="shared" si="9"/>
        <v>SOL-6052</v>
      </c>
      <c r="BG116" s="49"/>
      <c r="BH116" s="41"/>
      <c r="BN116" s="43">
        <f t="shared" si="7"/>
        <v>107</v>
      </c>
      <c r="BO116" s="43" t="s">
        <v>20</v>
      </c>
    </row>
    <row r="117" spans="1:67" ht="15" customHeight="1" x14ac:dyDescent="0.5">
      <c r="A117" s="42"/>
      <c r="B117" s="24" t="s">
        <v>406</v>
      </c>
      <c r="M117" s="41"/>
      <c r="N117" s="42"/>
      <c r="O117" s="24" t="s">
        <v>404</v>
      </c>
      <c r="AF117" s="44"/>
      <c r="AG117" s="42"/>
      <c r="AH117" s="24" t="s">
        <v>407</v>
      </c>
      <c r="AY117" s="41"/>
      <c r="AZ117" s="42"/>
      <c r="BA117" s="45" t="str">
        <f t="shared" si="8"/>
        <v>SOL-6053</v>
      </c>
      <c r="BB117" s="45" t="str">
        <f t="shared" si="9"/>
        <v>SOL-6053</v>
      </c>
      <c r="BH117" s="41"/>
      <c r="BN117" s="43">
        <f t="shared" si="7"/>
        <v>108</v>
      </c>
      <c r="BO117" s="43" t="s">
        <v>20</v>
      </c>
    </row>
    <row r="118" spans="1:67" ht="15" customHeight="1" x14ac:dyDescent="0.5">
      <c r="A118" s="42"/>
      <c r="B118" s="24" t="s">
        <v>408</v>
      </c>
      <c r="M118" s="41"/>
      <c r="N118" s="42"/>
      <c r="O118" s="24" t="s">
        <v>404</v>
      </c>
      <c r="AF118" s="44"/>
      <c r="AG118" s="42"/>
      <c r="AH118" s="24" t="s">
        <v>409</v>
      </c>
      <c r="AY118" s="41"/>
      <c r="AZ118" s="42"/>
      <c r="BA118" s="45" t="str">
        <f t="shared" si="8"/>
        <v>SOL-6054</v>
      </c>
      <c r="BB118" s="45" t="str">
        <f t="shared" si="9"/>
        <v>SOL-6054</v>
      </c>
      <c r="BH118" s="41"/>
      <c r="BN118" s="43">
        <f t="shared" si="7"/>
        <v>109</v>
      </c>
      <c r="BO118" s="43" t="s">
        <v>20</v>
      </c>
    </row>
    <row r="119" spans="1:67" ht="15" customHeight="1" x14ac:dyDescent="0.5">
      <c r="A119" s="42"/>
      <c r="B119" s="24" t="s">
        <v>410</v>
      </c>
      <c r="M119" s="41"/>
      <c r="N119" s="42"/>
      <c r="O119" s="24" t="s">
        <v>404</v>
      </c>
      <c r="AF119" s="44"/>
      <c r="AG119" s="42"/>
      <c r="AH119" s="24" t="s">
        <v>411</v>
      </c>
      <c r="AY119" s="44"/>
      <c r="AZ119" s="42"/>
      <c r="BA119" s="45" t="str">
        <f t="shared" si="8"/>
        <v>SOL-6055</v>
      </c>
      <c r="BB119" s="45" t="str">
        <f t="shared" si="9"/>
        <v>SOL-6055</v>
      </c>
      <c r="BH119" s="41"/>
      <c r="BN119" s="43">
        <f t="shared" si="7"/>
        <v>110</v>
      </c>
      <c r="BO119" s="43" t="s">
        <v>20</v>
      </c>
    </row>
    <row r="120" spans="1:67" ht="15" customHeight="1" x14ac:dyDescent="0.5">
      <c r="A120" s="42"/>
      <c r="B120" s="24" t="s">
        <v>412</v>
      </c>
      <c r="M120" s="41"/>
      <c r="N120" s="42"/>
      <c r="O120" s="24" t="s">
        <v>404</v>
      </c>
      <c r="AF120" s="44"/>
      <c r="AG120" s="42"/>
      <c r="AH120" s="24" t="s">
        <v>413</v>
      </c>
      <c r="AY120" s="44"/>
      <c r="AZ120" s="42"/>
      <c r="BA120" s="45" t="str">
        <f t="shared" si="8"/>
        <v>SOL-6056</v>
      </c>
      <c r="BB120" s="45" t="str">
        <f t="shared" si="9"/>
        <v>SOL-6056</v>
      </c>
      <c r="BH120" s="41"/>
      <c r="BN120" s="43">
        <f t="shared" si="7"/>
        <v>111</v>
      </c>
      <c r="BO120" s="43" t="s">
        <v>20</v>
      </c>
    </row>
    <row r="121" spans="1:67" ht="15" customHeight="1" x14ac:dyDescent="0.5">
      <c r="A121" s="42"/>
      <c r="B121" s="24" t="s">
        <v>414</v>
      </c>
      <c r="M121" s="41"/>
      <c r="N121" s="42"/>
      <c r="O121" s="24" t="s">
        <v>404</v>
      </c>
      <c r="AF121" s="44"/>
      <c r="AG121" s="42"/>
      <c r="AH121" s="24" t="s">
        <v>415</v>
      </c>
      <c r="AY121" s="44"/>
      <c r="AZ121" s="42"/>
      <c r="BA121" s="45" t="str">
        <f t="shared" si="8"/>
        <v>SOL-58060</v>
      </c>
      <c r="BB121" s="45" t="str">
        <f t="shared" si="9"/>
        <v>SOL-58060</v>
      </c>
      <c r="BH121" s="41"/>
      <c r="BN121" s="43">
        <f t="shared" si="7"/>
        <v>112</v>
      </c>
      <c r="BO121" s="43">
        <v>1</v>
      </c>
    </row>
    <row r="122" spans="1:67" ht="15" customHeight="1" x14ac:dyDescent="0.5">
      <c r="A122" s="42"/>
      <c r="B122" s="24" t="s">
        <v>416</v>
      </c>
      <c r="M122" s="41"/>
      <c r="N122" s="42"/>
      <c r="O122" s="24" t="s">
        <v>404</v>
      </c>
      <c r="AF122" s="44"/>
      <c r="AG122" s="42"/>
      <c r="AH122" s="24" t="s">
        <v>417</v>
      </c>
      <c r="AY122" s="41"/>
      <c r="AZ122" s="42"/>
      <c r="BA122" s="45" t="str">
        <f t="shared" si="8"/>
        <v>SOL-580601</v>
      </c>
      <c r="BB122" s="45" t="str">
        <f t="shared" si="9"/>
        <v>SOL-580601</v>
      </c>
      <c r="BH122" s="41"/>
      <c r="BN122" s="43">
        <f t="shared" si="7"/>
        <v>113</v>
      </c>
      <c r="BO122" s="43" t="s">
        <v>20</v>
      </c>
    </row>
    <row r="123" spans="1:67" ht="15" customHeight="1" x14ac:dyDescent="0.5">
      <c r="A123" s="42"/>
      <c r="B123" s="24" t="s">
        <v>418</v>
      </c>
      <c r="M123" s="41"/>
      <c r="N123" s="42"/>
      <c r="O123" s="24" t="s">
        <v>404</v>
      </c>
      <c r="AF123" s="44"/>
      <c r="AG123" s="42"/>
      <c r="AH123" s="24" t="s">
        <v>419</v>
      </c>
      <c r="AY123" s="41"/>
      <c r="AZ123" s="42"/>
      <c r="BA123" s="45" t="str">
        <f t="shared" si="8"/>
        <v>SOL-5806</v>
      </c>
      <c r="BB123" s="45" t="str">
        <f t="shared" si="9"/>
        <v>SOL-5806</v>
      </c>
      <c r="BG123" s="49"/>
      <c r="BH123" s="41"/>
      <c r="BN123" s="43">
        <f t="shared" si="7"/>
        <v>114</v>
      </c>
      <c r="BO123" s="43">
        <v>1</v>
      </c>
    </row>
    <row r="124" spans="1:67" ht="15" customHeight="1" x14ac:dyDescent="0.5">
      <c r="A124" s="42"/>
      <c r="B124" s="24" t="s">
        <v>420</v>
      </c>
      <c r="M124" s="41"/>
      <c r="N124" s="42"/>
      <c r="O124" s="24" t="s">
        <v>404</v>
      </c>
      <c r="AF124" s="44"/>
      <c r="AG124" s="42"/>
      <c r="AH124" s="24" t="s">
        <v>421</v>
      </c>
      <c r="AY124" s="41"/>
      <c r="AZ124" s="42"/>
      <c r="BA124" s="45" t="str">
        <f t="shared" si="8"/>
        <v>SOL-58061</v>
      </c>
      <c r="BB124" s="45" t="str">
        <f t="shared" si="9"/>
        <v>SOL-58061</v>
      </c>
      <c r="BG124" s="49"/>
      <c r="BH124" s="41"/>
      <c r="BN124" s="43">
        <f t="shared" si="7"/>
        <v>115</v>
      </c>
      <c r="BO124" s="43" t="s">
        <v>20</v>
      </c>
    </row>
    <row r="125" spans="1:67" ht="15" customHeight="1" x14ac:dyDescent="0.5">
      <c r="A125" s="42"/>
      <c r="B125" s="24" t="s">
        <v>422</v>
      </c>
      <c r="M125" s="41"/>
      <c r="N125" s="42"/>
      <c r="O125" s="24" t="s">
        <v>404</v>
      </c>
      <c r="AF125" s="44"/>
      <c r="AG125" s="42"/>
      <c r="AH125" s="24" t="s">
        <v>423</v>
      </c>
      <c r="AY125" s="41"/>
      <c r="AZ125" s="42"/>
      <c r="BA125" s="45" t="str">
        <f t="shared" si="8"/>
        <v>SOL-58064</v>
      </c>
      <c r="BB125" s="45" t="str">
        <f t="shared" si="9"/>
        <v>SOL-58064</v>
      </c>
      <c r="BG125" s="49"/>
      <c r="BH125" s="41"/>
      <c r="BN125" s="43">
        <f t="shared" si="7"/>
        <v>116</v>
      </c>
      <c r="BO125" s="43" t="s">
        <v>20</v>
      </c>
    </row>
    <row r="126" spans="1:67" ht="15" customHeight="1" x14ac:dyDescent="0.5">
      <c r="A126" s="42"/>
      <c r="B126" s="24" t="s">
        <v>424</v>
      </c>
      <c r="M126" s="41"/>
      <c r="N126" s="42"/>
      <c r="O126" s="24" t="s">
        <v>404</v>
      </c>
      <c r="AF126" s="41"/>
      <c r="AG126" s="42"/>
      <c r="AH126" s="24" t="s">
        <v>425</v>
      </c>
      <c r="AY126" s="41"/>
      <c r="AZ126" s="42"/>
      <c r="BA126" s="45" t="str">
        <f t="shared" si="8"/>
        <v>SOL-6059</v>
      </c>
      <c r="BB126" s="45" t="str">
        <f t="shared" si="9"/>
        <v>SOL-6059</v>
      </c>
      <c r="BG126" s="49"/>
      <c r="BH126" s="41"/>
      <c r="BN126" s="43">
        <f t="shared" si="7"/>
        <v>117</v>
      </c>
      <c r="BO126" s="43" t="s">
        <v>20</v>
      </c>
    </row>
    <row r="127" spans="1:67" ht="15" customHeight="1" x14ac:dyDescent="0.5">
      <c r="A127" s="42"/>
      <c r="B127" s="24" t="s">
        <v>426</v>
      </c>
      <c r="M127" s="41"/>
      <c r="N127" s="42"/>
      <c r="O127" s="24" t="s">
        <v>404</v>
      </c>
      <c r="AF127" s="41"/>
      <c r="AG127" s="42"/>
      <c r="AH127" s="24" t="s">
        <v>427</v>
      </c>
      <c r="AY127" s="44"/>
      <c r="AZ127" s="42"/>
      <c r="BA127" s="45" t="str">
        <f t="shared" si="8"/>
        <v>SOL-6060</v>
      </c>
      <c r="BB127" s="45" t="str">
        <f t="shared" si="9"/>
        <v>SOL-6060</v>
      </c>
      <c r="BF127" s="46"/>
      <c r="BG127" s="46"/>
      <c r="BH127" s="47"/>
      <c r="BI127" s="46"/>
      <c r="BJ127" s="46"/>
      <c r="BK127" s="46"/>
      <c r="BN127" s="43">
        <f t="shared" si="7"/>
        <v>118</v>
      </c>
      <c r="BO127" s="43" t="s">
        <v>20</v>
      </c>
    </row>
    <row r="128" spans="1:67" ht="15" customHeight="1" x14ac:dyDescent="0.5">
      <c r="A128" s="42"/>
      <c r="B128" s="24" t="s">
        <v>428</v>
      </c>
      <c r="M128" s="41"/>
      <c r="N128" s="42"/>
      <c r="O128" s="24" t="s">
        <v>404</v>
      </c>
      <c r="AF128" s="41"/>
      <c r="AG128" s="42"/>
      <c r="AH128" s="24" t="s">
        <v>429</v>
      </c>
      <c r="AY128" s="44"/>
      <c r="AZ128" s="42"/>
      <c r="BA128" s="45" t="str">
        <f t="shared" si="8"/>
        <v>SOL-6061</v>
      </c>
      <c r="BB128" s="45" t="str">
        <f t="shared" si="9"/>
        <v>SOL-6061</v>
      </c>
      <c r="BF128" s="46"/>
      <c r="BG128" s="46"/>
      <c r="BH128" s="47"/>
      <c r="BI128" s="46"/>
      <c r="BJ128" s="46"/>
      <c r="BK128" s="46"/>
      <c r="BN128" s="43">
        <f t="shared" si="7"/>
        <v>119</v>
      </c>
      <c r="BO128" s="43" t="s">
        <v>20</v>
      </c>
    </row>
    <row r="129" spans="1:67" ht="15" customHeight="1" x14ac:dyDescent="0.5">
      <c r="A129" s="42"/>
      <c r="B129" s="24" t="s">
        <v>430</v>
      </c>
      <c r="M129" s="41"/>
      <c r="N129" s="42"/>
      <c r="O129" s="24" t="s">
        <v>404</v>
      </c>
      <c r="AF129" s="41"/>
      <c r="AG129" s="42"/>
      <c r="AH129" s="24" t="s">
        <v>431</v>
      </c>
      <c r="AY129" s="44"/>
      <c r="AZ129" s="42"/>
      <c r="BA129" s="45" t="str">
        <f t="shared" si="8"/>
        <v>SOL-6062</v>
      </c>
      <c r="BB129" s="45" t="str">
        <f t="shared" si="9"/>
        <v>SOL-6062</v>
      </c>
      <c r="BF129" s="46"/>
      <c r="BG129" s="46"/>
      <c r="BH129" s="47"/>
      <c r="BI129" s="46"/>
      <c r="BJ129" s="46"/>
      <c r="BK129" s="46"/>
      <c r="BN129" s="43">
        <f t="shared" si="7"/>
        <v>120</v>
      </c>
      <c r="BO129" s="43" t="s">
        <v>20</v>
      </c>
    </row>
    <row r="130" spans="1:67" ht="15" customHeight="1" x14ac:dyDescent="0.5">
      <c r="A130" s="42"/>
      <c r="B130" s="24" t="s">
        <v>432</v>
      </c>
      <c r="M130" s="41"/>
      <c r="N130" s="42"/>
      <c r="O130" s="24" t="s">
        <v>404</v>
      </c>
      <c r="AF130" s="41"/>
      <c r="AG130" s="42"/>
      <c r="AH130" s="24" t="s">
        <v>433</v>
      </c>
      <c r="AY130" s="44"/>
      <c r="AZ130" s="42"/>
      <c r="BA130" s="45" t="str">
        <f t="shared" si="8"/>
        <v>SOL-6063</v>
      </c>
      <c r="BB130" s="45" t="str">
        <f t="shared" si="9"/>
        <v>SOL-6063</v>
      </c>
      <c r="BF130" s="46"/>
      <c r="BG130" s="46"/>
      <c r="BH130" s="47"/>
      <c r="BI130" s="46"/>
      <c r="BJ130" s="46"/>
      <c r="BK130" s="46"/>
      <c r="BN130" s="43">
        <f t="shared" si="7"/>
        <v>121</v>
      </c>
      <c r="BO130" s="43" t="s">
        <v>20</v>
      </c>
    </row>
    <row r="131" spans="1:67" ht="15" customHeight="1" x14ac:dyDescent="0.5">
      <c r="A131" s="42"/>
      <c r="B131" s="24" t="s">
        <v>434</v>
      </c>
      <c r="M131" s="41"/>
      <c r="N131" s="42"/>
      <c r="O131" s="24" t="s">
        <v>404</v>
      </c>
      <c r="AF131" s="41"/>
      <c r="AG131" s="42"/>
      <c r="AH131" s="24" t="s">
        <v>435</v>
      </c>
      <c r="AY131" s="44"/>
      <c r="AZ131" s="42"/>
      <c r="BA131" s="45" t="str">
        <f t="shared" si="8"/>
        <v>SOL-58062</v>
      </c>
      <c r="BB131" s="45" t="str">
        <f t="shared" si="9"/>
        <v>SOL-58062</v>
      </c>
      <c r="BF131" s="46"/>
      <c r="BG131" s="46"/>
      <c r="BH131" s="47"/>
      <c r="BI131" s="46"/>
      <c r="BJ131" s="46"/>
      <c r="BK131" s="46"/>
      <c r="BN131" s="43">
        <f t="shared" si="7"/>
        <v>122</v>
      </c>
      <c r="BO131" s="43">
        <v>1</v>
      </c>
    </row>
    <row r="132" spans="1:67" ht="15" customHeight="1" x14ac:dyDescent="0.5">
      <c r="A132" s="42"/>
      <c r="B132" s="24" t="s">
        <v>436</v>
      </c>
      <c r="M132" s="41"/>
      <c r="N132" s="42"/>
      <c r="O132" s="24" t="s">
        <v>404</v>
      </c>
      <c r="AF132" s="41"/>
      <c r="AG132" s="42"/>
      <c r="AH132" s="24" t="s">
        <v>437</v>
      </c>
      <c r="AY132" s="44"/>
      <c r="AZ132" s="42"/>
      <c r="BA132" s="45" t="str">
        <f t="shared" si="8"/>
        <v>SOL-58066</v>
      </c>
      <c r="BB132" s="45" t="str">
        <f t="shared" si="9"/>
        <v>SOL-58066</v>
      </c>
      <c r="BF132" s="46"/>
      <c r="BG132" s="46"/>
      <c r="BH132" s="47"/>
      <c r="BI132" s="46"/>
      <c r="BJ132" s="46"/>
      <c r="BK132" s="46"/>
      <c r="BN132" s="43">
        <f t="shared" si="7"/>
        <v>123</v>
      </c>
      <c r="BO132" s="43">
        <v>1</v>
      </c>
    </row>
    <row r="133" spans="1:67" ht="15" customHeight="1" x14ac:dyDescent="0.5">
      <c r="A133" s="42"/>
      <c r="B133" s="24" t="s">
        <v>438</v>
      </c>
      <c r="M133" s="41"/>
      <c r="N133" s="42"/>
      <c r="O133" s="24" t="s">
        <v>404</v>
      </c>
      <c r="AF133" s="41"/>
      <c r="AG133" s="42"/>
      <c r="AH133" s="24" t="s">
        <v>439</v>
      </c>
      <c r="AY133" s="44"/>
      <c r="AZ133" s="42"/>
      <c r="BA133" s="45" t="str">
        <f t="shared" si="8"/>
        <v>SOL-580620</v>
      </c>
      <c r="BB133" s="45" t="str">
        <f t="shared" si="9"/>
        <v>SOL-580620</v>
      </c>
      <c r="BH133" s="41"/>
      <c r="BN133" s="43">
        <f t="shared" si="7"/>
        <v>124</v>
      </c>
      <c r="BO133" s="43">
        <v>1</v>
      </c>
    </row>
    <row r="134" spans="1:67" ht="15" customHeight="1" x14ac:dyDescent="0.5">
      <c r="A134" s="42"/>
      <c r="B134" s="24" t="s">
        <v>440</v>
      </c>
      <c r="M134" s="41"/>
      <c r="N134" s="42"/>
      <c r="O134" s="24" t="s">
        <v>404</v>
      </c>
      <c r="AF134" s="41"/>
      <c r="AG134" s="42"/>
      <c r="AH134" s="24" t="s">
        <v>441</v>
      </c>
      <c r="AY134" s="41"/>
      <c r="AZ134" s="42"/>
      <c r="BA134" s="45" t="str">
        <f t="shared" si="8"/>
        <v>SOL-58063</v>
      </c>
      <c r="BB134" s="45" t="str">
        <f t="shared" si="9"/>
        <v>SOL-58063</v>
      </c>
      <c r="BG134" s="49"/>
      <c r="BH134" s="41"/>
      <c r="BN134" s="43">
        <f t="shared" si="7"/>
        <v>125</v>
      </c>
      <c r="BO134" s="43">
        <v>1</v>
      </c>
    </row>
    <row r="135" spans="1:67" ht="15" customHeight="1" x14ac:dyDescent="0.5">
      <c r="A135" s="42"/>
      <c r="B135" s="24" t="s">
        <v>442</v>
      </c>
      <c r="M135" s="41"/>
      <c r="N135" s="42"/>
      <c r="O135" s="24" t="s">
        <v>404</v>
      </c>
      <c r="AF135" s="41"/>
      <c r="AG135" s="42"/>
      <c r="AH135" s="24" t="s">
        <v>443</v>
      </c>
      <c r="AY135" s="41"/>
      <c r="AZ135" s="42"/>
      <c r="BA135" s="45" t="str">
        <f t="shared" si="8"/>
        <v>SOL-58065</v>
      </c>
      <c r="BB135" s="45" t="str">
        <f t="shared" si="9"/>
        <v>SOL-58065</v>
      </c>
      <c r="BG135" s="49"/>
      <c r="BH135" s="41"/>
      <c r="BN135" s="43">
        <f t="shared" si="7"/>
        <v>126</v>
      </c>
      <c r="BO135" s="43" t="s">
        <v>20</v>
      </c>
    </row>
    <row r="136" spans="1:67" ht="15" customHeight="1" x14ac:dyDescent="0.5">
      <c r="A136" s="42"/>
      <c r="B136" s="24" t="s">
        <v>444</v>
      </c>
      <c r="M136" s="41"/>
      <c r="N136" s="42"/>
      <c r="O136" s="24" t="s">
        <v>404</v>
      </c>
      <c r="AF136" s="41"/>
      <c r="AG136" s="42"/>
      <c r="AH136" s="24" t="s">
        <v>445</v>
      </c>
      <c r="AY136" s="41"/>
      <c r="AZ136" s="42"/>
      <c r="BA136" s="45" t="str">
        <f t="shared" si="8"/>
        <v>SOL-580713</v>
      </c>
      <c r="BB136" s="45" t="str">
        <f t="shared" si="9"/>
        <v>SOL-580713</v>
      </c>
      <c r="BG136" s="49"/>
      <c r="BH136" s="41"/>
      <c r="BN136" s="43">
        <f t="shared" si="7"/>
        <v>127</v>
      </c>
      <c r="BO136" s="43" t="s">
        <v>20</v>
      </c>
    </row>
    <row r="137" spans="1:67" ht="15" customHeight="1" x14ac:dyDescent="0.5">
      <c r="A137" s="42"/>
      <c r="B137" s="24" t="s">
        <v>446</v>
      </c>
      <c r="M137" s="41"/>
      <c r="N137" s="42"/>
      <c r="O137" s="24" t="s">
        <v>404</v>
      </c>
      <c r="AF137" s="41"/>
      <c r="AG137" s="42"/>
      <c r="AH137" s="24" t="s">
        <v>447</v>
      </c>
      <c r="AY137" s="44"/>
      <c r="AZ137" s="42"/>
      <c r="BA137" s="45" t="str">
        <f t="shared" si="8"/>
        <v>SOL-59562</v>
      </c>
      <c r="BB137" s="45" t="str">
        <f t="shared" si="9"/>
        <v>SOL-59562</v>
      </c>
      <c r="BH137" s="41"/>
      <c r="BN137" s="43">
        <f t="shared" si="7"/>
        <v>128</v>
      </c>
      <c r="BO137" s="43" t="s">
        <v>20</v>
      </c>
    </row>
    <row r="138" spans="1:67" ht="15" customHeight="1" x14ac:dyDescent="0.5">
      <c r="A138" s="42"/>
      <c r="B138" s="24" t="s">
        <v>448</v>
      </c>
      <c r="M138" s="41"/>
      <c r="N138" s="42"/>
      <c r="O138" s="24" t="s">
        <v>404</v>
      </c>
      <c r="AF138" s="41"/>
      <c r="AG138" s="42"/>
      <c r="AH138" s="24" t="s">
        <v>449</v>
      </c>
      <c r="AY138" s="44"/>
      <c r="AZ138" s="42"/>
      <c r="BA138" s="45" t="str">
        <f t="shared" ref="BA138:BA169" si="10">_xlfn.XLOOKUP(B138,$CN:$CN,$CL:$CL,"")</f>
        <v>SOL-59561</v>
      </c>
      <c r="BB138" s="45" t="str">
        <f t="shared" ref="BB138:BB169" si="11">_xlfn.XLOOKUP(B138,$CN:$CN,$CL:$CL,"")</f>
        <v>SOL-59561</v>
      </c>
      <c r="BH138" s="41"/>
      <c r="BN138" s="43">
        <f t="shared" si="7"/>
        <v>129</v>
      </c>
      <c r="BO138" s="43" t="s">
        <v>20</v>
      </c>
    </row>
    <row r="139" spans="1:67" ht="15" customHeight="1" x14ac:dyDescent="0.5">
      <c r="A139" s="42"/>
      <c r="B139" s="24" t="s">
        <v>450</v>
      </c>
      <c r="M139" s="41"/>
      <c r="N139" s="42"/>
      <c r="O139" s="24" t="s">
        <v>404</v>
      </c>
      <c r="AF139" s="41"/>
      <c r="AG139" s="42"/>
      <c r="AH139" s="24" t="s">
        <v>451</v>
      </c>
      <c r="AY139" s="44"/>
      <c r="AZ139" s="42"/>
      <c r="BA139" s="45" t="str">
        <f t="shared" si="10"/>
        <v>SOL-6077</v>
      </c>
      <c r="BB139" s="45" t="str">
        <f t="shared" si="11"/>
        <v>SOL-6077</v>
      </c>
      <c r="BH139" s="41"/>
      <c r="BN139" s="43">
        <f t="shared" si="7"/>
        <v>130</v>
      </c>
      <c r="BO139" s="43" t="s">
        <v>20</v>
      </c>
    </row>
    <row r="140" spans="1:67" ht="15" customHeight="1" x14ac:dyDescent="0.5">
      <c r="A140" s="42"/>
      <c r="B140" s="24" t="s">
        <v>452</v>
      </c>
      <c r="M140" s="41"/>
      <c r="N140" s="42"/>
      <c r="O140" s="24" t="s">
        <v>404</v>
      </c>
      <c r="AF140" s="41"/>
      <c r="AG140" s="42"/>
      <c r="AH140" s="24" t="s">
        <v>453</v>
      </c>
      <c r="AY140" s="44"/>
      <c r="AZ140" s="42"/>
      <c r="BA140" s="45" t="str">
        <f t="shared" si="10"/>
        <v>SOL-6078</v>
      </c>
      <c r="BB140" s="45" t="str">
        <f t="shared" si="11"/>
        <v>SOL-6078</v>
      </c>
      <c r="BH140" s="41"/>
      <c r="BN140" s="43">
        <f t="shared" ref="BN140:BN183" si="12">BN139+1</f>
        <v>131</v>
      </c>
      <c r="BO140" s="43">
        <v>1</v>
      </c>
    </row>
    <row r="141" spans="1:67" ht="15" customHeight="1" x14ac:dyDescent="0.5">
      <c r="A141" s="42"/>
      <c r="B141" s="24" t="s">
        <v>454</v>
      </c>
      <c r="M141" s="41"/>
      <c r="N141" s="42"/>
      <c r="O141" s="24" t="s">
        <v>455</v>
      </c>
      <c r="AF141" s="41"/>
      <c r="AG141" s="42"/>
      <c r="AH141" s="24" t="s">
        <v>405</v>
      </c>
      <c r="AY141" s="44"/>
      <c r="AZ141" s="42"/>
      <c r="BA141" s="45">
        <f t="shared" si="10"/>
        <v>0</v>
      </c>
      <c r="BB141" s="45">
        <f t="shared" si="11"/>
        <v>0</v>
      </c>
      <c r="BH141" s="41"/>
      <c r="BN141" s="43">
        <f t="shared" si="12"/>
        <v>132</v>
      </c>
      <c r="BO141" s="43" t="s">
        <v>20</v>
      </c>
    </row>
    <row r="142" spans="1:67" ht="15" customHeight="1" x14ac:dyDescent="0.5">
      <c r="A142" s="42"/>
      <c r="B142" s="24" t="s">
        <v>456</v>
      </c>
      <c r="M142" s="41"/>
      <c r="N142" s="42"/>
      <c r="O142" s="24" t="s">
        <v>455</v>
      </c>
      <c r="AF142" s="41"/>
      <c r="AG142" s="42"/>
      <c r="AH142" s="24" t="s">
        <v>407</v>
      </c>
      <c r="AY142" s="44"/>
      <c r="AZ142" s="42"/>
      <c r="BA142" s="45">
        <f t="shared" si="10"/>
        <v>0</v>
      </c>
      <c r="BB142" s="45">
        <f t="shared" si="11"/>
        <v>0</v>
      </c>
      <c r="BH142" s="41"/>
      <c r="BN142" s="43">
        <f t="shared" si="12"/>
        <v>133</v>
      </c>
      <c r="BO142" s="43" t="s">
        <v>20</v>
      </c>
    </row>
    <row r="143" spans="1:67" ht="15" customHeight="1" x14ac:dyDescent="0.5">
      <c r="A143" s="42"/>
      <c r="B143" s="24" t="s">
        <v>457</v>
      </c>
      <c r="M143" s="41"/>
      <c r="N143" s="42"/>
      <c r="O143" s="24" t="s">
        <v>455</v>
      </c>
      <c r="AF143" s="41"/>
      <c r="AG143" s="42"/>
      <c r="AH143" s="24" t="s">
        <v>409</v>
      </c>
      <c r="AY143" s="44"/>
      <c r="AZ143" s="42"/>
      <c r="BA143" s="45">
        <f t="shared" si="10"/>
        <v>0</v>
      </c>
      <c r="BB143" s="45">
        <f t="shared" si="11"/>
        <v>0</v>
      </c>
      <c r="BH143" s="41"/>
      <c r="BN143" s="43">
        <f t="shared" si="12"/>
        <v>134</v>
      </c>
      <c r="BO143" s="43">
        <v>1</v>
      </c>
    </row>
    <row r="144" spans="1:67" ht="15" customHeight="1" x14ac:dyDescent="0.5">
      <c r="A144" s="42"/>
      <c r="B144" s="24" t="s">
        <v>458</v>
      </c>
      <c r="M144" s="41"/>
      <c r="N144" s="42"/>
      <c r="O144" s="24" t="s">
        <v>455</v>
      </c>
      <c r="AF144" s="41"/>
      <c r="AG144" s="42"/>
      <c r="AH144" s="24" t="s">
        <v>411</v>
      </c>
      <c r="AY144" s="44"/>
      <c r="AZ144" s="42"/>
      <c r="BA144" s="45">
        <f t="shared" si="10"/>
        <v>0</v>
      </c>
      <c r="BB144" s="45">
        <f t="shared" si="11"/>
        <v>0</v>
      </c>
      <c r="BH144" s="41"/>
      <c r="BN144" s="43">
        <f t="shared" si="12"/>
        <v>135</v>
      </c>
      <c r="BO144" s="43" t="s">
        <v>20</v>
      </c>
    </row>
    <row r="145" spans="1:67" ht="15" customHeight="1" x14ac:dyDescent="0.5">
      <c r="A145" s="42"/>
      <c r="B145" s="24" t="s">
        <v>459</v>
      </c>
      <c r="M145" s="41"/>
      <c r="N145" s="42"/>
      <c r="O145" s="24" t="s">
        <v>455</v>
      </c>
      <c r="AF145" s="41"/>
      <c r="AG145" s="42"/>
      <c r="AH145" s="24" t="s">
        <v>415</v>
      </c>
      <c r="AY145" s="44"/>
      <c r="AZ145" s="42"/>
      <c r="BA145" s="45">
        <f t="shared" si="10"/>
        <v>0</v>
      </c>
      <c r="BB145" s="45">
        <f t="shared" si="11"/>
        <v>0</v>
      </c>
      <c r="BH145" s="41"/>
      <c r="BN145" s="43">
        <f t="shared" si="12"/>
        <v>136</v>
      </c>
      <c r="BO145" s="43" t="s">
        <v>20</v>
      </c>
    </row>
    <row r="146" spans="1:67" ht="15" customHeight="1" x14ac:dyDescent="0.5">
      <c r="A146" s="42"/>
      <c r="B146" s="24" t="s">
        <v>460</v>
      </c>
      <c r="M146" s="41"/>
      <c r="N146" s="42"/>
      <c r="O146" s="24" t="s">
        <v>455</v>
      </c>
      <c r="AF146" s="41"/>
      <c r="AG146" s="42"/>
      <c r="AH146" s="24" t="s">
        <v>417</v>
      </c>
      <c r="AY146" s="44"/>
      <c r="AZ146" s="42"/>
      <c r="BA146" s="45">
        <f t="shared" si="10"/>
        <v>0</v>
      </c>
      <c r="BB146" s="45">
        <f t="shared" si="11"/>
        <v>0</v>
      </c>
      <c r="BF146" s="46"/>
      <c r="BG146" s="46"/>
      <c r="BH146" s="47"/>
      <c r="BI146" s="46"/>
      <c r="BJ146" s="46"/>
      <c r="BK146" s="46"/>
      <c r="BN146" s="43">
        <f t="shared" si="12"/>
        <v>137</v>
      </c>
      <c r="BO146" s="43">
        <v>1</v>
      </c>
    </row>
    <row r="147" spans="1:67" ht="15" customHeight="1" x14ac:dyDescent="0.5">
      <c r="A147" s="42"/>
      <c r="B147" s="24" t="s">
        <v>461</v>
      </c>
      <c r="M147" s="41"/>
      <c r="N147" s="42"/>
      <c r="O147" s="24" t="s">
        <v>455</v>
      </c>
      <c r="AF147" s="41"/>
      <c r="AG147" s="42"/>
      <c r="AH147" s="24" t="s">
        <v>419</v>
      </c>
      <c r="AY147" s="41"/>
      <c r="AZ147" s="42"/>
      <c r="BA147" s="45">
        <f t="shared" si="10"/>
        <v>0</v>
      </c>
      <c r="BB147" s="45">
        <f t="shared" si="11"/>
        <v>0</v>
      </c>
      <c r="BH147" s="41"/>
      <c r="BN147" s="43">
        <f t="shared" si="12"/>
        <v>138</v>
      </c>
      <c r="BO147" s="43" t="s">
        <v>20</v>
      </c>
    </row>
    <row r="148" spans="1:67" ht="15" customHeight="1" x14ac:dyDescent="0.5">
      <c r="A148" s="42"/>
      <c r="B148" s="24" t="s">
        <v>462</v>
      </c>
      <c r="M148" s="41"/>
      <c r="N148" s="42"/>
      <c r="O148" s="24" t="s">
        <v>455</v>
      </c>
      <c r="AF148" s="41"/>
      <c r="AG148" s="42"/>
      <c r="AH148" s="24" t="s">
        <v>421</v>
      </c>
      <c r="AY148" s="41"/>
      <c r="AZ148" s="42"/>
      <c r="BA148" s="45">
        <f t="shared" si="10"/>
        <v>0</v>
      </c>
      <c r="BB148" s="45">
        <f t="shared" si="11"/>
        <v>0</v>
      </c>
      <c r="BH148" s="41"/>
      <c r="BN148" s="43">
        <f t="shared" si="12"/>
        <v>139</v>
      </c>
      <c r="BO148" s="43" t="s">
        <v>20</v>
      </c>
    </row>
    <row r="149" spans="1:67" ht="15" customHeight="1" x14ac:dyDescent="0.5">
      <c r="A149" s="42"/>
      <c r="B149" s="24" t="s">
        <v>463</v>
      </c>
      <c r="M149" s="41"/>
      <c r="N149" s="42"/>
      <c r="O149" s="24" t="s">
        <v>455</v>
      </c>
      <c r="AF149" s="44"/>
      <c r="AG149" s="42"/>
      <c r="AH149" s="24" t="s">
        <v>425</v>
      </c>
      <c r="AY149" s="41"/>
      <c r="AZ149" s="42"/>
      <c r="BA149" s="45">
        <f t="shared" si="10"/>
        <v>0</v>
      </c>
      <c r="BB149" s="45">
        <f t="shared" si="11"/>
        <v>0</v>
      </c>
      <c r="BH149" s="41"/>
      <c r="BN149" s="43">
        <f>BN148+1</f>
        <v>140</v>
      </c>
      <c r="BO149" s="43" t="s">
        <v>20</v>
      </c>
    </row>
    <row r="150" spans="1:67" ht="15" customHeight="1" x14ac:dyDescent="0.5">
      <c r="A150" s="42"/>
      <c r="B150" s="24" t="s">
        <v>464</v>
      </c>
      <c r="M150" s="41"/>
      <c r="N150" s="42"/>
      <c r="O150" s="24" t="s">
        <v>455</v>
      </c>
      <c r="AF150" s="44"/>
      <c r="AG150" s="42"/>
      <c r="AH150" s="24" t="s">
        <v>427</v>
      </c>
      <c r="AY150" s="41"/>
      <c r="AZ150" s="42"/>
      <c r="BA150" s="45">
        <f t="shared" si="10"/>
        <v>0</v>
      </c>
      <c r="BB150" s="45">
        <f t="shared" si="11"/>
        <v>0</v>
      </c>
      <c r="BH150" s="41"/>
      <c r="BN150" s="43">
        <f>BN149+1</f>
        <v>141</v>
      </c>
      <c r="BO150" s="43" t="s">
        <v>20</v>
      </c>
    </row>
    <row r="151" spans="1:67" ht="15" customHeight="1" x14ac:dyDescent="0.5">
      <c r="A151" s="42"/>
      <c r="B151" s="24" t="s">
        <v>465</v>
      </c>
      <c r="M151" s="41"/>
      <c r="N151" s="42"/>
      <c r="O151" s="24" t="s">
        <v>455</v>
      </c>
      <c r="AF151" s="44"/>
      <c r="AG151" s="42"/>
      <c r="AH151" s="24" t="s">
        <v>429</v>
      </c>
      <c r="AY151" s="41"/>
      <c r="AZ151" s="42"/>
      <c r="BA151" s="45">
        <f t="shared" si="10"/>
        <v>0</v>
      </c>
      <c r="BB151" s="45">
        <f t="shared" si="11"/>
        <v>0</v>
      </c>
      <c r="BH151" s="41"/>
      <c r="BN151" s="43">
        <f t="shared" si="12"/>
        <v>142</v>
      </c>
      <c r="BO151" s="43" t="s">
        <v>20</v>
      </c>
    </row>
    <row r="152" spans="1:67" ht="15" customHeight="1" x14ac:dyDescent="0.5">
      <c r="A152" s="42"/>
      <c r="B152" s="24" t="s">
        <v>466</v>
      </c>
      <c r="M152" s="41"/>
      <c r="N152" s="42"/>
      <c r="O152" s="24" t="s">
        <v>455</v>
      </c>
      <c r="AF152" s="44"/>
      <c r="AG152" s="42"/>
      <c r="AH152" s="24" t="s">
        <v>431</v>
      </c>
      <c r="AY152" s="41"/>
      <c r="AZ152" s="42"/>
      <c r="BA152" s="45">
        <f t="shared" si="10"/>
        <v>0</v>
      </c>
      <c r="BB152" s="45">
        <f t="shared" si="11"/>
        <v>0</v>
      </c>
      <c r="BH152" s="41"/>
      <c r="BN152" s="43">
        <f t="shared" si="12"/>
        <v>143</v>
      </c>
      <c r="BO152" s="43" t="s">
        <v>20</v>
      </c>
    </row>
    <row r="153" spans="1:67" ht="15" customHeight="1" x14ac:dyDescent="0.5">
      <c r="A153" s="42"/>
      <c r="B153" s="24" t="s">
        <v>467</v>
      </c>
      <c r="M153" s="41"/>
      <c r="N153" s="42"/>
      <c r="O153" s="24" t="s">
        <v>455</v>
      </c>
      <c r="AF153" s="44"/>
      <c r="AG153" s="42"/>
      <c r="AH153" s="24" t="s">
        <v>435</v>
      </c>
      <c r="AY153" s="41"/>
      <c r="AZ153" s="42"/>
      <c r="BA153" s="45">
        <f t="shared" si="10"/>
        <v>0</v>
      </c>
      <c r="BB153" s="45">
        <f t="shared" si="11"/>
        <v>0</v>
      </c>
      <c r="BH153" s="41"/>
      <c r="BN153" s="43">
        <f t="shared" si="12"/>
        <v>144</v>
      </c>
      <c r="BO153" s="43" t="s">
        <v>20</v>
      </c>
    </row>
    <row r="154" spans="1:67" ht="15" customHeight="1" x14ac:dyDescent="0.5">
      <c r="A154" s="42"/>
      <c r="B154" s="24" t="s">
        <v>468</v>
      </c>
      <c r="M154" s="41"/>
      <c r="N154" s="42"/>
      <c r="O154" s="24" t="s">
        <v>455</v>
      </c>
      <c r="AF154" s="44"/>
      <c r="AG154" s="42"/>
      <c r="AH154" s="24" t="s">
        <v>437</v>
      </c>
      <c r="AY154" s="41"/>
      <c r="AZ154" s="42"/>
      <c r="BA154" s="45">
        <f t="shared" si="10"/>
        <v>0</v>
      </c>
      <c r="BB154" s="45">
        <f t="shared" si="11"/>
        <v>0</v>
      </c>
      <c r="BH154" s="41"/>
      <c r="BN154" s="43">
        <f t="shared" si="12"/>
        <v>145</v>
      </c>
      <c r="BO154" s="43" t="s">
        <v>20</v>
      </c>
    </row>
    <row r="155" spans="1:67" ht="15" customHeight="1" x14ac:dyDescent="0.5">
      <c r="A155" s="42"/>
      <c r="B155" s="24" t="s">
        <v>469</v>
      </c>
      <c r="M155" s="41"/>
      <c r="N155" s="42"/>
      <c r="O155" s="24" t="s">
        <v>455</v>
      </c>
      <c r="AF155" s="41"/>
      <c r="AG155" s="42"/>
      <c r="AH155" s="24" t="s">
        <v>439</v>
      </c>
      <c r="AY155" s="41"/>
      <c r="AZ155" s="42"/>
      <c r="BA155" s="45">
        <f t="shared" si="10"/>
        <v>0</v>
      </c>
      <c r="BB155" s="45">
        <f t="shared" si="11"/>
        <v>0</v>
      </c>
      <c r="BH155" s="41"/>
      <c r="BN155" s="43">
        <f t="shared" si="12"/>
        <v>146</v>
      </c>
      <c r="BO155" s="43" t="s">
        <v>20</v>
      </c>
    </row>
    <row r="156" spans="1:67" ht="15" customHeight="1" x14ac:dyDescent="0.5">
      <c r="A156" s="42"/>
      <c r="B156" s="24" t="s">
        <v>470</v>
      </c>
      <c r="M156" s="41"/>
      <c r="N156" s="42"/>
      <c r="O156" s="24" t="s">
        <v>455</v>
      </c>
      <c r="AF156" s="41"/>
      <c r="AG156" s="42"/>
      <c r="AH156" s="24" t="s">
        <v>441</v>
      </c>
      <c r="AY156" s="41"/>
      <c r="AZ156" s="42"/>
      <c r="BA156" s="45">
        <f t="shared" si="10"/>
        <v>0</v>
      </c>
      <c r="BB156" s="45">
        <f t="shared" si="11"/>
        <v>0</v>
      </c>
      <c r="BH156" s="41"/>
      <c r="BN156" s="43">
        <f t="shared" si="12"/>
        <v>147</v>
      </c>
      <c r="BO156" s="43" t="s">
        <v>20</v>
      </c>
    </row>
    <row r="157" spans="1:67" ht="15" customHeight="1" x14ac:dyDescent="0.5">
      <c r="A157" s="42"/>
      <c r="B157" s="24" t="s">
        <v>471</v>
      </c>
      <c r="M157" s="41"/>
      <c r="N157" s="42"/>
      <c r="O157" s="24" t="s">
        <v>472</v>
      </c>
      <c r="AF157" s="41"/>
      <c r="AG157" s="42"/>
      <c r="AH157" s="24" t="s">
        <v>473</v>
      </c>
      <c r="AY157" s="41"/>
      <c r="AZ157" s="42"/>
      <c r="BA157" s="45">
        <f t="shared" si="10"/>
        <v>0</v>
      </c>
      <c r="BB157" s="45">
        <f t="shared" si="11"/>
        <v>0</v>
      </c>
      <c r="BH157" s="41"/>
      <c r="BN157" s="43">
        <f t="shared" si="12"/>
        <v>148</v>
      </c>
      <c r="BO157" s="43" t="s">
        <v>20</v>
      </c>
    </row>
    <row r="158" spans="1:67" ht="15" customHeight="1" x14ac:dyDescent="0.5">
      <c r="A158" s="42"/>
      <c r="B158" s="24" t="s">
        <v>474</v>
      </c>
      <c r="M158" s="41"/>
      <c r="N158" s="42"/>
      <c r="O158" s="24" t="s">
        <v>472</v>
      </c>
      <c r="AF158" s="41"/>
      <c r="AG158" s="42"/>
      <c r="AH158" s="24" t="s">
        <v>475</v>
      </c>
      <c r="AY158" s="41"/>
      <c r="AZ158" s="42"/>
      <c r="BA158" s="45">
        <f t="shared" si="10"/>
        <v>0</v>
      </c>
      <c r="BB158" s="45">
        <f t="shared" si="11"/>
        <v>0</v>
      </c>
      <c r="BH158" s="41"/>
      <c r="BN158" s="43">
        <f t="shared" si="12"/>
        <v>149</v>
      </c>
      <c r="BO158" s="43" t="s">
        <v>20</v>
      </c>
    </row>
    <row r="159" spans="1:67" ht="15" customHeight="1" x14ac:dyDescent="0.5">
      <c r="A159" s="42"/>
      <c r="B159" s="24" t="s">
        <v>476</v>
      </c>
      <c r="M159" s="41"/>
      <c r="N159" s="42"/>
      <c r="O159" s="24" t="s">
        <v>472</v>
      </c>
      <c r="AF159" s="41"/>
      <c r="AG159" s="42"/>
      <c r="AH159" s="24" t="s">
        <v>477</v>
      </c>
      <c r="AY159" s="41"/>
      <c r="AZ159" s="42"/>
      <c r="BA159" s="45">
        <f t="shared" si="10"/>
        <v>0</v>
      </c>
      <c r="BB159" s="45">
        <f t="shared" si="11"/>
        <v>0</v>
      </c>
      <c r="BH159" s="41"/>
      <c r="BN159" s="43">
        <f t="shared" si="12"/>
        <v>150</v>
      </c>
      <c r="BO159" s="43" t="s">
        <v>20</v>
      </c>
    </row>
    <row r="160" spans="1:67" ht="15" customHeight="1" x14ac:dyDescent="0.5">
      <c r="A160" s="42"/>
      <c r="B160" s="24" t="s">
        <v>478</v>
      </c>
      <c r="M160" s="41"/>
      <c r="N160" s="42"/>
      <c r="O160" s="24" t="s">
        <v>472</v>
      </c>
      <c r="AF160" s="41"/>
      <c r="AG160" s="42"/>
      <c r="AH160" s="24" t="s">
        <v>479</v>
      </c>
      <c r="AY160" s="41"/>
      <c r="AZ160" s="42"/>
      <c r="BA160" s="45">
        <f t="shared" si="10"/>
        <v>0</v>
      </c>
      <c r="BB160" s="45">
        <f t="shared" si="11"/>
        <v>0</v>
      </c>
      <c r="BH160" s="41"/>
      <c r="BN160" s="43">
        <f t="shared" si="12"/>
        <v>151</v>
      </c>
      <c r="BO160" s="43" t="s">
        <v>20</v>
      </c>
    </row>
    <row r="161" spans="1:67" ht="15" customHeight="1" x14ac:dyDescent="0.5">
      <c r="A161" s="42"/>
      <c r="B161" s="24" t="s">
        <v>480</v>
      </c>
      <c r="M161" s="41"/>
      <c r="N161" s="42"/>
      <c r="O161" s="24" t="s">
        <v>472</v>
      </c>
      <c r="AF161" s="41"/>
      <c r="AG161" s="42"/>
      <c r="AH161" s="24" t="s">
        <v>481</v>
      </c>
      <c r="AY161" s="41"/>
      <c r="AZ161" s="42"/>
      <c r="BA161" s="45">
        <f t="shared" si="10"/>
        <v>0</v>
      </c>
      <c r="BB161" s="45">
        <f t="shared" si="11"/>
        <v>0</v>
      </c>
      <c r="BH161" s="41"/>
      <c r="BN161" s="43">
        <f t="shared" si="12"/>
        <v>152</v>
      </c>
      <c r="BO161" s="43" t="s">
        <v>20</v>
      </c>
    </row>
    <row r="162" spans="1:67" ht="15" customHeight="1" x14ac:dyDescent="0.5">
      <c r="A162" s="42"/>
      <c r="B162" s="24" t="s">
        <v>482</v>
      </c>
      <c r="M162" s="41"/>
      <c r="N162" s="42"/>
      <c r="O162" s="24" t="s">
        <v>472</v>
      </c>
      <c r="AF162" s="41"/>
      <c r="AG162" s="42"/>
      <c r="AH162" s="24" t="s">
        <v>483</v>
      </c>
      <c r="AY162" s="41"/>
      <c r="AZ162" s="42"/>
      <c r="BA162" s="45">
        <f t="shared" si="10"/>
        <v>0</v>
      </c>
      <c r="BB162" s="45">
        <f t="shared" si="11"/>
        <v>0</v>
      </c>
      <c r="BH162" s="41"/>
      <c r="BN162" s="43">
        <f t="shared" si="12"/>
        <v>153</v>
      </c>
      <c r="BO162" s="43" t="s">
        <v>20</v>
      </c>
    </row>
    <row r="163" spans="1:67" ht="15" customHeight="1" x14ac:dyDescent="0.5">
      <c r="A163" s="42"/>
      <c r="B163" s="24" t="s">
        <v>484</v>
      </c>
      <c r="M163" s="41"/>
      <c r="N163" s="42"/>
      <c r="O163" s="24" t="s">
        <v>472</v>
      </c>
      <c r="AF163" s="41"/>
      <c r="AG163" s="42"/>
      <c r="AH163" s="24" t="s">
        <v>485</v>
      </c>
      <c r="AY163" s="41"/>
      <c r="AZ163" s="42"/>
      <c r="BA163" s="45">
        <f t="shared" si="10"/>
        <v>0</v>
      </c>
      <c r="BB163" s="45">
        <f t="shared" si="11"/>
        <v>0</v>
      </c>
      <c r="BH163" s="41"/>
      <c r="BN163" s="43">
        <f t="shared" si="12"/>
        <v>154</v>
      </c>
      <c r="BO163" s="43" t="s">
        <v>20</v>
      </c>
    </row>
    <row r="164" spans="1:67" ht="15" customHeight="1" x14ac:dyDescent="0.5">
      <c r="A164" s="42"/>
      <c r="B164" s="24" t="s">
        <v>486</v>
      </c>
      <c r="M164" s="41"/>
      <c r="N164" s="42"/>
      <c r="O164" s="24" t="s">
        <v>472</v>
      </c>
      <c r="AF164" s="41"/>
      <c r="AG164" s="42"/>
      <c r="AH164" s="24" t="s">
        <v>487</v>
      </c>
      <c r="AY164" s="41"/>
      <c r="AZ164" s="42"/>
      <c r="BA164" s="45">
        <f t="shared" si="10"/>
        <v>0</v>
      </c>
      <c r="BB164" s="45">
        <f t="shared" si="11"/>
        <v>0</v>
      </c>
      <c r="BH164" s="41"/>
      <c r="BN164" s="43">
        <f t="shared" si="12"/>
        <v>155</v>
      </c>
      <c r="BO164" s="43" t="s">
        <v>20</v>
      </c>
    </row>
    <row r="165" spans="1:67" ht="15" customHeight="1" x14ac:dyDescent="0.5">
      <c r="A165" s="42"/>
      <c r="B165" s="24" t="s">
        <v>488</v>
      </c>
      <c r="M165" s="41"/>
      <c r="N165" s="42"/>
      <c r="O165" s="24" t="s">
        <v>472</v>
      </c>
      <c r="AF165" s="41"/>
      <c r="AG165" s="42"/>
      <c r="AH165" s="24" t="s">
        <v>489</v>
      </c>
      <c r="AY165" s="41"/>
      <c r="AZ165" s="42"/>
      <c r="BA165" s="45">
        <f t="shared" si="10"/>
        <v>0</v>
      </c>
      <c r="BB165" s="45">
        <f t="shared" si="11"/>
        <v>0</v>
      </c>
      <c r="BH165" s="41"/>
      <c r="BN165" s="43">
        <f t="shared" si="12"/>
        <v>156</v>
      </c>
      <c r="BO165" s="43" t="s">
        <v>20</v>
      </c>
    </row>
    <row r="166" spans="1:67" ht="15" customHeight="1" x14ac:dyDescent="0.5">
      <c r="A166" s="42"/>
      <c r="B166" s="24" t="s">
        <v>490</v>
      </c>
      <c r="M166" s="41"/>
      <c r="N166" s="42"/>
      <c r="O166" s="24" t="s">
        <v>472</v>
      </c>
      <c r="AF166" s="41"/>
      <c r="AG166" s="42"/>
      <c r="AH166" s="24" t="s">
        <v>491</v>
      </c>
      <c r="AY166" s="41"/>
      <c r="AZ166" s="42"/>
      <c r="BA166" s="45">
        <f t="shared" si="10"/>
        <v>0</v>
      </c>
      <c r="BB166" s="45">
        <f t="shared" si="11"/>
        <v>0</v>
      </c>
      <c r="BH166" s="41"/>
      <c r="BN166" s="43">
        <f t="shared" si="12"/>
        <v>157</v>
      </c>
      <c r="BO166" s="43" t="s">
        <v>20</v>
      </c>
    </row>
    <row r="167" spans="1:67" ht="15" customHeight="1" x14ac:dyDescent="0.5">
      <c r="A167" s="42"/>
      <c r="B167" s="24" t="s">
        <v>492</v>
      </c>
      <c r="M167" s="41"/>
      <c r="N167" s="42"/>
      <c r="O167" s="24" t="s">
        <v>493</v>
      </c>
      <c r="AF167" s="41"/>
      <c r="AG167" s="42"/>
      <c r="AH167" s="286" t="s">
        <v>494</v>
      </c>
      <c r="AY167" s="41"/>
      <c r="AZ167" s="42"/>
      <c r="BA167" s="45" t="str">
        <f t="shared" si="10"/>
        <v>SOL-5955</v>
      </c>
      <c r="BB167" s="45" t="str">
        <f t="shared" si="11"/>
        <v>SOL-5955</v>
      </c>
      <c r="BH167" s="41"/>
      <c r="BN167" s="43"/>
      <c r="BO167" s="43"/>
    </row>
    <row r="168" spans="1:67" ht="15" customHeight="1" x14ac:dyDescent="0.5">
      <c r="A168" s="42"/>
      <c r="B168" s="24" t="s">
        <v>189</v>
      </c>
      <c r="M168" s="41"/>
      <c r="N168" s="42"/>
      <c r="O168" s="24" t="s">
        <v>495</v>
      </c>
      <c r="AF168" s="41"/>
      <c r="AG168" s="42"/>
      <c r="AH168" s="24" t="s">
        <v>496</v>
      </c>
      <c r="AY168" s="41"/>
      <c r="AZ168" s="42"/>
      <c r="BA168" s="45" t="str">
        <f t="shared" si="10"/>
        <v>SOL-580404</v>
      </c>
      <c r="BB168" s="45" t="str">
        <f t="shared" si="11"/>
        <v>SOL-580404</v>
      </c>
      <c r="BC168" s="24" t="s">
        <v>497</v>
      </c>
      <c r="BH168" s="41"/>
      <c r="BN168" s="43">
        <f>BN166+1</f>
        <v>158</v>
      </c>
      <c r="BO168" s="43" t="s">
        <v>20</v>
      </c>
    </row>
    <row r="169" spans="1:67" ht="15" customHeight="1" x14ac:dyDescent="0.5">
      <c r="A169" s="42"/>
      <c r="B169" s="24" t="s">
        <v>498</v>
      </c>
      <c r="M169" s="41"/>
      <c r="N169" s="42"/>
      <c r="O169" s="24" t="s">
        <v>499</v>
      </c>
      <c r="AF169" s="41"/>
      <c r="AG169" s="42"/>
      <c r="AH169" s="24" t="s">
        <v>500</v>
      </c>
      <c r="AY169" s="41"/>
      <c r="AZ169" s="42"/>
      <c r="BA169" s="45" t="str">
        <f t="shared" si="10"/>
        <v>SOL-6097</v>
      </c>
      <c r="BB169" s="45" t="str">
        <f t="shared" si="11"/>
        <v>SOL-6097</v>
      </c>
      <c r="BC169" s="24" t="s">
        <v>501</v>
      </c>
      <c r="BH169" s="41"/>
      <c r="BN169" s="43">
        <f t="shared" si="12"/>
        <v>159</v>
      </c>
      <c r="BO169" s="43" t="s">
        <v>20</v>
      </c>
    </row>
    <row r="170" spans="1:67" ht="15" customHeight="1" x14ac:dyDescent="0.5">
      <c r="A170" s="42"/>
      <c r="B170" s="24" t="s">
        <v>502</v>
      </c>
      <c r="M170" s="41"/>
      <c r="N170" s="42"/>
      <c r="O170" s="24" t="s">
        <v>503</v>
      </c>
      <c r="AF170" s="41"/>
      <c r="AG170" s="42"/>
      <c r="AH170" s="24" t="s">
        <v>504</v>
      </c>
      <c r="AY170" s="41"/>
      <c r="AZ170" s="42"/>
      <c r="BA170" s="45">
        <f t="shared" ref="BA170:BA183" si="13">_xlfn.XLOOKUP(B170,$CN:$CN,$CL:$CL,"")</f>
        <v>0</v>
      </c>
      <c r="BB170" s="45">
        <f t="shared" ref="BB170:BB183" si="14">_xlfn.XLOOKUP(B170,$CN:$CN,$CL:$CL,"")</f>
        <v>0</v>
      </c>
      <c r="BH170" s="41"/>
      <c r="BN170" s="43">
        <f t="shared" si="12"/>
        <v>160</v>
      </c>
      <c r="BO170" s="43" t="s">
        <v>20</v>
      </c>
    </row>
    <row r="171" spans="1:67" ht="15" customHeight="1" x14ac:dyDescent="0.5">
      <c r="A171" s="42"/>
      <c r="B171" s="24" t="s">
        <v>505</v>
      </c>
      <c r="M171" s="41"/>
      <c r="N171" s="42"/>
      <c r="O171" s="24" t="s">
        <v>503</v>
      </c>
      <c r="AF171" s="41"/>
      <c r="AG171" s="42"/>
      <c r="AH171" s="24" t="s">
        <v>506</v>
      </c>
      <c r="AY171" s="41"/>
      <c r="AZ171" s="42"/>
      <c r="BA171" s="45">
        <f t="shared" si="13"/>
        <v>0</v>
      </c>
      <c r="BB171" s="45">
        <f t="shared" si="14"/>
        <v>0</v>
      </c>
      <c r="BH171" s="41"/>
      <c r="BN171" s="43">
        <f t="shared" si="12"/>
        <v>161</v>
      </c>
      <c r="BO171" s="43" t="s">
        <v>20</v>
      </c>
    </row>
    <row r="172" spans="1:67" ht="15" customHeight="1" x14ac:dyDescent="0.5">
      <c r="A172" s="42"/>
      <c r="B172" s="24" t="s">
        <v>507</v>
      </c>
      <c r="M172" s="41"/>
      <c r="N172" s="42"/>
      <c r="O172" s="24" t="s">
        <v>503</v>
      </c>
      <c r="AF172" s="44"/>
      <c r="AG172" s="42"/>
      <c r="AH172" s="24" t="s">
        <v>508</v>
      </c>
      <c r="AY172" s="44"/>
      <c r="AZ172" s="42"/>
      <c r="BA172" s="45" t="str">
        <f t="shared" si="13"/>
        <v>SOL-58101</v>
      </c>
      <c r="BB172" s="45" t="str">
        <f t="shared" si="14"/>
        <v>SOL-58101</v>
      </c>
      <c r="BH172" s="41"/>
      <c r="BN172" s="43">
        <f t="shared" si="12"/>
        <v>162</v>
      </c>
      <c r="BO172" s="43" t="s">
        <v>20</v>
      </c>
    </row>
    <row r="173" spans="1:67" ht="15" customHeight="1" x14ac:dyDescent="0.5">
      <c r="A173" s="42"/>
      <c r="B173" s="24" t="s">
        <v>509</v>
      </c>
      <c r="M173" s="41"/>
      <c r="N173" s="42"/>
      <c r="O173" s="24" t="s">
        <v>510</v>
      </c>
      <c r="AF173" s="41"/>
      <c r="AG173" s="42"/>
      <c r="AH173" s="24" t="s">
        <v>511</v>
      </c>
      <c r="AY173" s="41"/>
      <c r="AZ173" s="42"/>
      <c r="BA173" s="45" t="str">
        <f t="shared" si="13"/>
        <v>SOL-59530</v>
      </c>
      <c r="BB173" s="45" t="str">
        <f t="shared" si="14"/>
        <v>SOL-59530</v>
      </c>
      <c r="BH173" s="41"/>
      <c r="BN173" s="43">
        <f t="shared" si="12"/>
        <v>163</v>
      </c>
      <c r="BO173" s="43" t="s">
        <v>20</v>
      </c>
    </row>
    <row r="174" spans="1:67" ht="15" customHeight="1" x14ac:dyDescent="0.5">
      <c r="A174" s="42"/>
      <c r="B174" s="24" t="s">
        <v>512</v>
      </c>
      <c r="M174" s="41"/>
      <c r="N174" s="42"/>
      <c r="O174" s="24" t="s">
        <v>513</v>
      </c>
      <c r="AF174" s="41"/>
      <c r="AG174" s="42"/>
      <c r="AH174" s="24" t="s">
        <v>514</v>
      </c>
      <c r="AY174" s="41"/>
      <c r="AZ174" s="42"/>
      <c r="BA174" s="45" t="str">
        <f t="shared" si="13"/>
        <v>SOL-5954</v>
      </c>
      <c r="BB174" s="45" t="str">
        <f t="shared" si="14"/>
        <v>SOL-5954</v>
      </c>
      <c r="BH174" s="41"/>
      <c r="BN174" s="43">
        <f t="shared" si="12"/>
        <v>164</v>
      </c>
      <c r="BO174" s="43" t="s">
        <v>20</v>
      </c>
    </row>
    <row r="175" spans="1:67" ht="15" customHeight="1" x14ac:dyDescent="0.5">
      <c r="A175" s="42"/>
      <c r="B175" s="24" t="s">
        <v>515</v>
      </c>
      <c r="M175" s="41"/>
      <c r="N175" s="42"/>
      <c r="O175" s="24" t="s">
        <v>516</v>
      </c>
      <c r="AF175" s="41"/>
      <c r="AG175" s="42"/>
      <c r="AH175" s="24" t="s">
        <v>511</v>
      </c>
      <c r="AY175" s="41"/>
      <c r="AZ175" s="42"/>
      <c r="BA175" s="45" t="str">
        <f t="shared" si="13"/>
        <v>SOL-5953</v>
      </c>
      <c r="BB175" s="45" t="str">
        <f t="shared" si="14"/>
        <v>SOL-5953</v>
      </c>
      <c r="BH175" s="41"/>
      <c r="BN175" s="43">
        <f t="shared" si="12"/>
        <v>165</v>
      </c>
      <c r="BO175" s="43" t="s">
        <v>20</v>
      </c>
    </row>
    <row r="176" spans="1:67" ht="15" customHeight="1" x14ac:dyDescent="0.5">
      <c r="A176" s="42"/>
      <c r="B176" s="24" t="s">
        <v>517</v>
      </c>
      <c r="M176" s="41"/>
      <c r="N176" s="42"/>
      <c r="O176" s="24" t="s">
        <v>518</v>
      </c>
      <c r="AF176" s="41"/>
      <c r="AG176" s="42"/>
      <c r="AH176" s="24" t="s">
        <v>519</v>
      </c>
      <c r="AY176" s="41"/>
      <c r="AZ176" s="42"/>
      <c r="BA176" s="45" t="str">
        <f t="shared" si="13"/>
        <v/>
      </c>
      <c r="BB176" s="45" t="str">
        <f t="shared" si="14"/>
        <v/>
      </c>
      <c r="BH176" s="41"/>
      <c r="BN176" s="43">
        <f t="shared" si="12"/>
        <v>166</v>
      </c>
      <c r="BO176" s="43" t="s">
        <v>20</v>
      </c>
    </row>
    <row r="177" spans="1:92" ht="15" customHeight="1" x14ac:dyDescent="0.5">
      <c r="A177" s="42"/>
      <c r="B177" s="24" t="s">
        <v>520</v>
      </c>
      <c r="M177" s="41"/>
      <c r="N177" s="42"/>
      <c r="O177" s="24" t="s">
        <v>518</v>
      </c>
      <c r="AF177" s="41"/>
      <c r="AG177" s="42"/>
      <c r="AH177" s="24" t="s">
        <v>521</v>
      </c>
      <c r="AY177" s="41"/>
      <c r="AZ177" s="42"/>
      <c r="BA177" s="45" t="str">
        <f t="shared" si="13"/>
        <v>SOL-5952</v>
      </c>
      <c r="BB177" s="45" t="str">
        <f t="shared" si="14"/>
        <v>SOL-5952</v>
      </c>
      <c r="BH177" s="41"/>
      <c r="BN177" s="43">
        <f t="shared" si="12"/>
        <v>167</v>
      </c>
      <c r="BO177" s="43" t="s">
        <v>20</v>
      </c>
    </row>
    <row r="178" spans="1:92" ht="15" customHeight="1" x14ac:dyDescent="0.5">
      <c r="A178" s="42"/>
      <c r="B178" s="24" t="s">
        <v>522</v>
      </c>
      <c r="M178" s="41"/>
      <c r="N178" s="42"/>
      <c r="O178" s="24" t="s">
        <v>523</v>
      </c>
      <c r="AF178" s="41"/>
      <c r="AG178" s="42"/>
      <c r="AH178" s="24" t="s">
        <v>524</v>
      </c>
      <c r="AY178" s="41"/>
      <c r="AZ178" s="42"/>
      <c r="BA178" s="45" t="str">
        <f t="shared" si="13"/>
        <v>SOL-59520</v>
      </c>
      <c r="BB178" s="45" t="str">
        <f t="shared" si="14"/>
        <v>SOL-59520</v>
      </c>
      <c r="BH178" s="41"/>
      <c r="BN178" s="43">
        <f t="shared" si="12"/>
        <v>168</v>
      </c>
      <c r="BO178" s="43" t="s">
        <v>20</v>
      </c>
    </row>
    <row r="179" spans="1:92" ht="15" customHeight="1" x14ac:dyDescent="0.5">
      <c r="A179" s="42"/>
      <c r="B179" s="24" t="s">
        <v>525</v>
      </c>
      <c r="M179" s="41"/>
      <c r="N179" s="42"/>
      <c r="O179" s="24" t="s">
        <v>526</v>
      </c>
      <c r="AF179" s="41"/>
      <c r="AG179" s="42"/>
      <c r="AH179" s="24" t="s">
        <v>527</v>
      </c>
      <c r="AY179" s="41"/>
      <c r="AZ179" s="42"/>
      <c r="BA179" s="45" t="str">
        <f t="shared" si="13"/>
        <v>SOL-6076</v>
      </c>
      <c r="BB179" s="45" t="str">
        <f t="shared" si="14"/>
        <v>SOL-6076</v>
      </c>
      <c r="BH179" s="41"/>
      <c r="BN179" s="43">
        <f t="shared" si="12"/>
        <v>169</v>
      </c>
      <c r="BO179" s="43" t="s">
        <v>20</v>
      </c>
    </row>
    <row r="180" spans="1:92" ht="15" customHeight="1" x14ac:dyDescent="0.5">
      <c r="A180" s="42"/>
      <c r="B180" s="24" t="s">
        <v>528</v>
      </c>
      <c r="M180" s="41"/>
      <c r="N180" s="42"/>
      <c r="O180" s="24" t="s">
        <v>529</v>
      </c>
      <c r="AF180" s="41"/>
      <c r="AG180" s="42"/>
      <c r="AH180" s="24" t="s">
        <v>511</v>
      </c>
      <c r="AY180" s="41"/>
      <c r="AZ180" s="42"/>
      <c r="BA180" s="45" t="str">
        <f t="shared" si="13"/>
        <v>SOL-59511</v>
      </c>
      <c r="BB180" s="45" t="str">
        <f t="shared" si="14"/>
        <v>SOL-59511</v>
      </c>
      <c r="BH180" s="41"/>
      <c r="BN180" s="43">
        <f t="shared" si="12"/>
        <v>170</v>
      </c>
      <c r="BO180" s="43" t="s">
        <v>20</v>
      </c>
    </row>
    <row r="181" spans="1:92" ht="15" customHeight="1" x14ac:dyDescent="0.5">
      <c r="A181" s="42"/>
      <c r="B181" s="24" t="s">
        <v>530</v>
      </c>
      <c r="M181" s="41"/>
      <c r="N181" s="42"/>
      <c r="O181" s="24" t="s">
        <v>531</v>
      </c>
      <c r="AF181" s="41"/>
      <c r="AG181" s="42"/>
      <c r="AH181" s="24" t="s">
        <v>532</v>
      </c>
      <c r="AY181" s="41"/>
      <c r="AZ181" s="42"/>
      <c r="BA181" s="45" t="str">
        <f t="shared" si="13"/>
        <v/>
      </c>
      <c r="BB181" s="45" t="str">
        <f t="shared" si="14"/>
        <v/>
      </c>
      <c r="BH181" s="41"/>
      <c r="BN181" s="43">
        <f t="shared" si="12"/>
        <v>171</v>
      </c>
      <c r="BO181" s="43" t="s">
        <v>20</v>
      </c>
    </row>
    <row r="182" spans="1:92" ht="15" customHeight="1" x14ac:dyDescent="0.5">
      <c r="A182" s="42"/>
      <c r="B182" s="24" t="s">
        <v>533</v>
      </c>
      <c r="M182" s="41"/>
      <c r="N182" s="42"/>
      <c r="O182" s="24" t="s">
        <v>531</v>
      </c>
      <c r="AF182" s="41"/>
      <c r="AG182" s="42"/>
      <c r="AH182" s="24" t="s">
        <v>511</v>
      </c>
      <c r="AY182" s="41"/>
      <c r="AZ182" s="42"/>
      <c r="BA182" s="45" t="str">
        <f t="shared" si="13"/>
        <v>SOL-595101</v>
      </c>
      <c r="BB182" s="45" t="str">
        <f t="shared" si="14"/>
        <v>SOL-595101</v>
      </c>
      <c r="BH182" s="41"/>
      <c r="BN182" s="43">
        <f t="shared" si="12"/>
        <v>172</v>
      </c>
      <c r="BO182" s="43" t="s">
        <v>20</v>
      </c>
    </row>
    <row r="183" spans="1:92" ht="15" customHeight="1" x14ac:dyDescent="0.5">
      <c r="A183" s="42"/>
      <c r="B183" s="24" t="s">
        <v>534</v>
      </c>
      <c r="M183" s="41"/>
      <c r="N183" s="42"/>
      <c r="O183" s="24" t="s">
        <v>535</v>
      </c>
      <c r="AF183" s="41"/>
      <c r="AG183" s="42"/>
      <c r="AH183" s="24" t="s">
        <v>511</v>
      </c>
      <c r="AY183" s="41"/>
      <c r="AZ183" s="42"/>
      <c r="BA183" s="45" t="str">
        <f t="shared" si="13"/>
        <v>SOL-5951</v>
      </c>
      <c r="BB183" s="45" t="str">
        <f t="shared" si="14"/>
        <v>SOL-5951</v>
      </c>
      <c r="BH183" s="41"/>
      <c r="BN183" s="43">
        <f t="shared" si="12"/>
        <v>173</v>
      </c>
      <c r="BO183" s="43" t="s">
        <v>20</v>
      </c>
    </row>
    <row r="184" spans="1:92" ht="15" customHeight="1" x14ac:dyDescent="0.5">
      <c r="A184" s="42"/>
      <c r="B184" s="286" t="s">
        <v>536</v>
      </c>
      <c r="M184" s="41"/>
      <c r="N184" s="42"/>
      <c r="O184" s="286" t="s">
        <v>537</v>
      </c>
      <c r="AF184" s="41"/>
      <c r="AG184" s="42"/>
      <c r="AH184" s="286" t="s">
        <v>538</v>
      </c>
      <c r="AY184" s="41"/>
      <c r="AZ184" s="42"/>
      <c r="BA184" s="45"/>
      <c r="BB184" s="45"/>
      <c r="BH184" s="41"/>
      <c r="BN184" s="43"/>
      <c r="BO184" s="43"/>
    </row>
    <row r="185" spans="1:92" ht="15" customHeight="1" x14ac:dyDescent="0.5">
      <c r="A185" s="42"/>
      <c r="B185" s="286" t="s">
        <v>539</v>
      </c>
      <c r="M185" s="41"/>
      <c r="N185" s="42"/>
      <c r="O185" s="286" t="s">
        <v>540</v>
      </c>
      <c r="AF185" s="41"/>
      <c r="AG185" s="42"/>
      <c r="AH185" s="286" t="s">
        <v>214</v>
      </c>
      <c r="AY185" s="41"/>
      <c r="AZ185" s="42"/>
      <c r="BA185" s="45"/>
      <c r="BB185" s="45"/>
      <c r="BH185" s="41"/>
      <c r="BN185" s="43"/>
      <c r="BO185" s="43"/>
    </row>
    <row r="186" spans="1:92" ht="15" customHeight="1" x14ac:dyDescent="0.5">
      <c r="A186" s="42"/>
      <c r="B186" s="286" t="s">
        <v>541</v>
      </c>
      <c r="M186" s="41"/>
      <c r="N186" s="42"/>
      <c r="O186" s="286" t="s">
        <v>540</v>
      </c>
      <c r="AF186" s="41"/>
      <c r="AG186" s="42"/>
      <c r="AH186" s="286" t="s">
        <v>216</v>
      </c>
      <c r="AY186" s="41"/>
      <c r="AZ186" s="42"/>
      <c r="BA186" s="45"/>
      <c r="BB186" s="45"/>
      <c r="BH186" s="41"/>
      <c r="BN186" s="43"/>
      <c r="BO186" s="43"/>
    </row>
    <row r="187" spans="1:92" ht="15" customHeight="1" x14ac:dyDescent="0.5">
      <c r="A187" s="42"/>
      <c r="B187" s="24" t="s">
        <v>542</v>
      </c>
      <c r="M187" s="41"/>
      <c r="N187" s="42"/>
      <c r="O187" s="24" t="s">
        <v>540</v>
      </c>
      <c r="AF187" s="41"/>
      <c r="AG187" s="42"/>
      <c r="AH187" s="24" t="s">
        <v>218</v>
      </c>
      <c r="AY187" s="41"/>
      <c r="AZ187" s="42"/>
      <c r="BA187" s="45"/>
      <c r="BB187" s="45"/>
      <c r="BH187" s="41"/>
      <c r="BN187" s="43"/>
      <c r="BO187" s="43"/>
    </row>
    <row r="188" spans="1:92" ht="15" customHeight="1" x14ac:dyDescent="0.3">
      <c r="A188" s="50"/>
      <c r="B188" s="51" t="s">
        <v>55</v>
      </c>
      <c r="C188" s="51"/>
      <c r="D188" s="51"/>
      <c r="E188" s="51"/>
      <c r="F188" s="51"/>
      <c r="G188" s="51"/>
      <c r="H188" s="51"/>
      <c r="I188" s="51"/>
      <c r="J188" s="51"/>
      <c r="K188" s="51"/>
      <c r="L188" s="51"/>
      <c r="M188" s="52"/>
      <c r="N188" s="50"/>
      <c r="O188" s="51" t="s">
        <v>543</v>
      </c>
      <c r="P188" s="51"/>
      <c r="Q188" s="51"/>
      <c r="R188" s="51"/>
      <c r="S188" s="51"/>
      <c r="T188" s="51"/>
      <c r="U188" s="51"/>
      <c r="V188" s="51"/>
      <c r="W188" s="51"/>
      <c r="X188" s="51"/>
      <c r="Y188" s="51"/>
      <c r="Z188" s="51"/>
      <c r="AA188" s="51"/>
      <c r="AB188" s="51"/>
      <c r="AC188" s="51"/>
      <c r="AD188" s="51"/>
      <c r="AE188" s="51"/>
      <c r="AF188" s="52"/>
      <c r="AG188" s="50"/>
      <c r="AH188" s="287" t="s">
        <v>192</v>
      </c>
      <c r="AI188" s="51"/>
      <c r="AJ188" s="51"/>
      <c r="AK188" s="51"/>
      <c r="AL188" s="51"/>
      <c r="AM188" s="51"/>
      <c r="AN188" s="51"/>
      <c r="AO188" s="51"/>
      <c r="AP188" s="51"/>
      <c r="AQ188" s="51"/>
      <c r="AR188" s="51"/>
      <c r="AS188" s="51"/>
      <c r="AT188" s="51"/>
      <c r="AU188" s="51"/>
      <c r="AV188" s="51"/>
      <c r="AW188" s="51"/>
      <c r="AX188" s="51"/>
      <c r="AY188" s="52"/>
      <c r="AZ188" s="50"/>
      <c r="BA188" s="51" t="str">
        <f>_xlfn.XLOOKUP(B188,$CN:$CN,$CL:$CL,"")</f>
        <v>-</v>
      </c>
      <c r="BB188" s="287" t="str">
        <f>_xlfn.XLOOKUP(B188,$CN:$CN,$CL:$CL,"")</f>
        <v>-</v>
      </c>
      <c r="BC188" s="51"/>
      <c r="BD188" s="51"/>
      <c r="BE188" s="51"/>
      <c r="BF188" s="51"/>
      <c r="BG188" s="51"/>
      <c r="BH188" s="52"/>
      <c r="CL188" s="53" t="s">
        <v>133</v>
      </c>
      <c r="CM188" s="53" t="s">
        <v>543</v>
      </c>
      <c r="CN188" s="53" t="s">
        <v>55</v>
      </c>
    </row>
    <row r="189" spans="1:92" ht="15" customHeight="1" x14ac:dyDescent="0.3">
      <c r="B189" s="24" t="s">
        <v>20</v>
      </c>
      <c r="C189" s="24" t="s">
        <v>107</v>
      </c>
      <c r="D189" s="24" t="s">
        <v>108</v>
      </c>
      <c r="E189" s="24" t="s">
        <v>109</v>
      </c>
      <c r="F189" s="24" t="s">
        <v>110</v>
      </c>
      <c r="G189" s="24" t="s">
        <v>111</v>
      </c>
      <c r="H189" s="24" t="s">
        <v>112</v>
      </c>
      <c r="I189" s="24" t="s">
        <v>113</v>
      </c>
      <c r="J189" s="24" t="s">
        <v>114</v>
      </c>
      <c r="K189" s="24" t="s">
        <v>115</v>
      </c>
      <c r="L189" s="24" t="s">
        <v>116</v>
      </c>
      <c r="M189" s="24" t="s">
        <v>117</v>
      </c>
      <c r="N189" s="24" t="s">
        <v>118</v>
      </c>
      <c r="O189" s="24" t="s">
        <v>119</v>
      </c>
      <c r="P189" s="24" t="s">
        <v>120</v>
      </c>
      <c r="Q189" s="24" t="s">
        <v>121</v>
      </c>
      <c r="R189" s="24" t="s">
        <v>544</v>
      </c>
      <c r="S189" s="24" t="s">
        <v>545</v>
      </c>
      <c r="T189" s="24" t="s">
        <v>546</v>
      </c>
      <c r="U189" s="24" t="s">
        <v>547</v>
      </c>
      <c r="V189" s="24" t="s">
        <v>548</v>
      </c>
      <c r="W189" s="24" t="s">
        <v>549</v>
      </c>
      <c r="X189" s="24" t="s">
        <v>550</v>
      </c>
      <c r="Y189" s="24" t="s">
        <v>551</v>
      </c>
      <c r="Z189" s="24" t="s">
        <v>552</v>
      </c>
      <c r="AA189" s="24" t="s">
        <v>553</v>
      </c>
      <c r="AB189" s="24" t="s">
        <v>554</v>
      </c>
      <c r="AC189" s="24" t="s">
        <v>555</v>
      </c>
      <c r="AD189" s="24" t="s">
        <v>556</v>
      </c>
      <c r="AE189" s="24" t="s">
        <v>154</v>
      </c>
      <c r="AF189" s="24" t="s">
        <v>557</v>
      </c>
      <c r="AG189" s="24" t="s">
        <v>558</v>
      </c>
      <c r="AH189" s="24" t="s">
        <v>559</v>
      </c>
      <c r="AI189" s="24" t="s">
        <v>560</v>
      </c>
      <c r="AJ189" s="24" t="s">
        <v>561</v>
      </c>
      <c r="AK189" s="24" t="s">
        <v>562</v>
      </c>
      <c r="AL189" s="24" t="s">
        <v>563</v>
      </c>
      <c r="AM189" s="24" t="s">
        <v>564</v>
      </c>
      <c r="AN189" s="24" t="s">
        <v>565</v>
      </c>
      <c r="AO189" s="24" t="s">
        <v>566</v>
      </c>
      <c r="AP189" s="24" t="s">
        <v>567</v>
      </c>
      <c r="AQ189" s="24" t="s">
        <v>568</v>
      </c>
      <c r="AR189" s="24" t="s">
        <v>569</v>
      </c>
      <c r="AS189" s="24" t="s">
        <v>570</v>
      </c>
      <c r="AT189" s="24" t="s">
        <v>571</v>
      </c>
      <c r="AU189" s="24" t="s">
        <v>572</v>
      </c>
      <c r="AV189" s="24" t="s">
        <v>573</v>
      </c>
      <c r="AW189" s="24" t="s">
        <v>574</v>
      </c>
      <c r="AX189" s="24" t="s">
        <v>575</v>
      </c>
      <c r="AY189" s="24" t="s">
        <v>576</v>
      </c>
      <c r="AZ189" s="24" t="s">
        <v>577</v>
      </c>
      <c r="BA189" s="24" t="s">
        <v>578</v>
      </c>
      <c r="BB189" s="24" t="s">
        <v>579</v>
      </c>
      <c r="BC189" s="24" t="s">
        <v>580</v>
      </c>
      <c r="CL189" s="53" t="s">
        <v>581</v>
      </c>
      <c r="CM189" s="53" t="s">
        <v>582</v>
      </c>
      <c r="CN189" s="53" t="s">
        <v>403</v>
      </c>
    </row>
    <row r="190" spans="1:92" ht="15" customHeight="1" x14ac:dyDescent="0.3">
      <c r="CL190" s="53" t="s">
        <v>583</v>
      </c>
      <c r="CM190" s="53" t="s">
        <v>584</v>
      </c>
      <c r="CN190" s="53" t="s">
        <v>406</v>
      </c>
    </row>
    <row r="191" spans="1:92" ht="15" customHeight="1" x14ac:dyDescent="0.3">
      <c r="CL191" s="53" t="s">
        <v>585</v>
      </c>
      <c r="CM191" s="53" t="s">
        <v>586</v>
      </c>
      <c r="CN191" s="53" t="s">
        <v>408</v>
      </c>
    </row>
    <row r="192" spans="1:92" ht="15" customHeight="1" x14ac:dyDescent="0.3">
      <c r="CL192" s="53" t="s">
        <v>587</v>
      </c>
      <c r="CM192" s="53" t="s">
        <v>588</v>
      </c>
      <c r="CN192" s="53" t="s">
        <v>410</v>
      </c>
    </row>
    <row r="193" spans="90:92" ht="15" customHeight="1" x14ac:dyDescent="0.3">
      <c r="CL193" s="53" t="s">
        <v>589</v>
      </c>
      <c r="CM193" s="53" t="s">
        <v>590</v>
      </c>
      <c r="CN193" s="53" t="s">
        <v>412</v>
      </c>
    </row>
    <row r="194" spans="90:92" ht="15" customHeight="1" x14ac:dyDescent="0.3">
      <c r="CL194" s="53" t="s">
        <v>591</v>
      </c>
      <c r="CM194" s="53" t="s">
        <v>592</v>
      </c>
      <c r="CN194" s="53" t="s">
        <v>414</v>
      </c>
    </row>
    <row r="195" spans="90:92" ht="15" customHeight="1" x14ac:dyDescent="0.3">
      <c r="CL195" s="53" t="s">
        <v>593</v>
      </c>
      <c r="CM195" s="53" t="s">
        <v>594</v>
      </c>
      <c r="CN195" s="53" t="s">
        <v>416</v>
      </c>
    </row>
    <row r="196" spans="90:92" ht="15" customHeight="1" x14ac:dyDescent="0.3">
      <c r="CL196" s="53" t="s">
        <v>595</v>
      </c>
      <c r="CM196" s="53" t="s">
        <v>596</v>
      </c>
      <c r="CN196" s="53" t="s">
        <v>418</v>
      </c>
    </row>
    <row r="197" spans="90:92" ht="15" customHeight="1" x14ac:dyDescent="0.3">
      <c r="CL197" s="53" t="s">
        <v>597</v>
      </c>
      <c r="CM197" s="53" t="s">
        <v>598</v>
      </c>
      <c r="CN197" s="53" t="s">
        <v>420</v>
      </c>
    </row>
    <row r="198" spans="90:92" ht="15" customHeight="1" x14ac:dyDescent="0.3">
      <c r="CL198" s="53" t="s">
        <v>599</v>
      </c>
      <c r="CM198" s="53" t="s">
        <v>600</v>
      </c>
      <c r="CN198" s="53" t="s">
        <v>422</v>
      </c>
    </row>
    <row r="199" spans="90:92" ht="15" customHeight="1" x14ac:dyDescent="0.3">
      <c r="CL199" s="53" t="s">
        <v>601</v>
      </c>
      <c r="CM199" s="53" t="s">
        <v>602</v>
      </c>
      <c r="CN199" s="53" t="s">
        <v>424</v>
      </c>
    </row>
    <row r="200" spans="90:92" ht="15" customHeight="1" x14ac:dyDescent="0.3">
      <c r="CL200" s="53" t="s">
        <v>603</v>
      </c>
      <c r="CM200" s="53" t="s">
        <v>604</v>
      </c>
      <c r="CN200" s="53" t="s">
        <v>426</v>
      </c>
    </row>
    <row r="201" spans="90:92" ht="15" customHeight="1" x14ac:dyDescent="0.3">
      <c r="CL201" s="53" t="s">
        <v>605</v>
      </c>
      <c r="CM201" s="53" t="s">
        <v>606</v>
      </c>
      <c r="CN201" s="53" t="s">
        <v>428</v>
      </c>
    </row>
    <row r="202" spans="90:92" ht="15" customHeight="1" x14ac:dyDescent="0.3">
      <c r="CL202" s="53" t="s">
        <v>607</v>
      </c>
      <c r="CM202" s="53" t="s">
        <v>608</v>
      </c>
      <c r="CN202" s="53" t="s">
        <v>430</v>
      </c>
    </row>
    <row r="203" spans="90:92" ht="15" customHeight="1" x14ac:dyDescent="0.3">
      <c r="CL203" s="53" t="s">
        <v>609</v>
      </c>
      <c r="CM203" s="53" t="s">
        <v>610</v>
      </c>
      <c r="CN203" s="53" t="s">
        <v>432</v>
      </c>
    </row>
    <row r="204" spans="90:92" ht="15" customHeight="1" x14ac:dyDescent="0.3">
      <c r="CL204" s="53" t="s">
        <v>611</v>
      </c>
      <c r="CM204" s="53" t="s">
        <v>612</v>
      </c>
      <c r="CN204" s="53" t="s">
        <v>434</v>
      </c>
    </row>
    <row r="205" spans="90:92" ht="15" customHeight="1" x14ac:dyDescent="0.3">
      <c r="CL205" s="53" t="s">
        <v>613</v>
      </c>
      <c r="CM205" s="53" t="s">
        <v>614</v>
      </c>
      <c r="CN205" s="53" t="s">
        <v>436</v>
      </c>
    </row>
    <row r="206" spans="90:92" ht="15" customHeight="1" x14ac:dyDescent="0.3">
      <c r="CL206" s="53" t="s">
        <v>615</v>
      </c>
      <c r="CM206" s="53" t="s">
        <v>616</v>
      </c>
      <c r="CN206" s="53" t="s">
        <v>438</v>
      </c>
    </row>
    <row r="207" spans="90:92" ht="15" customHeight="1" x14ac:dyDescent="0.3">
      <c r="CL207" s="53" t="s">
        <v>617</v>
      </c>
      <c r="CM207" s="53" t="s">
        <v>618</v>
      </c>
      <c r="CN207" s="53" t="s">
        <v>440</v>
      </c>
    </row>
    <row r="208" spans="90:92" ht="15" customHeight="1" x14ac:dyDescent="0.3">
      <c r="CL208" s="53" t="s">
        <v>619</v>
      </c>
      <c r="CM208" s="53" t="s">
        <v>620</v>
      </c>
      <c r="CN208" s="53" t="s">
        <v>442</v>
      </c>
    </row>
    <row r="209" spans="90:92" ht="15" customHeight="1" x14ac:dyDescent="0.3">
      <c r="CL209" s="53" t="s">
        <v>621</v>
      </c>
      <c r="CM209" s="53" t="s">
        <v>622</v>
      </c>
      <c r="CN209" s="53" t="s">
        <v>444</v>
      </c>
    </row>
    <row r="210" spans="90:92" ht="15" customHeight="1" x14ac:dyDescent="0.3">
      <c r="CL210" s="53" t="s">
        <v>623</v>
      </c>
      <c r="CM210" s="53" t="s">
        <v>624</v>
      </c>
      <c r="CN210" s="53" t="s">
        <v>446</v>
      </c>
    </row>
    <row r="211" spans="90:92" ht="15" customHeight="1" x14ac:dyDescent="0.3">
      <c r="CL211" s="53" t="s">
        <v>625</v>
      </c>
      <c r="CM211" s="53" t="s">
        <v>626</v>
      </c>
      <c r="CN211" s="53" t="s">
        <v>448</v>
      </c>
    </row>
    <row r="212" spans="90:92" ht="15" customHeight="1" x14ac:dyDescent="0.3">
      <c r="CL212" s="53" t="s">
        <v>627</v>
      </c>
      <c r="CM212" s="53" t="s">
        <v>628</v>
      </c>
      <c r="CN212" s="53" t="s">
        <v>450</v>
      </c>
    </row>
    <row r="213" spans="90:92" ht="15" customHeight="1" x14ac:dyDescent="0.3">
      <c r="CL213" s="53" t="s">
        <v>629</v>
      </c>
      <c r="CM213" s="53" t="s">
        <v>630</v>
      </c>
      <c r="CN213" s="53" t="s">
        <v>452</v>
      </c>
    </row>
    <row r="214" spans="90:92" ht="15" customHeight="1" x14ac:dyDescent="0.3">
      <c r="CL214" s="53"/>
      <c r="CM214" s="53" t="s">
        <v>631</v>
      </c>
      <c r="CN214" s="53" t="s">
        <v>454</v>
      </c>
    </row>
    <row r="215" spans="90:92" ht="15" customHeight="1" x14ac:dyDescent="0.3">
      <c r="CL215" s="53"/>
      <c r="CM215" s="53" t="s">
        <v>632</v>
      </c>
      <c r="CN215" s="53" t="s">
        <v>456</v>
      </c>
    </row>
    <row r="216" spans="90:92" ht="15" customHeight="1" x14ac:dyDescent="0.3">
      <c r="CL216" s="53"/>
      <c r="CM216" s="53" t="s">
        <v>633</v>
      </c>
      <c r="CN216" s="53" t="s">
        <v>457</v>
      </c>
    </row>
    <row r="217" spans="90:92" ht="15" customHeight="1" x14ac:dyDescent="0.3">
      <c r="CL217" s="53"/>
      <c r="CM217" s="53" t="s">
        <v>634</v>
      </c>
      <c r="CN217" s="53" t="s">
        <v>458</v>
      </c>
    </row>
    <row r="218" spans="90:92" ht="15" customHeight="1" x14ac:dyDescent="0.3">
      <c r="CL218" s="53"/>
      <c r="CM218" s="53" t="s">
        <v>635</v>
      </c>
      <c r="CN218" s="53" t="s">
        <v>459</v>
      </c>
    </row>
    <row r="219" spans="90:92" ht="15" customHeight="1" x14ac:dyDescent="0.3">
      <c r="CL219" s="53"/>
      <c r="CM219" s="53" t="s">
        <v>636</v>
      </c>
      <c r="CN219" s="53" t="s">
        <v>460</v>
      </c>
    </row>
    <row r="220" spans="90:92" ht="15" customHeight="1" x14ac:dyDescent="0.3">
      <c r="CL220" s="53"/>
      <c r="CM220" s="53" t="s">
        <v>637</v>
      </c>
      <c r="CN220" s="53" t="s">
        <v>461</v>
      </c>
    </row>
    <row r="221" spans="90:92" ht="15" customHeight="1" x14ac:dyDescent="0.3">
      <c r="CL221" s="53"/>
      <c r="CM221" s="53" t="s">
        <v>638</v>
      </c>
      <c r="CN221" s="53" t="s">
        <v>462</v>
      </c>
    </row>
    <row r="222" spans="90:92" ht="15" customHeight="1" x14ac:dyDescent="0.3">
      <c r="CL222" s="53"/>
      <c r="CM222" s="53" t="s">
        <v>639</v>
      </c>
      <c r="CN222" s="53" t="s">
        <v>463</v>
      </c>
    </row>
    <row r="223" spans="90:92" ht="15" customHeight="1" x14ac:dyDescent="0.3">
      <c r="CL223" s="53"/>
      <c r="CM223" s="53" t="s">
        <v>640</v>
      </c>
      <c r="CN223" s="53" t="s">
        <v>464</v>
      </c>
    </row>
    <row r="224" spans="90:92" ht="15" customHeight="1" x14ac:dyDescent="0.3">
      <c r="CL224" s="53"/>
      <c r="CM224" s="53" t="s">
        <v>641</v>
      </c>
      <c r="CN224" s="53" t="s">
        <v>465</v>
      </c>
    </row>
    <row r="225" spans="90:92" ht="15" customHeight="1" x14ac:dyDescent="0.3">
      <c r="CL225" s="53"/>
      <c r="CM225" s="53" t="s">
        <v>642</v>
      </c>
      <c r="CN225" s="53" t="s">
        <v>466</v>
      </c>
    </row>
    <row r="226" spans="90:92" ht="15" customHeight="1" x14ac:dyDescent="0.3">
      <c r="CL226" s="53"/>
      <c r="CM226" s="53" t="s">
        <v>643</v>
      </c>
      <c r="CN226" s="53" t="s">
        <v>467</v>
      </c>
    </row>
    <row r="227" spans="90:92" ht="15" customHeight="1" x14ac:dyDescent="0.3">
      <c r="CL227" s="53"/>
      <c r="CM227" s="53" t="s">
        <v>644</v>
      </c>
      <c r="CN227" s="53" t="s">
        <v>468</v>
      </c>
    </row>
    <row r="228" spans="90:92" ht="15" customHeight="1" x14ac:dyDescent="0.3">
      <c r="CL228" s="53"/>
      <c r="CM228" s="53" t="s">
        <v>645</v>
      </c>
      <c r="CN228" s="53" t="s">
        <v>469</v>
      </c>
    </row>
    <row r="229" spans="90:92" ht="15" customHeight="1" x14ac:dyDescent="0.3">
      <c r="CL229" s="53"/>
      <c r="CM229" s="53" t="s">
        <v>646</v>
      </c>
      <c r="CN229" s="53" t="s">
        <v>470</v>
      </c>
    </row>
    <row r="230" spans="90:92" ht="15" customHeight="1" x14ac:dyDescent="0.3">
      <c r="CL230" s="53"/>
      <c r="CM230" s="53" t="s">
        <v>647</v>
      </c>
      <c r="CN230" s="53" t="s">
        <v>471</v>
      </c>
    </row>
    <row r="231" spans="90:92" ht="15" customHeight="1" x14ac:dyDescent="0.3">
      <c r="CL231" s="53"/>
      <c r="CM231" s="53" t="s">
        <v>648</v>
      </c>
      <c r="CN231" s="53" t="s">
        <v>474</v>
      </c>
    </row>
    <row r="232" spans="90:92" ht="15" customHeight="1" x14ac:dyDescent="0.3">
      <c r="CL232" s="53"/>
      <c r="CM232" s="53" t="s">
        <v>649</v>
      </c>
      <c r="CN232" s="53" t="s">
        <v>476</v>
      </c>
    </row>
    <row r="233" spans="90:92" ht="15" customHeight="1" x14ac:dyDescent="0.3">
      <c r="CL233" s="53"/>
      <c r="CM233" s="53" t="s">
        <v>650</v>
      </c>
      <c r="CN233" s="53" t="s">
        <v>478</v>
      </c>
    </row>
    <row r="234" spans="90:92" ht="15" customHeight="1" x14ac:dyDescent="0.3">
      <c r="CL234" s="53"/>
      <c r="CM234" s="53" t="s">
        <v>651</v>
      </c>
      <c r="CN234" s="53" t="s">
        <v>480</v>
      </c>
    </row>
    <row r="235" spans="90:92" ht="15" customHeight="1" x14ac:dyDescent="0.3">
      <c r="CL235" s="53"/>
      <c r="CM235" s="53" t="s">
        <v>652</v>
      </c>
      <c r="CN235" s="53" t="s">
        <v>482</v>
      </c>
    </row>
    <row r="236" spans="90:92" ht="15" customHeight="1" x14ac:dyDescent="0.3">
      <c r="CL236" s="53"/>
      <c r="CM236" s="53" t="s">
        <v>653</v>
      </c>
      <c r="CN236" s="53" t="s">
        <v>484</v>
      </c>
    </row>
    <row r="237" spans="90:92" ht="15" customHeight="1" x14ac:dyDescent="0.3">
      <c r="CL237" s="53"/>
      <c r="CM237" s="53" t="s">
        <v>654</v>
      </c>
      <c r="CN237" s="53" t="s">
        <v>486</v>
      </c>
    </row>
    <row r="238" spans="90:92" ht="15" customHeight="1" x14ac:dyDescent="0.3">
      <c r="CL238" s="53"/>
      <c r="CM238" s="53" t="s">
        <v>655</v>
      </c>
      <c r="CN238" s="53" t="s">
        <v>488</v>
      </c>
    </row>
    <row r="239" spans="90:92" ht="15" customHeight="1" x14ac:dyDescent="0.3">
      <c r="CL239" s="53"/>
      <c r="CM239" s="53" t="s">
        <v>656</v>
      </c>
      <c r="CN239" s="53" t="s">
        <v>490</v>
      </c>
    </row>
    <row r="240" spans="90:92" ht="15" customHeight="1" x14ac:dyDescent="0.3">
      <c r="CL240" s="53" t="s">
        <v>657</v>
      </c>
      <c r="CM240" s="53" t="s">
        <v>658</v>
      </c>
      <c r="CN240" s="53" t="s">
        <v>191</v>
      </c>
    </row>
    <row r="241" spans="90:92" ht="15" customHeight="1" x14ac:dyDescent="0.3">
      <c r="CL241" s="53" t="s">
        <v>659</v>
      </c>
      <c r="CM241" s="53" t="s">
        <v>660</v>
      </c>
      <c r="CN241" s="53" t="s">
        <v>215</v>
      </c>
    </row>
    <row r="242" spans="90:92" ht="15" customHeight="1" x14ac:dyDescent="0.3">
      <c r="CL242" s="53" t="s">
        <v>661</v>
      </c>
      <c r="CM242" s="53" t="s">
        <v>662</v>
      </c>
      <c r="CN242" s="53" t="s">
        <v>217</v>
      </c>
    </row>
    <row r="243" spans="90:92" ht="15" customHeight="1" x14ac:dyDescent="0.3">
      <c r="CL243" s="53" t="s">
        <v>663</v>
      </c>
      <c r="CM243" s="53" t="s">
        <v>664</v>
      </c>
      <c r="CN243" s="53" t="s">
        <v>219</v>
      </c>
    </row>
    <row r="244" spans="90:92" ht="15" customHeight="1" x14ac:dyDescent="0.3">
      <c r="CL244" s="53" t="s">
        <v>665</v>
      </c>
      <c r="CM244" s="53" t="s">
        <v>666</v>
      </c>
      <c r="CN244" s="53" t="s">
        <v>221</v>
      </c>
    </row>
    <row r="245" spans="90:92" ht="15" customHeight="1" x14ac:dyDescent="0.3">
      <c r="CL245" s="53" t="s">
        <v>667</v>
      </c>
      <c r="CM245" s="53" t="s">
        <v>668</v>
      </c>
      <c r="CN245" s="53" t="s">
        <v>222</v>
      </c>
    </row>
    <row r="246" spans="90:92" ht="15" customHeight="1" x14ac:dyDescent="0.3">
      <c r="CL246" s="53" t="s">
        <v>669</v>
      </c>
      <c r="CM246" s="53" t="s">
        <v>670</v>
      </c>
      <c r="CN246" s="53" t="s">
        <v>224</v>
      </c>
    </row>
    <row r="247" spans="90:92" ht="15" customHeight="1" x14ac:dyDescent="0.3">
      <c r="CL247" s="53" t="s">
        <v>671</v>
      </c>
      <c r="CM247" s="53" t="s">
        <v>672</v>
      </c>
      <c r="CN247" s="53" t="s">
        <v>225</v>
      </c>
    </row>
    <row r="248" spans="90:92" ht="15" customHeight="1" x14ac:dyDescent="0.3">
      <c r="CL248" s="53" t="s">
        <v>673</v>
      </c>
      <c r="CM248" s="53" t="s">
        <v>674</v>
      </c>
      <c r="CN248" s="53" t="s">
        <v>227</v>
      </c>
    </row>
    <row r="249" spans="90:92" ht="15" customHeight="1" x14ac:dyDescent="0.3">
      <c r="CL249" s="53" t="s">
        <v>675</v>
      </c>
      <c r="CM249" s="53" t="s">
        <v>676</v>
      </c>
      <c r="CN249" s="53" t="s">
        <v>228</v>
      </c>
    </row>
    <row r="250" spans="90:92" ht="15" customHeight="1" x14ac:dyDescent="0.3">
      <c r="CL250" s="53" t="s">
        <v>677</v>
      </c>
      <c r="CM250" s="53" t="s">
        <v>678</v>
      </c>
      <c r="CN250" s="53" t="s">
        <v>229</v>
      </c>
    </row>
    <row r="251" spans="90:92" ht="15" customHeight="1" x14ac:dyDescent="0.3">
      <c r="CL251" s="53"/>
      <c r="CM251" s="53" t="s">
        <v>679</v>
      </c>
      <c r="CN251" s="53" t="s">
        <v>230</v>
      </c>
    </row>
    <row r="252" spans="90:92" ht="15" customHeight="1" x14ac:dyDescent="0.3">
      <c r="CL252" s="53" t="s">
        <v>680</v>
      </c>
      <c r="CM252" s="53" t="s">
        <v>681</v>
      </c>
      <c r="CN252" s="53" t="s">
        <v>233</v>
      </c>
    </row>
    <row r="253" spans="90:92" ht="15" customHeight="1" x14ac:dyDescent="0.3">
      <c r="CL253" s="53"/>
      <c r="CM253" s="53" t="s">
        <v>682</v>
      </c>
      <c r="CN253" s="53" t="s">
        <v>235</v>
      </c>
    </row>
    <row r="254" spans="90:92" ht="15" customHeight="1" x14ac:dyDescent="0.3">
      <c r="CL254" s="53" t="s">
        <v>683</v>
      </c>
      <c r="CM254" s="53" t="s">
        <v>684</v>
      </c>
      <c r="CN254" s="53" t="s">
        <v>237</v>
      </c>
    </row>
    <row r="255" spans="90:92" ht="15" customHeight="1" x14ac:dyDescent="0.3">
      <c r="CL255" s="53"/>
      <c r="CM255" s="53" t="s">
        <v>685</v>
      </c>
      <c r="CN255" s="53" t="s">
        <v>239</v>
      </c>
    </row>
    <row r="256" spans="90:92" ht="15" customHeight="1" x14ac:dyDescent="0.3">
      <c r="CL256" s="53" t="s">
        <v>686</v>
      </c>
      <c r="CM256" s="53" t="s">
        <v>687</v>
      </c>
      <c r="CN256" s="53" t="s">
        <v>242</v>
      </c>
    </row>
    <row r="257" spans="90:92" ht="15" customHeight="1" x14ac:dyDescent="0.3">
      <c r="CL257" s="53" t="s">
        <v>688</v>
      </c>
      <c r="CM257" s="53" t="s">
        <v>689</v>
      </c>
      <c r="CN257" s="53" t="s">
        <v>244</v>
      </c>
    </row>
    <row r="258" spans="90:92" ht="15" customHeight="1" x14ac:dyDescent="0.3">
      <c r="CL258" s="53" t="s">
        <v>690</v>
      </c>
      <c r="CM258" s="53" t="s">
        <v>691</v>
      </c>
      <c r="CN258" s="53" t="s">
        <v>246</v>
      </c>
    </row>
    <row r="259" spans="90:92" ht="15" customHeight="1" x14ac:dyDescent="0.3">
      <c r="CL259" s="53" t="s">
        <v>692</v>
      </c>
      <c r="CM259" s="53" t="s">
        <v>693</v>
      </c>
      <c r="CN259" s="53" t="s">
        <v>247</v>
      </c>
    </row>
    <row r="260" spans="90:92" ht="15" customHeight="1" x14ac:dyDescent="0.3">
      <c r="CL260" s="53" t="s">
        <v>694</v>
      </c>
      <c r="CM260" s="53" t="s">
        <v>695</v>
      </c>
      <c r="CN260" s="53" t="s">
        <v>249</v>
      </c>
    </row>
    <row r="261" spans="90:92" ht="15" customHeight="1" x14ac:dyDescent="0.3">
      <c r="CL261" s="53" t="s">
        <v>696</v>
      </c>
      <c r="CM261" s="53" t="s">
        <v>697</v>
      </c>
      <c r="CN261" s="53" t="s">
        <v>250</v>
      </c>
    </row>
    <row r="262" spans="90:92" ht="15" customHeight="1" x14ac:dyDescent="0.3">
      <c r="CL262" s="53" t="s">
        <v>698</v>
      </c>
      <c r="CM262" s="53" t="s">
        <v>699</v>
      </c>
      <c r="CN262" s="53" t="s">
        <v>253</v>
      </c>
    </row>
    <row r="263" spans="90:92" ht="15" customHeight="1" x14ac:dyDescent="0.3">
      <c r="CL263" s="53" t="s">
        <v>700</v>
      </c>
      <c r="CM263" s="53" t="s">
        <v>701</v>
      </c>
      <c r="CN263" s="53" t="s">
        <v>255</v>
      </c>
    </row>
    <row r="264" spans="90:92" ht="15" customHeight="1" x14ac:dyDescent="0.3">
      <c r="CL264" s="53" t="s">
        <v>702</v>
      </c>
      <c r="CM264" s="53" t="s">
        <v>703</v>
      </c>
      <c r="CN264" s="53" t="s">
        <v>262</v>
      </c>
    </row>
    <row r="265" spans="90:92" ht="15" customHeight="1" x14ac:dyDescent="0.3">
      <c r="CL265" s="53" t="s">
        <v>704</v>
      </c>
      <c r="CM265" s="53" t="s">
        <v>705</v>
      </c>
      <c r="CN265" s="53" t="s">
        <v>264</v>
      </c>
    </row>
    <row r="266" spans="90:92" ht="15" customHeight="1" x14ac:dyDescent="0.3">
      <c r="CL266" s="53" t="s">
        <v>706</v>
      </c>
      <c r="CM266" s="53" t="s">
        <v>707</v>
      </c>
      <c r="CN266" s="53" t="s">
        <v>266</v>
      </c>
    </row>
    <row r="267" spans="90:92" ht="15" customHeight="1" x14ac:dyDescent="0.3">
      <c r="CL267" s="53" t="s">
        <v>708</v>
      </c>
      <c r="CM267" s="53" t="s">
        <v>709</v>
      </c>
      <c r="CN267" s="53" t="s">
        <v>257</v>
      </c>
    </row>
    <row r="268" spans="90:92" ht="15" customHeight="1" x14ac:dyDescent="0.3">
      <c r="CL268" s="53" t="s">
        <v>710</v>
      </c>
      <c r="CM268" s="53" t="s">
        <v>711</v>
      </c>
      <c r="CN268" s="53" t="s">
        <v>259</v>
      </c>
    </row>
    <row r="269" spans="90:92" ht="15" customHeight="1" x14ac:dyDescent="0.3">
      <c r="CL269" s="53" t="s">
        <v>712</v>
      </c>
      <c r="CM269" s="53" t="s">
        <v>713</v>
      </c>
      <c r="CN269" s="53" t="s">
        <v>260</v>
      </c>
    </row>
    <row r="270" spans="90:92" ht="15" customHeight="1" x14ac:dyDescent="0.3">
      <c r="CL270" s="53" t="s">
        <v>714</v>
      </c>
      <c r="CM270" s="53" t="s">
        <v>715</v>
      </c>
      <c r="CN270" s="53" t="s">
        <v>261</v>
      </c>
    </row>
    <row r="271" spans="90:92" ht="15" customHeight="1" x14ac:dyDescent="0.3">
      <c r="CL271" s="53" t="s">
        <v>716</v>
      </c>
      <c r="CM271" s="53" t="s">
        <v>717</v>
      </c>
      <c r="CN271" s="53" t="s">
        <v>267</v>
      </c>
    </row>
    <row r="272" spans="90:92" ht="15" customHeight="1" x14ac:dyDescent="0.3">
      <c r="CL272" s="53" t="s">
        <v>718</v>
      </c>
      <c r="CM272" s="53" t="s">
        <v>719</v>
      </c>
      <c r="CN272" s="53" t="s">
        <v>269</v>
      </c>
    </row>
    <row r="273" spans="90:92" ht="15" customHeight="1" x14ac:dyDescent="0.3">
      <c r="CL273" s="53" t="s">
        <v>720</v>
      </c>
      <c r="CM273" s="53" t="s">
        <v>721</v>
      </c>
      <c r="CN273" s="53" t="s">
        <v>270</v>
      </c>
    </row>
    <row r="274" spans="90:92" ht="15" customHeight="1" x14ac:dyDescent="0.3">
      <c r="CL274" s="53" t="s">
        <v>722</v>
      </c>
      <c r="CM274" s="53" t="s">
        <v>723</v>
      </c>
      <c r="CN274" s="53" t="s">
        <v>271</v>
      </c>
    </row>
    <row r="275" spans="90:92" ht="15" customHeight="1" x14ac:dyDescent="0.3">
      <c r="CL275" s="53" t="s">
        <v>724</v>
      </c>
      <c r="CM275" s="53" t="s">
        <v>725</v>
      </c>
      <c r="CN275" s="53" t="s">
        <v>273</v>
      </c>
    </row>
    <row r="276" spans="90:92" ht="15" customHeight="1" x14ac:dyDescent="0.3">
      <c r="CL276" s="53" t="s">
        <v>726</v>
      </c>
      <c r="CM276" s="53" t="s">
        <v>727</v>
      </c>
      <c r="CN276" s="53" t="s">
        <v>274</v>
      </c>
    </row>
    <row r="277" spans="90:92" ht="15" customHeight="1" x14ac:dyDescent="0.3">
      <c r="CL277" s="53" t="s">
        <v>728</v>
      </c>
      <c r="CM277" s="53" t="s">
        <v>729</v>
      </c>
      <c r="CN277" s="53" t="s">
        <v>275</v>
      </c>
    </row>
    <row r="278" spans="90:92" ht="15" customHeight="1" x14ac:dyDescent="0.3">
      <c r="CL278" s="53" t="s">
        <v>730</v>
      </c>
      <c r="CM278" s="53" t="s">
        <v>731</v>
      </c>
      <c r="CN278" s="53" t="s">
        <v>276</v>
      </c>
    </row>
    <row r="279" spans="90:92" ht="15" customHeight="1" x14ac:dyDescent="0.3">
      <c r="CL279" s="53" t="s">
        <v>732</v>
      </c>
      <c r="CM279" s="53" t="s">
        <v>733</v>
      </c>
      <c r="CN279" s="53" t="s">
        <v>278</v>
      </c>
    </row>
    <row r="280" spans="90:92" ht="15" customHeight="1" x14ac:dyDescent="0.3">
      <c r="CL280" s="53" t="s">
        <v>734</v>
      </c>
      <c r="CM280" s="53" t="s">
        <v>735</v>
      </c>
      <c r="CN280" s="53" t="s">
        <v>279</v>
      </c>
    </row>
    <row r="281" spans="90:92" ht="15" customHeight="1" x14ac:dyDescent="0.3">
      <c r="CL281" s="53" t="s">
        <v>736</v>
      </c>
      <c r="CM281" s="53" t="s">
        <v>737</v>
      </c>
      <c r="CN281" s="53" t="s">
        <v>280</v>
      </c>
    </row>
    <row r="282" spans="90:92" ht="15" customHeight="1" x14ac:dyDescent="0.3">
      <c r="CL282" s="53" t="s">
        <v>738</v>
      </c>
      <c r="CM282" s="53" t="s">
        <v>739</v>
      </c>
      <c r="CN282" s="53" t="s">
        <v>281</v>
      </c>
    </row>
    <row r="283" spans="90:92" ht="15" customHeight="1" x14ac:dyDescent="0.3">
      <c r="CL283" s="53" t="s">
        <v>740</v>
      </c>
      <c r="CM283" s="53" t="s">
        <v>741</v>
      </c>
      <c r="CN283" s="53" t="s">
        <v>283</v>
      </c>
    </row>
    <row r="284" spans="90:92" ht="15" customHeight="1" x14ac:dyDescent="0.3">
      <c r="CL284" s="53"/>
      <c r="CM284" s="53" t="s">
        <v>742</v>
      </c>
      <c r="CN284" s="53" t="s">
        <v>284</v>
      </c>
    </row>
    <row r="285" spans="90:92" ht="15" customHeight="1" x14ac:dyDescent="0.3">
      <c r="CL285" s="53"/>
      <c r="CM285" s="53" t="s">
        <v>743</v>
      </c>
      <c r="CN285" s="53" t="s">
        <v>285</v>
      </c>
    </row>
    <row r="286" spans="90:92" ht="15" customHeight="1" x14ac:dyDescent="0.3">
      <c r="CL286" s="53" t="s">
        <v>744</v>
      </c>
      <c r="CM286" s="53" t="s">
        <v>745</v>
      </c>
      <c r="CN286" s="53" t="s">
        <v>287</v>
      </c>
    </row>
    <row r="287" spans="90:92" ht="15" customHeight="1" x14ac:dyDescent="0.3">
      <c r="CL287" s="53" t="s">
        <v>746</v>
      </c>
      <c r="CM287" s="53" t="s">
        <v>747</v>
      </c>
      <c r="CN287" s="53" t="s">
        <v>313</v>
      </c>
    </row>
    <row r="288" spans="90:92" ht="15" customHeight="1" x14ac:dyDescent="0.3">
      <c r="CL288" s="53" t="s">
        <v>748</v>
      </c>
      <c r="CM288" s="53" t="s">
        <v>749</v>
      </c>
      <c r="CN288" s="53" t="s">
        <v>316</v>
      </c>
    </row>
    <row r="289" spans="90:92" ht="15" customHeight="1" x14ac:dyDescent="0.3">
      <c r="CL289" s="53" t="s">
        <v>750</v>
      </c>
      <c r="CM289" s="53" t="s">
        <v>751</v>
      </c>
      <c r="CN289" s="53" t="s">
        <v>318</v>
      </c>
    </row>
    <row r="290" spans="90:92" ht="15" customHeight="1" x14ac:dyDescent="0.3">
      <c r="CL290" s="53" t="s">
        <v>752</v>
      </c>
      <c r="CM290" s="53" t="s">
        <v>753</v>
      </c>
      <c r="CN290" s="53" t="s">
        <v>320</v>
      </c>
    </row>
    <row r="291" spans="90:92" ht="15" customHeight="1" x14ac:dyDescent="0.3">
      <c r="CL291" s="53" t="s">
        <v>754</v>
      </c>
      <c r="CM291" s="53" t="s">
        <v>755</v>
      </c>
      <c r="CN291" s="53" t="s">
        <v>322</v>
      </c>
    </row>
    <row r="292" spans="90:92" ht="15" customHeight="1" x14ac:dyDescent="0.3">
      <c r="CL292" s="53" t="s">
        <v>756</v>
      </c>
      <c r="CM292" s="53" t="s">
        <v>757</v>
      </c>
      <c r="CN292" s="53" t="s">
        <v>328</v>
      </c>
    </row>
    <row r="293" spans="90:92" ht="15" customHeight="1" x14ac:dyDescent="0.3">
      <c r="CL293" s="53" t="s">
        <v>758</v>
      </c>
      <c r="CM293" s="53" t="s">
        <v>759</v>
      </c>
      <c r="CN293" s="53" t="s">
        <v>331</v>
      </c>
    </row>
    <row r="294" spans="90:92" ht="15" customHeight="1" x14ac:dyDescent="0.3">
      <c r="CL294" s="53" t="s">
        <v>760</v>
      </c>
      <c r="CM294" s="53" t="s">
        <v>761</v>
      </c>
      <c r="CN294" s="53" t="s">
        <v>332</v>
      </c>
    </row>
    <row r="295" spans="90:92" ht="15" customHeight="1" x14ac:dyDescent="0.3">
      <c r="CL295" s="53" t="s">
        <v>762</v>
      </c>
      <c r="CM295" s="53" t="s">
        <v>763</v>
      </c>
      <c r="CN295" s="53" t="s">
        <v>335</v>
      </c>
    </row>
    <row r="296" spans="90:92" ht="15" customHeight="1" x14ac:dyDescent="0.3">
      <c r="CL296" s="53" t="s">
        <v>764</v>
      </c>
      <c r="CM296" s="53" t="s">
        <v>765</v>
      </c>
      <c r="CN296" s="53" t="s">
        <v>388</v>
      </c>
    </row>
    <row r="297" spans="90:92" ht="15" customHeight="1" x14ac:dyDescent="0.3">
      <c r="CL297" s="53" t="s">
        <v>766</v>
      </c>
      <c r="CM297" s="53" t="s">
        <v>767</v>
      </c>
      <c r="CN297" s="53" t="s">
        <v>397</v>
      </c>
    </row>
    <row r="298" spans="90:92" ht="15" customHeight="1" x14ac:dyDescent="0.3">
      <c r="CL298" s="53" t="s">
        <v>768</v>
      </c>
      <c r="CM298" s="53" t="s">
        <v>769</v>
      </c>
      <c r="CN298" s="53" t="s">
        <v>400</v>
      </c>
    </row>
    <row r="299" spans="90:92" ht="15" customHeight="1" x14ac:dyDescent="0.3">
      <c r="CL299" s="53" t="s">
        <v>770</v>
      </c>
      <c r="CM299" s="53" t="s">
        <v>771</v>
      </c>
      <c r="CN299" s="53" t="s">
        <v>401</v>
      </c>
    </row>
    <row r="300" spans="90:92" ht="15" customHeight="1" x14ac:dyDescent="0.3">
      <c r="CL300" s="53"/>
      <c r="CM300" s="53" t="s">
        <v>772</v>
      </c>
      <c r="CN300" s="53" t="s">
        <v>773</v>
      </c>
    </row>
    <row r="301" spans="90:92" ht="15" customHeight="1" x14ac:dyDescent="0.3">
      <c r="CL301" s="53" t="s">
        <v>774</v>
      </c>
      <c r="CM301" s="53" t="s">
        <v>775</v>
      </c>
      <c r="CN301" s="53" t="s">
        <v>776</v>
      </c>
    </row>
    <row r="302" spans="90:92" ht="15" customHeight="1" x14ac:dyDescent="0.3">
      <c r="CL302" s="53" t="s">
        <v>777</v>
      </c>
      <c r="CM302" s="53" t="s">
        <v>778</v>
      </c>
      <c r="CN302" s="53" t="s">
        <v>492</v>
      </c>
    </row>
    <row r="303" spans="90:92" ht="15" customHeight="1" x14ac:dyDescent="0.3">
      <c r="CL303" s="53" t="s">
        <v>779</v>
      </c>
      <c r="CM303" s="53" t="s">
        <v>780</v>
      </c>
      <c r="CN303" s="53" t="s">
        <v>492</v>
      </c>
    </row>
    <row r="304" spans="90:92" ht="15" customHeight="1" x14ac:dyDescent="0.3">
      <c r="CL304" s="54" t="s">
        <v>781</v>
      </c>
      <c r="CM304" s="53" t="s">
        <v>782</v>
      </c>
      <c r="CN304" s="53" t="s">
        <v>498</v>
      </c>
    </row>
    <row r="305" spans="90:92" ht="15" customHeight="1" x14ac:dyDescent="0.3">
      <c r="CL305" s="54" t="s">
        <v>501</v>
      </c>
      <c r="CM305" s="53" t="s">
        <v>783</v>
      </c>
      <c r="CN305" s="53" t="s">
        <v>498</v>
      </c>
    </row>
    <row r="306" spans="90:92" ht="15" customHeight="1" x14ac:dyDescent="0.3">
      <c r="CL306" s="54" t="s">
        <v>784</v>
      </c>
      <c r="CM306" s="53" t="s">
        <v>785</v>
      </c>
      <c r="CN306" s="53" t="s">
        <v>189</v>
      </c>
    </row>
    <row r="307" spans="90:92" ht="15" customHeight="1" x14ac:dyDescent="0.3">
      <c r="CL307" s="54" t="s">
        <v>497</v>
      </c>
      <c r="CM307" s="53" t="s">
        <v>786</v>
      </c>
      <c r="CN307" s="53" t="s">
        <v>189</v>
      </c>
    </row>
    <row r="308" spans="90:92" ht="15" customHeight="1" x14ac:dyDescent="0.3">
      <c r="CL308" s="53" t="s">
        <v>787</v>
      </c>
      <c r="CM308" s="53" t="s">
        <v>788</v>
      </c>
      <c r="CN308" s="53" t="s">
        <v>347</v>
      </c>
    </row>
    <row r="309" spans="90:92" ht="15" customHeight="1" x14ac:dyDescent="0.3">
      <c r="CL309" s="53" t="s">
        <v>789</v>
      </c>
      <c r="CM309" s="53" t="s">
        <v>790</v>
      </c>
      <c r="CN309" s="53" t="s">
        <v>350</v>
      </c>
    </row>
    <row r="310" spans="90:92" ht="15" customHeight="1" x14ac:dyDescent="0.3">
      <c r="CL310" s="53" t="s">
        <v>791</v>
      </c>
      <c r="CM310" s="53" t="s">
        <v>792</v>
      </c>
      <c r="CN310" s="53" t="s">
        <v>352</v>
      </c>
    </row>
    <row r="311" spans="90:92" ht="15" customHeight="1" x14ac:dyDescent="0.3">
      <c r="CL311" s="53" t="s">
        <v>793</v>
      </c>
      <c r="CM311" s="53" t="s">
        <v>794</v>
      </c>
      <c r="CN311" s="53" t="s">
        <v>354</v>
      </c>
    </row>
    <row r="312" spans="90:92" ht="15" customHeight="1" x14ac:dyDescent="0.3">
      <c r="CL312" s="53" t="s">
        <v>795</v>
      </c>
      <c r="CM312" s="53" t="s">
        <v>796</v>
      </c>
      <c r="CN312" s="53" t="s">
        <v>356</v>
      </c>
    </row>
    <row r="313" spans="90:92" ht="15" customHeight="1" x14ac:dyDescent="0.3">
      <c r="CL313" s="53" t="s">
        <v>797</v>
      </c>
      <c r="CM313" s="53" t="s">
        <v>798</v>
      </c>
      <c r="CN313" s="53" t="s">
        <v>358</v>
      </c>
    </row>
    <row r="314" spans="90:92" ht="15" customHeight="1" x14ac:dyDescent="0.3">
      <c r="CL314" s="53" t="s">
        <v>799</v>
      </c>
      <c r="CM314" s="53" t="s">
        <v>800</v>
      </c>
      <c r="CN314" s="53" t="s">
        <v>360</v>
      </c>
    </row>
    <row r="315" spans="90:92" ht="15" customHeight="1" x14ac:dyDescent="0.3">
      <c r="CL315" s="53" t="s">
        <v>801</v>
      </c>
      <c r="CM315" s="53" t="s">
        <v>802</v>
      </c>
      <c r="CN315" s="53" t="s">
        <v>362</v>
      </c>
    </row>
    <row r="316" spans="90:92" ht="15" customHeight="1" x14ac:dyDescent="0.3">
      <c r="CL316" s="53" t="s">
        <v>803</v>
      </c>
      <c r="CM316" s="53" t="s">
        <v>804</v>
      </c>
      <c r="CN316" s="53" t="s">
        <v>364</v>
      </c>
    </row>
    <row r="317" spans="90:92" ht="15" customHeight="1" x14ac:dyDescent="0.3">
      <c r="CL317" s="53" t="s">
        <v>805</v>
      </c>
      <c r="CM317" s="53" t="s">
        <v>806</v>
      </c>
      <c r="CN317" s="53" t="s">
        <v>366</v>
      </c>
    </row>
    <row r="318" spans="90:92" ht="15" customHeight="1" x14ac:dyDescent="0.3">
      <c r="CL318" s="53"/>
      <c r="CM318" s="53" t="s">
        <v>807</v>
      </c>
      <c r="CN318" s="53" t="s">
        <v>368</v>
      </c>
    </row>
    <row r="319" spans="90:92" ht="15" customHeight="1" x14ac:dyDescent="0.3">
      <c r="CL319" s="53"/>
      <c r="CM319" s="53" t="s">
        <v>808</v>
      </c>
      <c r="CN319" s="53" t="s">
        <v>370</v>
      </c>
    </row>
    <row r="320" spans="90:92" ht="15" customHeight="1" x14ac:dyDescent="0.3">
      <c r="CL320" s="53"/>
      <c r="CM320" s="53" t="s">
        <v>809</v>
      </c>
      <c r="CN320" s="53" t="s">
        <v>372</v>
      </c>
    </row>
    <row r="321" spans="90:92" ht="15" customHeight="1" x14ac:dyDescent="0.3">
      <c r="CL321" s="53"/>
      <c r="CM321" s="53" t="s">
        <v>810</v>
      </c>
      <c r="CN321" s="53" t="s">
        <v>374</v>
      </c>
    </row>
    <row r="322" spans="90:92" ht="15" customHeight="1" x14ac:dyDescent="0.3">
      <c r="CL322" s="53"/>
      <c r="CM322" s="53" t="s">
        <v>811</v>
      </c>
      <c r="CN322" s="53" t="s">
        <v>376</v>
      </c>
    </row>
    <row r="323" spans="90:92" ht="15" customHeight="1" x14ac:dyDescent="0.3">
      <c r="CL323" s="53"/>
      <c r="CM323" s="53" t="s">
        <v>812</v>
      </c>
      <c r="CN323" s="53" t="s">
        <v>378</v>
      </c>
    </row>
    <row r="324" spans="90:92" ht="15" customHeight="1" x14ac:dyDescent="0.3">
      <c r="CL324" s="53"/>
      <c r="CM324" s="53" t="s">
        <v>813</v>
      </c>
      <c r="CN324" s="53" t="s">
        <v>380</v>
      </c>
    </row>
    <row r="325" spans="90:92" ht="15" customHeight="1" x14ac:dyDescent="0.3">
      <c r="CL325" s="53"/>
      <c r="CM325" s="53" t="s">
        <v>814</v>
      </c>
      <c r="CN325" s="53" t="s">
        <v>382</v>
      </c>
    </row>
    <row r="326" spans="90:92" ht="15" customHeight="1" x14ac:dyDescent="0.3">
      <c r="CL326" s="53"/>
      <c r="CM326" s="53" t="s">
        <v>815</v>
      </c>
      <c r="CN326" s="53" t="s">
        <v>384</v>
      </c>
    </row>
    <row r="327" spans="90:92" ht="15" customHeight="1" x14ac:dyDescent="0.3">
      <c r="CL327" s="53"/>
      <c r="CM327" s="53" t="s">
        <v>816</v>
      </c>
      <c r="CN327" s="53" t="s">
        <v>386</v>
      </c>
    </row>
    <row r="328" spans="90:92" ht="15" customHeight="1" x14ac:dyDescent="0.3">
      <c r="CL328" s="53" t="s">
        <v>817</v>
      </c>
      <c r="CM328" s="53" t="s">
        <v>818</v>
      </c>
      <c r="CN328" s="53" t="s">
        <v>525</v>
      </c>
    </row>
    <row r="329" spans="90:92" ht="15" customHeight="1" x14ac:dyDescent="0.3">
      <c r="CL329" s="53"/>
      <c r="CM329" s="53" t="s">
        <v>819</v>
      </c>
      <c r="CN329" s="53" t="s">
        <v>502</v>
      </c>
    </row>
    <row r="330" spans="90:92" ht="15" customHeight="1" x14ac:dyDescent="0.3">
      <c r="CL330" s="53"/>
      <c r="CM330" s="53" t="s">
        <v>820</v>
      </c>
      <c r="CN330" s="53" t="s">
        <v>505</v>
      </c>
    </row>
    <row r="331" spans="90:92" ht="15" customHeight="1" x14ac:dyDescent="0.3">
      <c r="CL331" s="53" t="s">
        <v>821</v>
      </c>
      <c r="CM331" s="53" t="s">
        <v>822</v>
      </c>
      <c r="CN331" s="53" t="s">
        <v>507</v>
      </c>
    </row>
    <row r="332" spans="90:92" ht="15" customHeight="1" x14ac:dyDescent="0.3">
      <c r="CL332" s="53" t="s">
        <v>823</v>
      </c>
      <c r="CM332" s="53" t="s">
        <v>824</v>
      </c>
      <c r="CN332" s="53" t="s">
        <v>825</v>
      </c>
    </row>
    <row r="333" spans="90:92" ht="15" customHeight="1" x14ac:dyDescent="0.3">
      <c r="CL333" s="53" t="s">
        <v>826</v>
      </c>
      <c r="CM333" s="53" t="s">
        <v>827</v>
      </c>
      <c r="CN333" s="53" t="s">
        <v>828</v>
      </c>
    </row>
    <row r="334" spans="90:92" ht="15" customHeight="1" x14ac:dyDescent="0.3">
      <c r="CL334" s="53" t="s">
        <v>829</v>
      </c>
      <c r="CM334" s="53" t="s">
        <v>830</v>
      </c>
      <c r="CN334" s="53" t="s">
        <v>831</v>
      </c>
    </row>
    <row r="335" spans="90:92" ht="15" customHeight="1" x14ac:dyDescent="0.3">
      <c r="CL335" s="53" t="s">
        <v>832</v>
      </c>
      <c r="CM335" s="53" t="s">
        <v>833</v>
      </c>
      <c r="CN335" s="53" t="s">
        <v>834</v>
      </c>
    </row>
    <row r="336" spans="90:92" ht="15" customHeight="1" x14ac:dyDescent="0.3">
      <c r="CL336" s="53" t="s">
        <v>835</v>
      </c>
      <c r="CM336" s="53" t="s">
        <v>836</v>
      </c>
      <c r="CN336" s="53" t="s">
        <v>837</v>
      </c>
    </row>
    <row r="337" spans="90:92" ht="15" customHeight="1" x14ac:dyDescent="0.3">
      <c r="CL337" s="53" t="s">
        <v>838</v>
      </c>
      <c r="CM337" s="53" t="s">
        <v>839</v>
      </c>
      <c r="CN337" s="53" t="s">
        <v>840</v>
      </c>
    </row>
    <row r="338" spans="90:92" ht="15" customHeight="1" x14ac:dyDescent="0.3">
      <c r="CL338" s="53" t="s">
        <v>841</v>
      </c>
      <c r="CM338" s="53" t="s">
        <v>842</v>
      </c>
      <c r="CN338" s="53" t="s">
        <v>843</v>
      </c>
    </row>
    <row r="339" spans="90:92" ht="15" customHeight="1" x14ac:dyDescent="0.3">
      <c r="CL339" s="53" t="s">
        <v>844</v>
      </c>
      <c r="CM339" s="53" t="s">
        <v>845</v>
      </c>
      <c r="CN339" s="53" t="s">
        <v>846</v>
      </c>
    </row>
    <row r="340" spans="90:92" ht="15" customHeight="1" x14ac:dyDescent="0.3">
      <c r="CL340" s="53" t="s">
        <v>847</v>
      </c>
      <c r="CM340" s="53" t="s">
        <v>848</v>
      </c>
      <c r="CN340" s="53" t="s">
        <v>849</v>
      </c>
    </row>
    <row r="341" spans="90:92" ht="15" customHeight="1" x14ac:dyDescent="0.3">
      <c r="CL341" s="53" t="s">
        <v>850</v>
      </c>
      <c r="CM341" s="53" t="s">
        <v>851</v>
      </c>
      <c r="CN341" s="53" t="s">
        <v>852</v>
      </c>
    </row>
    <row r="342" spans="90:92" ht="15" customHeight="1" x14ac:dyDescent="0.3">
      <c r="CL342" s="53" t="s">
        <v>853</v>
      </c>
      <c r="CM342" s="53" t="s">
        <v>854</v>
      </c>
      <c r="CN342" s="53" t="s">
        <v>855</v>
      </c>
    </row>
    <row r="343" spans="90:92" ht="15" customHeight="1" x14ac:dyDescent="0.3">
      <c r="CL343" s="53" t="s">
        <v>856</v>
      </c>
      <c r="CM343" s="53" t="s">
        <v>857</v>
      </c>
      <c r="CN343" s="53" t="s">
        <v>858</v>
      </c>
    </row>
    <row r="344" spans="90:92" ht="15" customHeight="1" x14ac:dyDescent="0.3">
      <c r="CL344" s="53"/>
      <c r="CM344" s="53" t="s">
        <v>859</v>
      </c>
      <c r="CN344" s="53" t="s">
        <v>860</v>
      </c>
    </row>
    <row r="345" spans="90:92" ht="15" customHeight="1" x14ac:dyDescent="0.3">
      <c r="CL345" s="53"/>
      <c r="CM345" s="53" t="s">
        <v>861</v>
      </c>
      <c r="CN345" s="53" t="s">
        <v>862</v>
      </c>
    </row>
    <row r="346" spans="90:92" ht="15" customHeight="1" x14ac:dyDescent="0.3">
      <c r="CL346" s="53"/>
      <c r="CM346" s="53" t="s">
        <v>863</v>
      </c>
      <c r="CN346" s="53" t="s">
        <v>864</v>
      </c>
    </row>
    <row r="347" spans="90:92" ht="15" customHeight="1" x14ac:dyDescent="0.3">
      <c r="CL347" s="53"/>
      <c r="CM347" s="53" t="s">
        <v>865</v>
      </c>
      <c r="CN347" s="53" t="s">
        <v>866</v>
      </c>
    </row>
    <row r="348" spans="90:92" ht="15" customHeight="1" x14ac:dyDescent="0.3">
      <c r="CL348" s="53"/>
      <c r="CM348" s="53" t="s">
        <v>867</v>
      </c>
      <c r="CN348" s="53" t="s">
        <v>868</v>
      </c>
    </row>
    <row r="349" spans="90:92" ht="15" customHeight="1" x14ac:dyDescent="0.3">
      <c r="CL349" s="53"/>
      <c r="CM349" s="53" t="s">
        <v>869</v>
      </c>
      <c r="CN349" s="53" t="s">
        <v>870</v>
      </c>
    </row>
    <row r="350" spans="90:92" ht="15" customHeight="1" x14ac:dyDescent="0.3">
      <c r="CL350" s="53"/>
      <c r="CM350" s="53" t="s">
        <v>871</v>
      </c>
      <c r="CN350" s="53" t="s">
        <v>872</v>
      </c>
    </row>
    <row r="351" spans="90:92" ht="15" customHeight="1" x14ac:dyDescent="0.3">
      <c r="CL351" s="53"/>
      <c r="CM351" s="53" t="s">
        <v>873</v>
      </c>
      <c r="CN351" s="53" t="s">
        <v>874</v>
      </c>
    </row>
    <row r="352" spans="90:92" ht="15" customHeight="1" x14ac:dyDescent="0.3">
      <c r="CL352" s="53"/>
      <c r="CM352" s="53" t="s">
        <v>875</v>
      </c>
      <c r="CN352" s="53" t="s">
        <v>876</v>
      </c>
    </row>
    <row r="353" spans="90:92" ht="15" customHeight="1" x14ac:dyDescent="0.3">
      <c r="CL353" s="53"/>
      <c r="CM353" s="53" t="s">
        <v>877</v>
      </c>
      <c r="CN353" s="53" t="s">
        <v>878</v>
      </c>
    </row>
    <row r="354" spans="90:92" ht="15" customHeight="1" x14ac:dyDescent="0.3">
      <c r="CL354" s="53" t="s">
        <v>879</v>
      </c>
      <c r="CM354" s="53" t="s">
        <v>880</v>
      </c>
      <c r="CN354" s="53" t="s">
        <v>881</v>
      </c>
    </row>
    <row r="355" spans="90:92" ht="15" customHeight="1" x14ac:dyDescent="0.3">
      <c r="CL355" s="53" t="s">
        <v>882</v>
      </c>
      <c r="CM355" s="53" t="s">
        <v>883</v>
      </c>
      <c r="CN355" s="53" t="s">
        <v>884</v>
      </c>
    </row>
    <row r="356" spans="90:92" ht="15" customHeight="1" x14ac:dyDescent="0.3">
      <c r="CL356" s="53" t="s">
        <v>885</v>
      </c>
      <c r="CM356" s="53" t="s">
        <v>886</v>
      </c>
      <c r="CN356" s="53" t="s">
        <v>512</v>
      </c>
    </row>
    <row r="357" spans="90:92" ht="15" customHeight="1" x14ac:dyDescent="0.3">
      <c r="CL357" s="53" t="s">
        <v>887</v>
      </c>
      <c r="CM357" s="53" t="s">
        <v>518</v>
      </c>
      <c r="CN357" s="53" t="s">
        <v>520</v>
      </c>
    </row>
    <row r="358" spans="90:92" ht="15" customHeight="1" x14ac:dyDescent="0.3">
      <c r="CL358" s="53" t="s">
        <v>888</v>
      </c>
      <c r="CM358" s="53" t="s">
        <v>889</v>
      </c>
      <c r="CN358" s="53" t="s">
        <v>890</v>
      </c>
    </row>
    <row r="359" spans="90:92" ht="15" customHeight="1" x14ac:dyDescent="0.3">
      <c r="CL359" s="53" t="s">
        <v>891</v>
      </c>
      <c r="CM359" s="53" t="s">
        <v>892</v>
      </c>
      <c r="CN359" s="53" t="s">
        <v>210</v>
      </c>
    </row>
    <row r="360" spans="90:92" ht="15" customHeight="1" x14ac:dyDescent="0.3">
      <c r="CL360" s="53" t="s">
        <v>893</v>
      </c>
      <c r="CM360" s="53" t="s">
        <v>894</v>
      </c>
      <c r="CN360" s="53" t="s">
        <v>292</v>
      </c>
    </row>
    <row r="361" spans="90:92" ht="15" customHeight="1" x14ac:dyDescent="0.3">
      <c r="CL361" s="53" t="s">
        <v>895</v>
      </c>
      <c r="CM361" s="53" t="s">
        <v>896</v>
      </c>
      <c r="CN361" s="53" t="s">
        <v>306</v>
      </c>
    </row>
    <row r="362" spans="90:92" ht="15" customHeight="1" x14ac:dyDescent="0.3">
      <c r="CL362" s="53" t="s">
        <v>897</v>
      </c>
      <c r="CM362" s="53" t="s">
        <v>898</v>
      </c>
      <c r="CN362" s="53" t="s">
        <v>310</v>
      </c>
    </row>
    <row r="363" spans="90:92" ht="15" customHeight="1" x14ac:dyDescent="0.3">
      <c r="CL363" s="53" t="s">
        <v>899</v>
      </c>
      <c r="CM363" s="53" t="s">
        <v>900</v>
      </c>
      <c r="CN363" s="53" t="s">
        <v>337</v>
      </c>
    </row>
    <row r="364" spans="90:92" ht="15" customHeight="1" x14ac:dyDescent="0.3">
      <c r="CL364" s="53" t="s">
        <v>901</v>
      </c>
      <c r="CM364" s="53" t="s">
        <v>902</v>
      </c>
      <c r="CN364" s="53" t="s">
        <v>340</v>
      </c>
    </row>
    <row r="365" spans="90:92" ht="15" customHeight="1" x14ac:dyDescent="0.3">
      <c r="CL365" s="53" t="s">
        <v>903</v>
      </c>
      <c r="CM365" s="53" t="s">
        <v>904</v>
      </c>
      <c r="CN365" s="53" t="s">
        <v>342</v>
      </c>
    </row>
    <row r="366" spans="90:92" ht="15" customHeight="1" x14ac:dyDescent="0.3">
      <c r="CL366" s="53" t="s">
        <v>905</v>
      </c>
      <c r="CM366" s="53" t="s">
        <v>906</v>
      </c>
      <c r="CN366" s="53" t="s">
        <v>343</v>
      </c>
    </row>
    <row r="367" spans="90:92" ht="15" customHeight="1" x14ac:dyDescent="0.3">
      <c r="CL367" s="53" t="s">
        <v>907</v>
      </c>
      <c r="CM367" s="53" t="s">
        <v>908</v>
      </c>
      <c r="CN367" s="53" t="s">
        <v>345</v>
      </c>
    </row>
    <row r="368" spans="90:92" ht="15" customHeight="1" x14ac:dyDescent="0.3">
      <c r="CL368" s="53" t="s">
        <v>909</v>
      </c>
      <c r="CM368" s="53" t="s">
        <v>910</v>
      </c>
      <c r="CN368" s="53" t="s">
        <v>911</v>
      </c>
    </row>
    <row r="369" spans="90:92" ht="15" customHeight="1" x14ac:dyDescent="0.3">
      <c r="CL369" s="53" t="s">
        <v>912</v>
      </c>
      <c r="CM369" s="53" t="s">
        <v>913</v>
      </c>
      <c r="CN369" s="53" t="s">
        <v>914</v>
      </c>
    </row>
    <row r="370" spans="90:92" ht="15" customHeight="1" x14ac:dyDescent="0.3">
      <c r="CL370" s="53" t="s">
        <v>915</v>
      </c>
      <c r="CM370" s="53" t="s">
        <v>392</v>
      </c>
      <c r="CN370" s="53" t="s">
        <v>391</v>
      </c>
    </row>
    <row r="371" spans="90:92" ht="15" customHeight="1" x14ac:dyDescent="0.3">
      <c r="CL371" s="53" t="s">
        <v>916</v>
      </c>
      <c r="CM371" s="53" t="s">
        <v>917</v>
      </c>
      <c r="CN371" s="53" t="s">
        <v>918</v>
      </c>
    </row>
    <row r="372" spans="90:92" ht="15" customHeight="1" x14ac:dyDescent="0.3">
      <c r="CL372" s="53" t="s">
        <v>919</v>
      </c>
      <c r="CM372" s="53" t="s">
        <v>920</v>
      </c>
      <c r="CN372" s="53" t="s">
        <v>509</v>
      </c>
    </row>
    <row r="373" spans="90:92" ht="15" customHeight="1" x14ac:dyDescent="0.3">
      <c r="CL373" s="53" t="s">
        <v>921</v>
      </c>
      <c r="CM373" s="53" t="s">
        <v>922</v>
      </c>
      <c r="CN373" s="53" t="s">
        <v>515</v>
      </c>
    </row>
    <row r="374" spans="90:92" ht="15" customHeight="1" x14ac:dyDescent="0.3">
      <c r="CL374" s="53" t="s">
        <v>923</v>
      </c>
      <c r="CM374" s="53" t="s">
        <v>924</v>
      </c>
      <c r="CN374" s="53" t="s">
        <v>522</v>
      </c>
    </row>
    <row r="375" spans="90:92" ht="15" customHeight="1" x14ac:dyDescent="0.3">
      <c r="CL375" s="53" t="s">
        <v>925</v>
      </c>
      <c r="CM375" s="53" t="s">
        <v>926</v>
      </c>
      <c r="CN375" s="53" t="s">
        <v>528</v>
      </c>
    </row>
    <row r="376" spans="90:92" ht="15" customHeight="1" x14ac:dyDescent="0.3">
      <c r="CL376" s="53" t="s">
        <v>927</v>
      </c>
      <c r="CM376" s="53" t="s">
        <v>928</v>
      </c>
      <c r="CN376" s="53" t="s">
        <v>533</v>
      </c>
    </row>
    <row r="377" spans="90:92" ht="15" customHeight="1" x14ac:dyDescent="0.3">
      <c r="CL377" s="53" t="s">
        <v>929</v>
      </c>
      <c r="CM377" s="53" t="s">
        <v>930</v>
      </c>
      <c r="CN377" s="53" t="s">
        <v>534</v>
      </c>
    </row>
    <row r="378" spans="90:92" ht="15" customHeight="1" x14ac:dyDescent="0.3">
      <c r="CL378" s="53" t="s">
        <v>931</v>
      </c>
      <c r="CM378" s="53" t="s">
        <v>932</v>
      </c>
      <c r="CN378" s="53" t="s">
        <v>394</v>
      </c>
    </row>
    <row r="379" spans="90:92" ht="15" customHeight="1" x14ac:dyDescent="0.3">
      <c r="CL379" s="53"/>
      <c r="CM379" s="53"/>
      <c r="CN379" s="53"/>
    </row>
    <row r="380" spans="90:92" ht="15" customHeight="1" x14ac:dyDescent="0.3">
      <c r="CL380" s="53"/>
      <c r="CM380" s="53"/>
      <c r="CN380" s="53"/>
    </row>
    <row r="381" spans="90:92" ht="15" customHeight="1" x14ac:dyDescent="0.3">
      <c r="CL381" s="53"/>
      <c r="CM381" s="53"/>
      <c r="CN381" s="53"/>
    </row>
    <row r="382" spans="90:92" ht="15" customHeight="1" x14ac:dyDescent="0.3">
      <c r="CL382" s="53"/>
      <c r="CM382" s="53"/>
      <c r="CN382" s="53"/>
    </row>
    <row r="383" spans="90:92" ht="15" customHeight="1" x14ac:dyDescent="0.3">
      <c r="CL383" s="53"/>
      <c r="CM383" s="53"/>
      <c r="CN383" s="53"/>
    </row>
    <row r="384" spans="90:92" ht="15" customHeight="1" x14ac:dyDescent="0.3">
      <c r="CL384" s="53"/>
      <c r="CM384" s="53"/>
      <c r="CN384" s="53"/>
    </row>
    <row r="385" spans="90:92" ht="15" customHeight="1" x14ac:dyDescent="0.3">
      <c r="CL385" s="53"/>
      <c r="CM385" s="53"/>
      <c r="CN385" s="53"/>
    </row>
    <row r="386" spans="90:92" ht="15" customHeight="1" x14ac:dyDescent="0.3">
      <c r="CL386" s="53"/>
      <c r="CM386" s="53"/>
      <c r="CN386" s="53"/>
    </row>
    <row r="387" spans="90:92" ht="15" customHeight="1" x14ac:dyDescent="0.3">
      <c r="CL387" s="53"/>
      <c r="CM387" s="53"/>
      <c r="CN387" s="53"/>
    </row>
    <row r="388" spans="90:92" ht="15" customHeight="1" x14ac:dyDescent="0.3">
      <c r="CL388" s="53"/>
      <c r="CM388" s="53"/>
      <c r="CN388" s="53"/>
    </row>
    <row r="389" spans="90:92" ht="15" customHeight="1" x14ac:dyDescent="0.3">
      <c r="CL389" s="53"/>
      <c r="CM389" s="53"/>
      <c r="CN389" s="53"/>
    </row>
    <row r="390" spans="90:92" ht="15" customHeight="1" x14ac:dyDescent="0.3">
      <c r="CL390" s="53"/>
      <c r="CM390" s="53"/>
      <c r="CN390" s="53"/>
    </row>
    <row r="391" spans="90:92" ht="15" customHeight="1" x14ac:dyDescent="0.3">
      <c r="CL391" s="53"/>
      <c r="CM391" s="53"/>
      <c r="CN391" s="53"/>
    </row>
    <row r="392" spans="90:92" ht="15" customHeight="1" x14ac:dyDescent="0.3">
      <c r="CL392" s="53"/>
      <c r="CM392" s="53"/>
      <c r="CN392" s="53"/>
    </row>
    <row r="393" spans="90:92" ht="15" customHeight="1" x14ac:dyDescent="0.3">
      <c r="CL393" s="53"/>
      <c r="CM393" s="53"/>
      <c r="CN393" s="53"/>
    </row>
    <row r="394" spans="90:92" ht="15" customHeight="1" x14ac:dyDescent="0.3">
      <c r="CL394" s="53"/>
      <c r="CM394" s="53"/>
      <c r="CN394" s="53"/>
    </row>
    <row r="395" spans="90:92" ht="15" customHeight="1" x14ac:dyDescent="0.3">
      <c r="CL395" s="53"/>
      <c r="CM395" s="53"/>
      <c r="CN395" s="53"/>
    </row>
    <row r="396" spans="90:92" ht="15" customHeight="1" x14ac:dyDescent="0.3">
      <c r="CL396" s="53"/>
      <c r="CM396" s="53"/>
      <c r="CN396" s="53"/>
    </row>
  </sheetData>
  <autoFilter ref="BN9:BO181" xr:uid="{A681F9FB-3EF9-4879-A2EE-356D20EA0363}"/>
  <conditionalFormatting sqref="BM7">
    <cfRule type="cellIs" dxfId="1" priority="1" operator="equal">
      <formula>IF(Z7 =BX8, BT8, " ")</formula>
    </cfRule>
  </conditionalFormatting>
  <pageMargins left="0.7" right="0.7" top="0.75" bottom="0.75" header="0.3" footer="0.3"/>
  <pageSetup paperSize="9" scale="70" fitToHeight="0" orientation="portrait" r:id="rId1"/>
  <rowBreaks count="1" manualBreakCount="1">
    <brk id="93" max="59" man="1"/>
  </rowBreaks>
  <extLst>
    <ext xmlns:x14="http://schemas.microsoft.com/office/spreadsheetml/2009/9/main" uri="{78C0D931-6437-407d-A8EE-F0AAD7539E65}">
      <x14:conditionalFormattings>
        <x14:conditionalFormatting xmlns:xm="http://schemas.microsoft.com/office/excel/2006/main">
          <x14:cfRule type="containsText" priority="2" operator="containsText" id="{80BCF592-57EC-40D5-AF08-85242D23583B}">
            <xm:f>NOT(ISERROR(SEARCH(IF(Z7 =BX8, BT8, " "),BM7)))</xm:f>
            <xm:f>IF(Z7 =BX8, BT8, " ")</xm:f>
            <x14:dxf>
              <font>
                <color rgb="FF9C0006"/>
              </font>
              <fill>
                <patternFill>
                  <bgColor rgb="FFFFC7CE"/>
                </patternFill>
              </fill>
            </x14:dxf>
          </x14:cfRule>
          <xm:sqref>BM7</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25820e9-24f5-4ea1-b0a4-660270a9e998">
      <Terms xmlns="http://schemas.microsoft.com/office/infopath/2007/PartnerControls"/>
    </lcf76f155ced4ddcb4097134ff3c332f>
    <TaxCatchAll xmlns="87c85d0c-cffe-475d-aa3b-e9a88c26cf2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96B92F1DFB71243877052D4D221EBC8" ma:contentTypeVersion="18" ma:contentTypeDescription="Create a new document." ma:contentTypeScope="" ma:versionID="067c36a058b5839291ccc23bcc86747a">
  <xsd:schema xmlns:xsd="http://www.w3.org/2001/XMLSchema" xmlns:xs="http://www.w3.org/2001/XMLSchema" xmlns:p="http://schemas.microsoft.com/office/2006/metadata/properties" xmlns:ns2="925820e9-24f5-4ea1-b0a4-660270a9e998" xmlns:ns3="87c85d0c-cffe-475d-aa3b-e9a88c26cf23" targetNamespace="http://schemas.microsoft.com/office/2006/metadata/properties" ma:root="true" ma:fieldsID="6738380a4deb91a708a570a24528475c" ns2:_="" ns3:_="">
    <xsd:import namespace="925820e9-24f5-4ea1-b0a4-660270a9e998"/>
    <xsd:import namespace="87c85d0c-cffe-475d-aa3b-e9a88c26cf2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Location" minOccurs="0"/>
                <xsd:element ref="ns2:MediaServiceGenerationTime" minOccurs="0"/>
                <xsd:element ref="ns2:MediaServiceEventHashCode" minOccurs="0"/>
                <xsd:element ref="ns2:MediaServiceAutoTags" minOccurs="0"/>
                <xsd:element ref="ns2:MediaServiceOCR"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5820e9-24f5-4ea1-b0a4-660270a9e99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Location" ma:index="11" nillable="true" ma:displayName="Location" ma:internalName="MediaServiceLocatio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6af0ee64-e046-4d6a-b218-d3627346533f" ma:termSetId="09814cd3-568e-fe90-9814-8d621ff8fb84" ma:anchorId="fba54fb3-c3e1-fe81-a776-ca4b69148c4d" ma:open="true" ma:isKeyword="false">
      <xsd:complexType>
        <xsd:sequence>
          <xsd:element ref="pc:Terms" minOccurs="0" maxOccurs="1"/>
        </xsd:sequence>
      </xsd:complexType>
    </xsd:element>
    <xsd:element name="MediaLengthInSeconds" ma:index="23" nillable="true" ma:displayName="MediaLengthInSeconds" ma:hidden="true" ma:internalName="MediaLengthInSeconds" ma:readOnly="true">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7c85d0c-cffe-475d-aa3b-e9a88c26cf23"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0f539c26-922d-4596-8c93-aecccefb67bc}" ma:internalName="TaxCatchAll" ma:showField="CatchAllData" ma:web="87c85d0c-cffe-475d-aa3b-e9a88c26cf2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4865DB4-ED01-442D-8FCF-988E61DF6B57}">
  <ds:schemaRefs>
    <ds:schemaRef ds:uri="http://schemas.microsoft.com/sharepoint/v3/contenttype/forms"/>
  </ds:schemaRefs>
</ds:datastoreItem>
</file>

<file path=customXml/itemProps2.xml><?xml version="1.0" encoding="utf-8"?>
<ds:datastoreItem xmlns:ds="http://schemas.openxmlformats.org/officeDocument/2006/customXml" ds:itemID="{6665AF75-2924-42CD-BB50-A76F30BF8A01}">
  <ds:schemaRefs>
    <ds:schemaRef ds:uri="http://schemas.microsoft.com/office/2006/metadata/properties"/>
    <ds:schemaRef ds:uri="http://schemas.microsoft.com/office/infopath/2007/PartnerControls"/>
    <ds:schemaRef ds:uri="925820e9-24f5-4ea1-b0a4-660270a9e998"/>
    <ds:schemaRef ds:uri="87c85d0c-cffe-475d-aa3b-e9a88c26cf23"/>
  </ds:schemaRefs>
</ds:datastoreItem>
</file>

<file path=customXml/itemProps3.xml><?xml version="1.0" encoding="utf-8"?>
<ds:datastoreItem xmlns:ds="http://schemas.openxmlformats.org/officeDocument/2006/customXml" ds:itemID="{7F302605-0CBF-4867-A80E-C0450449388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5820e9-24f5-4ea1-b0a4-660270a9e998"/>
    <ds:schemaRef ds:uri="87c85d0c-cffe-475d-aa3b-e9a88c26cf2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13</vt:i4>
      </vt:variant>
    </vt:vector>
  </HeadingPairs>
  <TitlesOfParts>
    <vt:vector size="26" baseType="lpstr">
      <vt:lpstr>QU RT WW </vt:lpstr>
      <vt:lpstr>QU RT BL</vt:lpstr>
      <vt:lpstr>QU RT RSD RD </vt:lpstr>
      <vt:lpstr>QU RT TL RD</vt:lpstr>
      <vt:lpstr>QU RT RSD RL </vt:lpstr>
      <vt:lpstr>QU RT TL RL</vt:lpstr>
      <vt:lpstr>QU RT ANG RL </vt:lpstr>
      <vt:lpstr>QU RT ANG RD</vt:lpstr>
      <vt:lpstr>QU RT FL RD</vt:lpstr>
      <vt:lpstr>QU RT FL RL </vt:lpstr>
      <vt:lpstr>PL Copy</vt:lpstr>
      <vt:lpstr>How To Use</vt:lpstr>
      <vt:lpstr>PL</vt:lpstr>
      <vt:lpstr>'How To Use'!Print_Area</vt:lpstr>
      <vt:lpstr>PL!Print_Area</vt:lpstr>
      <vt:lpstr>'PL Copy'!Print_Area</vt:lpstr>
      <vt:lpstr>'QU RT ANG RD'!Print_Area</vt:lpstr>
      <vt:lpstr>'QU RT ANG RL '!Print_Area</vt:lpstr>
      <vt:lpstr>'QU RT BL'!Print_Area</vt:lpstr>
      <vt:lpstr>'QU RT FL RD'!Print_Area</vt:lpstr>
      <vt:lpstr>'QU RT FL RL '!Print_Area</vt:lpstr>
      <vt:lpstr>'QU RT RSD RD '!Print_Area</vt:lpstr>
      <vt:lpstr>'QU RT RSD RL '!Print_Area</vt:lpstr>
      <vt:lpstr>'QU RT TL RD'!Print_Area</vt:lpstr>
      <vt:lpstr>'QU RT TL RL'!Print_Area</vt:lpstr>
      <vt:lpstr>'QU RT WW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Balthazar Kloppers</dc:creator>
  <cp:keywords/>
  <dc:description/>
  <cp:lastModifiedBy>Balthazar Kloppers</cp:lastModifiedBy>
  <cp:revision/>
  <dcterms:created xsi:type="dcterms:W3CDTF">2025-09-29T09:44:50Z</dcterms:created>
  <dcterms:modified xsi:type="dcterms:W3CDTF">2025-10-30T07:16:42Z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0x010100096B92F1DFB71243877052D4D221EBC8</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